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Websites\Pscweb\utilities\electric\26docs\2603531\"/>
    </mc:Choice>
  </mc:AlternateContent>
  <xr:revisionPtr revIDLastSave="0" documentId="8_{4860B038-892E-48CF-9EF0-7A3D7C335EFB}" xr6:coauthVersionLast="47" xr6:coauthVersionMax="47" xr10:uidLastSave="{00000000-0000-0000-0000-000000000000}"/>
  <bookViews>
    <workbookView xWindow="2880" yWindow="225" windowWidth="21795" windowHeight="20655" xr2:uid="{11162701-9D55-420E-BB41-83989B1E3105}"/>
  </bookViews>
  <sheets>
    <sheet name="Appendix B.3" sheetId="209" r:id="rId1"/>
    <sheet name="Table 1" sheetId="25" r:id="rId2"/>
    <sheet name="Table 2" sheetId="66" r:id="rId3"/>
    <sheet name="Table 4" sheetId="28" r:id="rId4"/>
    <sheet name="Table 5" sheetId="31" r:id="rId5"/>
    <sheet name="Table3Compare" sheetId="131" state="hidden" r:id="rId6"/>
    <sheet name="BAT.PX.BDG._.ITC._4hr.2031" sheetId="208" state="hidden" r:id="rId7"/>
    <sheet name="GCC.PX.UTS.2035" sheetId="194" r:id="rId8"/>
    <sheet name="GCC.PX.UTS.2036" sheetId="205" state="hidden" r:id="rId9"/>
    <sheet name="GCC.PX.UTS.2038" sheetId="206" state="hidden" r:id="rId10"/>
    <sheet name="GSC.PX.BDG.2038" sheetId="207" state="hidden" r:id="rId11"/>
    <sheet name="2025 IRPUpdt Assumptions" sheetId="203" r:id="rId12"/>
    <sheet name="PV_.PX.COR._.PTC.2028" sheetId="201" state="hidden" r:id="rId13"/>
    <sheet name="WD_.PX.WMV._.PTC.2029" sheetId="13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_j1" hidden="1">{"PRINT",#N/A,TRUE,"APPA";"PRINT",#N/A,TRUE,"APS";"PRINT",#N/A,TRUE,"BHPL";"PRINT",#N/A,TRUE,"BHPL2";"PRINT",#N/A,TRUE,"CDWR";"PRINT",#N/A,TRUE,"EWEB";"PRINT",#N/A,TRUE,"LADWP";"PRINT",#N/A,TRUE,"NEVBASE"}</definedName>
    <definedName name="__j2" hidden="1">{"PRINT",#N/A,TRUE,"APPA";"PRINT",#N/A,TRUE,"APS";"PRINT",#N/A,TRUE,"BHPL";"PRINT",#N/A,TRUE,"BHPL2";"PRINT",#N/A,TRUE,"CDWR";"PRINT",#N/A,TRUE,"EWEB";"PRINT",#N/A,TRUE,"LADWP";"PRINT",#N/A,TRUE,"NEVBASE"}</definedName>
    <definedName name="__j3" hidden="1">{"PRINT",#N/A,TRUE,"APPA";"PRINT",#N/A,TRUE,"APS";"PRINT",#N/A,TRUE,"BHPL";"PRINT",#N/A,TRUE,"BHPL2";"PRINT",#N/A,TRUE,"CDWR";"PRINT",#N/A,TRUE,"EWEB";"PRINT",#N/A,TRUE,"LADWP";"PRINT",#N/A,TRUE,"NEVBASE"}</definedName>
    <definedName name="__j4" hidden="1">{"PRINT",#N/A,TRUE,"APPA";"PRINT",#N/A,TRUE,"APS";"PRINT",#N/A,TRUE,"BHPL";"PRINT",#N/A,TRUE,"BHPL2";"PRINT",#N/A,TRUE,"CDWR";"PRINT",#N/A,TRUE,"EWEB";"PRINT",#N/A,TRUE,"LADWP";"PRINT",#N/A,TRUE,"NEVBASE"}</definedName>
    <definedName name="__j5" hidden="1">{"PRINT",#N/A,TRUE,"APPA";"PRINT",#N/A,TRUE,"APS";"PRINT",#N/A,TRUE,"BHPL";"PRINT",#N/A,TRUE,"BHPL2";"PRINT",#N/A,TRUE,"CDWR";"PRINT",#N/A,TRUE,"EWEB";"PRINT",#N/A,TRUE,"LADWP";"PRINT",#N/A,TRUE,"NEVBASE"}</definedName>
    <definedName name="_xlnm._FilterDatabase" localSheetId="11" hidden="1">'2025 IRPUpdt Assumptions'!$A$90:$R$132</definedName>
    <definedName name="_xlnm._FilterDatabase" localSheetId="5" hidden="1">Table3Compare!#REF!</definedName>
    <definedName name="_j1" localSheetId="0" hidden="1">{"PRINT",#N/A,TRUE,"APPA";"PRINT",#N/A,TRUE,"APS";"PRINT",#N/A,TRUE,"BHPL";"PRINT",#N/A,TRUE,"BHPL2";"PRINT",#N/A,TRUE,"CDWR";"PRINT",#N/A,TRUE,"EWEB";"PRINT",#N/A,TRUE,"LADWP";"PRINT",#N/A,TRUE,"NEVBASE"}</definedName>
    <definedName name="_j1" localSheetId="6" hidden="1">{"PRINT",#N/A,TRUE,"APPA";"PRINT",#N/A,TRUE,"APS";"PRINT",#N/A,TRUE,"BHPL";"PRINT",#N/A,TRUE,"BHPL2";"PRINT",#N/A,TRUE,"CDWR";"PRINT",#N/A,TRUE,"EWEB";"PRINT",#N/A,TRUE,"LADWP";"PRINT",#N/A,TRUE,"NEVBASE"}</definedName>
    <definedName name="_j1" localSheetId="7" hidden="1">{"PRINT",#N/A,TRUE,"APPA";"PRINT",#N/A,TRUE,"APS";"PRINT",#N/A,TRUE,"BHPL";"PRINT",#N/A,TRUE,"BHPL2";"PRINT",#N/A,TRUE,"CDWR";"PRINT",#N/A,TRUE,"EWEB";"PRINT",#N/A,TRUE,"LADWP";"PRINT",#N/A,TRUE,"NEVBASE"}</definedName>
    <definedName name="_j1" localSheetId="8" hidden="1">{"PRINT",#N/A,TRUE,"APPA";"PRINT",#N/A,TRUE,"APS";"PRINT",#N/A,TRUE,"BHPL";"PRINT",#N/A,TRUE,"BHPL2";"PRINT",#N/A,TRUE,"CDWR";"PRINT",#N/A,TRUE,"EWEB";"PRINT",#N/A,TRUE,"LADWP";"PRINT",#N/A,TRUE,"NEVBASE"}</definedName>
    <definedName name="_j1" localSheetId="9" hidden="1">{"PRINT",#N/A,TRUE,"APPA";"PRINT",#N/A,TRUE,"APS";"PRINT",#N/A,TRUE,"BHPL";"PRINT",#N/A,TRUE,"BHPL2";"PRINT",#N/A,TRUE,"CDWR";"PRINT",#N/A,TRUE,"EWEB";"PRINT",#N/A,TRUE,"LADWP";"PRINT",#N/A,TRUE,"NEVBASE"}</definedName>
    <definedName name="_j1" localSheetId="10" hidden="1">{"PRINT",#N/A,TRUE,"APPA";"PRINT",#N/A,TRUE,"APS";"PRINT",#N/A,TRUE,"BHPL";"PRINT",#N/A,TRUE,"BHPL2";"PRINT",#N/A,TRUE,"CDWR";"PRINT",#N/A,TRUE,"EWEB";"PRINT",#N/A,TRUE,"LADWP";"PRINT",#N/A,TRUE,"NEVBASE"}</definedName>
    <definedName name="_j1" localSheetId="12" hidden="1">{"PRINT",#N/A,TRUE,"APPA";"PRINT",#N/A,TRUE,"APS";"PRINT",#N/A,TRUE,"BHPL";"PRINT",#N/A,TRUE,"BHPL2";"PRINT",#N/A,TRUE,"CDWR";"PRINT",#N/A,TRUE,"EWEB";"PRINT",#N/A,TRUE,"LADWP";"PRINT",#N/A,TRUE,"NEVBASE"}</definedName>
    <definedName name="_j1" localSheetId="2" hidden="1">{"PRINT",#N/A,TRUE,"APPA";"PRINT",#N/A,TRUE,"APS";"PRINT",#N/A,TRUE,"BHPL";"PRINT",#N/A,TRUE,"BHPL2";"PRINT",#N/A,TRUE,"CDWR";"PRINT",#N/A,TRUE,"EWEB";"PRINT",#N/A,TRUE,"LADWP";"PRINT",#N/A,TRUE,"NEVBASE"}</definedName>
    <definedName name="_j1" localSheetId="13" hidden="1">{"PRINT",#N/A,TRUE,"APPA";"PRINT",#N/A,TRUE,"APS";"PRINT",#N/A,TRUE,"BHPL";"PRINT",#N/A,TRUE,"BHPL2";"PRINT",#N/A,TRUE,"CDWR";"PRINT",#N/A,TRUE,"EWEB";"PRINT",#N/A,TRUE,"LADWP";"PRINT",#N/A,TRUE,"NEVBASE"}</definedName>
    <definedName name="_j1" hidden="1">{"PRINT",#N/A,TRUE,"APPA";"PRINT",#N/A,TRUE,"APS";"PRINT",#N/A,TRUE,"BHPL";"PRINT",#N/A,TRUE,"BHPL2";"PRINT",#N/A,TRUE,"CDWR";"PRINT",#N/A,TRUE,"EWEB";"PRINT",#N/A,TRUE,"LADWP";"PRINT",#N/A,TRUE,"NEVBASE"}</definedName>
    <definedName name="_j2" localSheetId="0" hidden="1">{"PRINT",#N/A,TRUE,"APPA";"PRINT",#N/A,TRUE,"APS";"PRINT",#N/A,TRUE,"BHPL";"PRINT",#N/A,TRUE,"BHPL2";"PRINT",#N/A,TRUE,"CDWR";"PRINT",#N/A,TRUE,"EWEB";"PRINT",#N/A,TRUE,"LADWP";"PRINT",#N/A,TRUE,"NEVBASE"}</definedName>
    <definedName name="_j2" localSheetId="6" hidden="1">{"PRINT",#N/A,TRUE,"APPA";"PRINT",#N/A,TRUE,"APS";"PRINT",#N/A,TRUE,"BHPL";"PRINT",#N/A,TRUE,"BHPL2";"PRINT",#N/A,TRUE,"CDWR";"PRINT",#N/A,TRUE,"EWEB";"PRINT",#N/A,TRUE,"LADWP";"PRINT",#N/A,TRUE,"NEVBASE"}</definedName>
    <definedName name="_j2" localSheetId="7" hidden="1">{"PRINT",#N/A,TRUE,"APPA";"PRINT",#N/A,TRUE,"APS";"PRINT",#N/A,TRUE,"BHPL";"PRINT",#N/A,TRUE,"BHPL2";"PRINT",#N/A,TRUE,"CDWR";"PRINT",#N/A,TRUE,"EWEB";"PRINT",#N/A,TRUE,"LADWP";"PRINT",#N/A,TRUE,"NEVBASE"}</definedName>
    <definedName name="_j2" localSheetId="8" hidden="1">{"PRINT",#N/A,TRUE,"APPA";"PRINT",#N/A,TRUE,"APS";"PRINT",#N/A,TRUE,"BHPL";"PRINT",#N/A,TRUE,"BHPL2";"PRINT",#N/A,TRUE,"CDWR";"PRINT",#N/A,TRUE,"EWEB";"PRINT",#N/A,TRUE,"LADWP";"PRINT",#N/A,TRUE,"NEVBASE"}</definedName>
    <definedName name="_j2" localSheetId="9" hidden="1">{"PRINT",#N/A,TRUE,"APPA";"PRINT",#N/A,TRUE,"APS";"PRINT",#N/A,TRUE,"BHPL";"PRINT",#N/A,TRUE,"BHPL2";"PRINT",#N/A,TRUE,"CDWR";"PRINT",#N/A,TRUE,"EWEB";"PRINT",#N/A,TRUE,"LADWP";"PRINT",#N/A,TRUE,"NEVBASE"}</definedName>
    <definedName name="_j2" localSheetId="10" hidden="1">{"PRINT",#N/A,TRUE,"APPA";"PRINT",#N/A,TRUE,"APS";"PRINT",#N/A,TRUE,"BHPL";"PRINT",#N/A,TRUE,"BHPL2";"PRINT",#N/A,TRUE,"CDWR";"PRINT",#N/A,TRUE,"EWEB";"PRINT",#N/A,TRUE,"LADWP";"PRINT",#N/A,TRUE,"NEVBASE"}</definedName>
    <definedName name="_j2" localSheetId="12" hidden="1">{"PRINT",#N/A,TRUE,"APPA";"PRINT",#N/A,TRUE,"APS";"PRINT",#N/A,TRUE,"BHPL";"PRINT",#N/A,TRUE,"BHPL2";"PRINT",#N/A,TRUE,"CDWR";"PRINT",#N/A,TRUE,"EWEB";"PRINT",#N/A,TRUE,"LADWP";"PRINT",#N/A,TRUE,"NEVBASE"}</definedName>
    <definedName name="_j2" localSheetId="2" hidden="1">{"PRINT",#N/A,TRUE,"APPA";"PRINT",#N/A,TRUE,"APS";"PRINT",#N/A,TRUE,"BHPL";"PRINT",#N/A,TRUE,"BHPL2";"PRINT",#N/A,TRUE,"CDWR";"PRINT",#N/A,TRUE,"EWEB";"PRINT",#N/A,TRUE,"LADWP";"PRINT",#N/A,TRUE,"NEVBASE"}</definedName>
    <definedName name="_j2" localSheetId="13" hidden="1">{"PRINT",#N/A,TRUE,"APPA";"PRINT",#N/A,TRUE,"APS";"PRINT",#N/A,TRUE,"BHPL";"PRINT",#N/A,TRUE,"BHPL2";"PRINT",#N/A,TRUE,"CDWR";"PRINT",#N/A,TRUE,"EWEB";"PRINT",#N/A,TRUE,"LADWP";"PRINT",#N/A,TRUE,"NEVBASE"}</definedName>
    <definedName name="_j2" hidden="1">{"PRINT",#N/A,TRUE,"APPA";"PRINT",#N/A,TRUE,"APS";"PRINT",#N/A,TRUE,"BHPL";"PRINT",#N/A,TRUE,"BHPL2";"PRINT",#N/A,TRUE,"CDWR";"PRINT",#N/A,TRUE,"EWEB";"PRINT",#N/A,TRUE,"LADWP";"PRINT",#N/A,TRUE,"NEVBASE"}</definedName>
    <definedName name="_j3" localSheetId="0" hidden="1">{"PRINT",#N/A,TRUE,"APPA";"PRINT",#N/A,TRUE,"APS";"PRINT",#N/A,TRUE,"BHPL";"PRINT",#N/A,TRUE,"BHPL2";"PRINT",#N/A,TRUE,"CDWR";"PRINT",#N/A,TRUE,"EWEB";"PRINT",#N/A,TRUE,"LADWP";"PRINT",#N/A,TRUE,"NEVBASE"}</definedName>
    <definedName name="_j3" localSheetId="6" hidden="1">{"PRINT",#N/A,TRUE,"APPA";"PRINT",#N/A,TRUE,"APS";"PRINT",#N/A,TRUE,"BHPL";"PRINT",#N/A,TRUE,"BHPL2";"PRINT",#N/A,TRUE,"CDWR";"PRINT",#N/A,TRUE,"EWEB";"PRINT",#N/A,TRUE,"LADWP";"PRINT",#N/A,TRUE,"NEVBASE"}</definedName>
    <definedName name="_j3" localSheetId="7" hidden="1">{"PRINT",#N/A,TRUE,"APPA";"PRINT",#N/A,TRUE,"APS";"PRINT",#N/A,TRUE,"BHPL";"PRINT",#N/A,TRUE,"BHPL2";"PRINT",#N/A,TRUE,"CDWR";"PRINT",#N/A,TRUE,"EWEB";"PRINT",#N/A,TRUE,"LADWP";"PRINT",#N/A,TRUE,"NEVBASE"}</definedName>
    <definedName name="_j3" localSheetId="8" hidden="1">{"PRINT",#N/A,TRUE,"APPA";"PRINT",#N/A,TRUE,"APS";"PRINT",#N/A,TRUE,"BHPL";"PRINT",#N/A,TRUE,"BHPL2";"PRINT",#N/A,TRUE,"CDWR";"PRINT",#N/A,TRUE,"EWEB";"PRINT",#N/A,TRUE,"LADWP";"PRINT",#N/A,TRUE,"NEVBASE"}</definedName>
    <definedName name="_j3" localSheetId="9" hidden="1">{"PRINT",#N/A,TRUE,"APPA";"PRINT",#N/A,TRUE,"APS";"PRINT",#N/A,TRUE,"BHPL";"PRINT",#N/A,TRUE,"BHPL2";"PRINT",#N/A,TRUE,"CDWR";"PRINT",#N/A,TRUE,"EWEB";"PRINT",#N/A,TRUE,"LADWP";"PRINT",#N/A,TRUE,"NEVBASE"}</definedName>
    <definedName name="_j3" localSheetId="10" hidden="1">{"PRINT",#N/A,TRUE,"APPA";"PRINT",#N/A,TRUE,"APS";"PRINT",#N/A,TRUE,"BHPL";"PRINT",#N/A,TRUE,"BHPL2";"PRINT",#N/A,TRUE,"CDWR";"PRINT",#N/A,TRUE,"EWEB";"PRINT",#N/A,TRUE,"LADWP";"PRINT",#N/A,TRUE,"NEVBASE"}</definedName>
    <definedName name="_j3" localSheetId="12" hidden="1">{"PRINT",#N/A,TRUE,"APPA";"PRINT",#N/A,TRUE,"APS";"PRINT",#N/A,TRUE,"BHPL";"PRINT",#N/A,TRUE,"BHPL2";"PRINT",#N/A,TRUE,"CDWR";"PRINT",#N/A,TRUE,"EWEB";"PRINT",#N/A,TRUE,"LADWP";"PRINT",#N/A,TRUE,"NEVBASE"}</definedName>
    <definedName name="_j3" localSheetId="2" hidden="1">{"PRINT",#N/A,TRUE,"APPA";"PRINT",#N/A,TRUE,"APS";"PRINT",#N/A,TRUE,"BHPL";"PRINT",#N/A,TRUE,"BHPL2";"PRINT",#N/A,TRUE,"CDWR";"PRINT",#N/A,TRUE,"EWEB";"PRINT",#N/A,TRUE,"LADWP";"PRINT",#N/A,TRUE,"NEVBASE"}</definedName>
    <definedName name="_j3" localSheetId="13" hidden="1">{"PRINT",#N/A,TRUE,"APPA";"PRINT",#N/A,TRUE,"APS";"PRINT",#N/A,TRUE,"BHPL";"PRINT",#N/A,TRUE,"BHPL2";"PRINT",#N/A,TRUE,"CDWR";"PRINT",#N/A,TRUE,"EWEB";"PRINT",#N/A,TRUE,"LADWP";"PRINT",#N/A,TRUE,"NEVBASE"}</definedName>
    <definedName name="_j3" hidden="1">{"PRINT",#N/A,TRUE,"APPA";"PRINT",#N/A,TRUE,"APS";"PRINT",#N/A,TRUE,"BHPL";"PRINT",#N/A,TRUE,"BHPL2";"PRINT",#N/A,TRUE,"CDWR";"PRINT",#N/A,TRUE,"EWEB";"PRINT",#N/A,TRUE,"LADWP";"PRINT",#N/A,TRUE,"NEVBASE"}</definedName>
    <definedName name="_j4" localSheetId="0" hidden="1">{"PRINT",#N/A,TRUE,"APPA";"PRINT",#N/A,TRUE,"APS";"PRINT",#N/A,TRUE,"BHPL";"PRINT",#N/A,TRUE,"BHPL2";"PRINT",#N/A,TRUE,"CDWR";"PRINT",#N/A,TRUE,"EWEB";"PRINT",#N/A,TRUE,"LADWP";"PRINT",#N/A,TRUE,"NEVBASE"}</definedName>
    <definedName name="_j4" localSheetId="6" hidden="1">{"PRINT",#N/A,TRUE,"APPA";"PRINT",#N/A,TRUE,"APS";"PRINT",#N/A,TRUE,"BHPL";"PRINT",#N/A,TRUE,"BHPL2";"PRINT",#N/A,TRUE,"CDWR";"PRINT",#N/A,TRUE,"EWEB";"PRINT",#N/A,TRUE,"LADWP";"PRINT",#N/A,TRUE,"NEVBASE"}</definedName>
    <definedName name="_j4" localSheetId="7" hidden="1">{"PRINT",#N/A,TRUE,"APPA";"PRINT",#N/A,TRUE,"APS";"PRINT",#N/A,TRUE,"BHPL";"PRINT",#N/A,TRUE,"BHPL2";"PRINT",#N/A,TRUE,"CDWR";"PRINT",#N/A,TRUE,"EWEB";"PRINT",#N/A,TRUE,"LADWP";"PRINT",#N/A,TRUE,"NEVBASE"}</definedName>
    <definedName name="_j4" localSheetId="8" hidden="1">{"PRINT",#N/A,TRUE,"APPA";"PRINT",#N/A,TRUE,"APS";"PRINT",#N/A,TRUE,"BHPL";"PRINT",#N/A,TRUE,"BHPL2";"PRINT",#N/A,TRUE,"CDWR";"PRINT",#N/A,TRUE,"EWEB";"PRINT",#N/A,TRUE,"LADWP";"PRINT",#N/A,TRUE,"NEVBASE"}</definedName>
    <definedName name="_j4" localSheetId="9" hidden="1">{"PRINT",#N/A,TRUE,"APPA";"PRINT",#N/A,TRUE,"APS";"PRINT",#N/A,TRUE,"BHPL";"PRINT",#N/A,TRUE,"BHPL2";"PRINT",#N/A,TRUE,"CDWR";"PRINT",#N/A,TRUE,"EWEB";"PRINT",#N/A,TRUE,"LADWP";"PRINT",#N/A,TRUE,"NEVBASE"}</definedName>
    <definedName name="_j4" localSheetId="10" hidden="1">{"PRINT",#N/A,TRUE,"APPA";"PRINT",#N/A,TRUE,"APS";"PRINT",#N/A,TRUE,"BHPL";"PRINT",#N/A,TRUE,"BHPL2";"PRINT",#N/A,TRUE,"CDWR";"PRINT",#N/A,TRUE,"EWEB";"PRINT",#N/A,TRUE,"LADWP";"PRINT",#N/A,TRUE,"NEVBASE"}</definedName>
    <definedName name="_j4" localSheetId="12" hidden="1">{"PRINT",#N/A,TRUE,"APPA";"PRINT",#N/A,TRUE,"APS";"PRINT",#N/A,TRUE,"BHPL";"PRINT",#N/A,TRUE,"BHPL2";"PRINT",#N/A,TRUE,"CDWR";"PRINT",#N/A,TRUE,"EWEB";"PRINT",#N/A,TRUE,"LADWP";"PRINT",#N/A,TRUE,"NEVBASE"}</definedName>
    <definedName name="_j4" localSheetId="2" hidden="1">{"PRINT",#N/A,TRUE,"APPA";"PRINT",#N/A,TRUE,"APS";"PRINT",#N/A,TRUE,"BHPL";"PRINT",#N/A,TRUE,"BHPL2";"PRINT",#N/A,TRUE,"CDWR";"PRINT",#N/A,TRUE,"EWEB";"PRINT",#N/A,TRUE,"LADWP";"PRINT",#N/A,TRUE,"NEVBASE"}</definedName>
    <definedName name="_j4" localSheetId="13" hidden="1">{"PRINT",#N/A,TRUE,"APPA";"PRINT",#N/A,TRUE,"APS";"PRINT",#N/A,TRUE,"BHPL";"PRINT",#N/A,TRUE,"BHPL2";"PRINT",#N/A,TRUE,"CDWR";"PRINT",#N/A,TRUE,"EWEB";"PRINT",#N/A,TRUE,"LADWP";"PRINT",#N/A,TRUE,"NEVBASE"}</definedName>
    <definedName name="_j4" hidden="1">{"PRINT",#N/A,TRUE,"APPA";"PRINT",#N/A,TRUE,"APS";"PRINT",#N/A,TRUE,"BHPL";"PRINT",#N/A,TRUE,"BHPL2";"PRINT",#N/A,TRUE,"CDWR";"PRINT",#N/A,TRUE,"EWEB";"PRINT",#N/A,TRUE,"LADWP";"PRINT",#N/A,TRUE,"NEVBASE"}</definedName>
    <definedName name="_j5" localSheetId="0" hidden="1">{"PRINT",#N/A,TRUE,"APPA";"PRINT",#N/A,TRUE,"APS";"PRINT",#N/A,TRUE,"BHPL";"PRINT",#N/A,TRUE,"BHPL2";"PRINT",#N/A,TRUE,"CDWR";"PRINT",#N/A,TRUE,"EWEB";"PRINT",#N/A,TRUE,"LADWP";"PRINT",#N/A,TRUE,"NEVBASE"}</definedName>
    <definedName name="_j5" localSheetId="6" hidden="1">{"PRINT",#N/A,TRUE,"APPA";"PRINT",#N/A,TRUE,"APS";"PRINT",#N/A,TRUE,"BHPL";"PRINT",#N/A,TRUE,"BHPL2";"PRINT",#N/A,TRUE,"CDWR";"PRINT",#N/A,TRUE,"EWEB";"PRINT",#N/A,TRUE,"LADWP";"PRINT",#N/A,TRUE,"NEVBASE"}</definedName>
    <definedName name="_j5" localSheetId="7" hidden="1">{"PRINT",#N/A,TRUE,"APPA";"PRINT",#N/A,TRUE,"APS";"PRINT",#N/A,TRUE,"BHPL";"PRINT",#N/A,TRUE,"BHPL2";"PRINT",#N/A,TRUE,"CDWR";"PRINT",#N/A,TRUE,"EWEB";"PRINT",#N/A,TRUE,"LADWP";"PRINT",#N/A,TRUE,"NEVBASE"}</definedName>
    <definedName name="_j5" localSheetId="8" hidden="1">{"PRINT",#N/A,TRUE,"APPA";"PRINT",#N/A,TRUE,"APS";"PRINT",#N/A,TRUE,"BHPL";"PRINT",#N/A,TRUE,"BHPL2";"PRINT",#N/A,TRUE,"CDWR";"PRINT",#N/A,TRUE,"EWEB";"PRINT",#N/A,TRUE,"LADWP";"PRINT",#N/A,TRUE,"NEVBASE"}</definedName>
    <definedName name="_j5" localSheetId="9" hidden="1">{"PRINT",#N/A,TRUE,"APPA";"PRINT",#N/A,TRUE,"APS";"PRINT",#N/A,TRUE,"BHPL";"PRINT",#N/A,TRUE,"BHPL2";"PRINT",#N/A,TRUE,"CDWR";"PRINT",#N/A,TRUE,"EWEB";"PRINT",#N/A,TRUE,"LADWP";"PRINT",#N/A,TRUE,"NEVBASE"}</definedName>
    <definedName name="_j5" localSheetId="10" hidden="1">{"PRINT",#N/A,TRUE,"APPA";"PRINT",#N/A,TRUE,"APS";"PRINT",#N/A,TRUE,"BHPL";"PRINT",#N/A,TRUE,"BHPL2";"PRINT",#N/A,TRUE,"CDWR";"PRINT",#N/A,TRUE,"EWEB";"PRINT",#N/A,TRUE,"LADWP";"PRINT",#N/A,TRUE,"NEVBASE"}</definedName>
    <definedName name="_j5" localSheetId="12" hidden="1">{"PRINT",#N/A,TRUE,"APPA";"PRINT",#N/A,TRUE,"APS";"PRINT",#N/A,TRUE,"BHPL";"PRINT",#N/A,TRUE,"BHPL2";"PRINT",#N/A,TRUE,"CDWR";"PRINT",#N/A,TRUE,"EWEB";"PRINT",#N/A,TRUE,"LADWP";"PRINT",#N/A,TRUE,"NEVBASE"}</definedName>
    <definedName name="_j5" localSheetId="2" hidden="1">{"PRINT",#N/A,TRUE,"APPA";"PRINT",#N/A,TRUE,"APS";"PRINT",#N/A,TRUE,"BHPL";"PRINT",#N/A,TRUE,"BHPL2";"PRINT",#N/A,TRUE,"CDWR";"PRINT",#N/A,TRUE,"EWEB";"PRINT",#N/A,TRUE,"LADWP";"PRINT",#N/A,TRUE,"NEVBASE"}</definedName>
    <definedName name="_j5" localSheetId="13" hidden="1">{"PRINT",#N/A,TRUE,"APPA";"PRINT",#N/A,TRUE,"APS";"PRINT",#N/A,TRUE,"BHPL";"PRINT",#N/A,TRUE,"BHPL2";"PRINT",#N/A,TRUE,"CDWR";"PRINT",#N/A,TRUE,"EWEB";"PRINT",#N/A,TRUE,"LADWP";"PRINT",#N/A,TRUE,"NEVBASE"}</definedName>
    <definedName name="_j5" hidden="1">{"PRINT",#N/A,TRUE,"APPA";"PRINT",#N/A,TRUE,"APS";"PRINT",#N/A,TRUE,"BHPL";"PRINT",#N/A,TRUE,"BHPL2";"PRINT",#N/A,TRUE,"CDWR";"PRINT",#N/A,TRUE,"EWEB";"PRINT",#N/A,TRUE,"LADWP";"PRINT",#N/A,TRUE,"NEVBASE"}</definedName>
    <definedName name="_Order1" hidden="1">255</definedName>
    <definedName name="_Order2" hidden="1">0</definedName>
    <definedName name="a" hidden="1">#REF!</definedName>
    <definedName name="anscount" hidden="1">1</definedName>
    <definedName name="Discount_Rate">'Table 1'!$I$50</definedName>
    <definedName name="Inflation">'Table 1'!$J$52</definedName>
    <definedName name="limcount" hidden="1">1</definedName>
    <definedName name="_xlnm.Print_Area" localSheetId="6">'BAT.PX.BDG._.ITC._4hr.2031'!$A$1:$K$61</definedName>
    <definedName name="_xlnm.Print_Area" localSheetId="8">'GCC.PX.UTS.2036'!$A$1:$K$115</definedName>
    <definedName name="_xlnm.Print_Area" localSheetId="9">'GCC.PX.UTS.2038'!$A$1:$K$115</definedName>
    <definedName name="_xlnm.Print_Area" localSheetId="10">'GSC.PX.BDG.2038'!$A$1:$K$115</definedName>
    <definedName name="_xlnm.Print_Area" localSheetId="12">'PV_.PX.COR._.PTC.2028'!$A$1:$O$61</definedName>
    <definedName name="_xlnm.Print_Area" localSheetId="1">'Table 1'!$A$1:$G$67</definedName>
    <definedName name="_xlnm.Print_Area" localSheetId="4">'Table 5'!$A$1:$G$367</definedName>
    <definedName name="_xlnm.Print_Area" localSheetId="5">Table3Compare!$A$1:$D$37</definedName>
    <definedName name="_xlnm.Print_Area" localSheetId="13">'WD_.PX.WMV._.PTC.2029'!$A$1:$L$61</definedName>
    <definedName name="Real_Discount_Rate">'Table 1'!$J$54</definedName>
    <definedName name="SAPBEXrevision" hidden="1">1</definedName>
    <definedName name="SAPBEXsysID" hidden="1">"BWP"</definedName>
    <definedName name="SAPBEXwbID" hidden="1">"45EQYSCWE9WJMGB34OOD1BOQZ"</definedName>
    <definedName name="Study_CF">'Table 5'!$M$8</definedName>
    <definedName name="Study_MW">'Table 5'!$M$6</definedName>
    <definedName name="y" hidden="1">#REF!</definedName>
    <definedName name="z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209" l="1"/>
  <c r="G26" i="209"/>
  <c r="F26" i="209"/>
  <c r="H25" i="209"/>
  <c r="G25" i="209"/>
  <c r="F25" i="209"/>
  <c r="H24" i="209"/>
  <c r="G24" i="209"/>
  <c r="F24" i="209"/>
  <c r="H23" i="209"/>
  <c r="G23" i="209"/>
  <c r="F23" i="209"/>
  <c r="H22" i="209"/>
  <c r="G22" i="209"/>
  <c r="F22" i="209"/>
  <c r="H21" i="209"/>
  <c r="G21" i="209"/>
  <c r="F21" i="209"/>
  <c r="H20" i="209"/>
  <c r="G20" i="209"/>
  <c r="G30" i="209" s="1"/>
  <c r="F20" i="209"/>
  <c r="H19" i="209"/>
  <c r="G19" i="209"/>
  <c r="F19" i="209"/>
  <c r="H18" i="209"/>
  <c r="G18" i="209"/>
  <c r="F18" i="209"/>
  <c r="H17" i="209"/>
  <c r="G17" i="209"/>
  <c r="F17" i="209"/>
  <c r="H16" i="209"/>
  <c r="G16" i="209"/>
  <c r="F16" i="209"/>
  <c r="H15" i="209"/>
  <c r="G15" i="209"/>
  <c r="F15" i="209"/>
  <c r="F30" i="209" s="1"/>
  <c r="H14" i="209"/>
  <c r="G14" i="209"/>
  <c r="F14" i="209"/>
  <c r="H13" i="209"/>
  <c r="G13" i="209"/>
  <c r="F13" i="209"/>
  <c r="H12" i="209"/>
  <c r="G12" i="209"/>
  <c r="F12" i="209"/>
  <c r="H11" i="209"/>
  <c r="H30" i="209" s="1"/>
  <c r="G11" i="209"/>
  <c r="F11" i="209"/>
  <c r="H10" i="209"/>
  <c r="G10" i="209"/>
  <c r="F10" i="209"/>
  <c r="H7" i="209"/>
  <c r="G7" i="209"/>
  <c r="B38" i="209"/>
  <c r="B11" i="209"/>
  <c r="K8" i="209"/>
  <c r="J8" i="209"/>
  <c r="E7" i="209"/>
  <c r="D7" i="209"/>
  <c r="B12" i="209" l="1"/>
  <c r="B13" i="209" l="1"/>
  <c r="M15" i="31"/>
  <c r="N15" i="31"/>
  <c r="B14" i="209" l="1"/>
  <c r="CH9" i="25"/>
  <c r="CH8" i="25"/>
  <c r="E7" i="131"/>
  <c r="E8" i="131"/>
  <c r="E9" i="131"/>
  <c r="E10" i="131"/>
  <c r="E11" i="131"/>
  <c r="E12" i="131"/>
  <c r="E6" i="131"/>
  <c r="P258" i="203"/>
  <c r="P257" i="203"/>
  <c r="P256" i="203"/>
  <c r="P255" i="203"/>
  <c r="P254" i="203"/>
  <c r="P253" i="203"/>
  <c r="P252" i="203"/>
  <c r="P251" i="203"/>
  <c r="P250" i="203"/>
  <c r="P249" i="203"/>
  <c r="P248" i="203"/>
  <c r="P247" i="203"/>
  <c r="P246" i="203"/>
  <c r="P245" i="203"/>
  <c r="P244" i="203"/>
  <c r="P243" i="203"/>
  <c r="P242" i="203"/>
  <c r="P241" i="203"/>
  <c r="P240" i="203"/>
  <c r="P239" i="203"/>
  <c r="P238" i="203"/>
  <c r="B15" i="209" l="1"/>
  <c r="B3" i="208"/>
  <c r="B16" i="209" l="1"/>
  <c r="C10" i="208"/>
  <c r="C13" i="208"/>
  <c r="C12" i="208"/>
  <c r="C14" i="208"/>
  <c r="C15" i="208"/>
  <c r="C11" i="208"/>
  <c r="F15" i="208"/>
  <c r="C53" i="208"/>
  <c r="C52" i="208"/>
  <c r="B10" i="208"/>
  <c r="B11" i="208" s="1"/>
  <c r="B12" i="208" s="1"/>
  <c r="B13" i="208" s="1"/>
  <c r="B14" i="208" s="1"/>
  <c r="B15" i="208" s="1"/>
  <c r="B16" i="208" s="1"/>
  <c r="B17" i="208" s="1"/>
  <c r="B18" i="208" s="1"/>
  <c r="B19" i="208" s="1"/>
  <c r="B20" i="208" s="1"/>
  <c r="B21" i="208" s="1"/>
  <c r="B22" i="208" s="1"/>
  <c r="B23" i="208" s="1"/>
  <c r="B24" i="208" s="1"/>
  <c r="B25" i="208" s="1"/>
  <c r="B26" i="208" s="1"/>
  <c r="B27" i="208" s="1"/>
  <c r="B28" i="208" s="1"/>
  <c r="B29" i="208" s="1"/>
  <c r="B30" i="208" s="1"/>
  <c r="B31" i="208" s="1"/>
  <c r="B32" i="208" s="1"/>
  <c r="B33" i="208" s="1"/>
  <c r="B34" i="208" s="1"/>
  <c r="B35" i="208" s="1"/>
  <c r="B36" i="208" s="1"/>
  <c r="B37" i="208" s="1"/>
  <c r="B38" i="208" s="1"/>
  <c r="B39" i="208" s="1"/>
  <c r="B40" i="208" s="1"/>
  <c r="B41" i="208" s="1"/>
  <c r="B42" i="208" s="1"/>
  <c r="B43" i="208" s="1"/>
  <c r="B44" i="208" s="1"/>
  <c r="B2" i="208"/>
  <c r="B17" i="209" l="1"/>
  <c r="B18" i="209" l="1"/>
  <c r="D53" i="208"/>
  <c r="B19" i="209" l="1"/>
  <c r="R5" i="25"/>
  <c r="S5" i="25"/>
  <c r="Q5" i="25"/>
  <c r="B20" i="209" l="1"/>
  <c r="I50" i="25"/>
  <c r="B21" i="209" l="1"/>
  <c r="AA310" i="31"/>
  <c r="AA286" i="31"/>
  <c r="AA318" i="31"/>
  <c r="AA302" i="31"/>
  <c r="AA294" i="31"/>
  <c r="AA278" i="31"/>
  <c r="AA296" i="31"/>
  <c r="AA309" i="31"/>
  <c r="AA285" i="31"/>
  <c r="AA287" i="31"/>
  <c r="AA317" i="31"/>
  <c r="AA301" i="31"/>
  <c r="AA293" i="31"/>
  <c r="AA277" i="31"/>
  <c r="AA324" i="31"/>
  <c r="AA292" i="31"/>
  <c r="AA305" i="31"/>
  <c r="AA312" i="31"/>
  <c r="AA311" i="31"/>
  <c r="AA316" i="31"/>
  <c r="AA308" i="31"/>
  <c r="AA300" i="31"/>
  <c r="AA284" i="31"/>
  <c r="AA297" i="31"/>
  <c r="AA323" i="31"/>
  <c r="AA298" i="31"/>
  <c r="AA289" i="31"/>
  <c r="AA280" i="31"/>
  <c r="AA303" i="31"/>
  <c r="AA315" i="31"/>
  <c r="AA307" i="31"/>
  <c r="AA299" i="31"/>
  <c r="AA291" i="31"/>
  <c r="AA283" i="31"/>
  <c r="AA306" i="31"/>
  <c r="AA282" i="31"/>
  <c r="AA281" i="31"/>
  <c r="AA288" i="31"/>
  <c r="AA322" i="31"/>
  <c r="AA290" i="31"/>
  <c r="AA320" i="31"/>
  <c r="AA319" i="31"/>
  <c r="AA279" i="31"/>
  <c r="AA314" i="31"/>
  <c r="AA304" i="31"/>
  <c r="AA295" i="31"/>
  <c r="AA321" i="31"/>
  <c r="AA313" i="31"/>
  <c r="B22" i="209" l="1"/>
  <c r="I13" i="31"/>
  <c r="I25" i="31" s="1"/>
  <c r="I37" i="31" s="1"/>
  <c r="I49" i="31" s="1"/>
  <c r="I61" i="31" s="1"/>
  <c r="I73" i="31" s="1"/>
  <c r="I85" i="31" s="1"/>
  <c r="I97" i="31" s="1"/>
  <c r="I109" i="31" s="1"/>
  <c r="I121" i="31" s="1"/>
  <c r="I133" i="31" s="1"/>
  <c r="I145" i="31" s="1"/>
  <c r="I157" i="31" s="1"/>
  <c r="I169" i="31" s="1"/>
  <c r="I181" i="31" s="1"/>
  <c r="I193" i="31" s="1"/>
  <c r="I205" i="31" s="1"/>
  <c r="I217" i="31" s="1"/>
  <c r="I229" i="31" s="1"/>
  <c r="I241" i="31" s="1"/>
  <c r="I253" i="31" s="1"/>
  <c r="I265" i="31" s="1"/>
  <c r="I277" i="31" s="1"/>
  <c r="I289" i="31" s="1"/>
  <c r="I301" i="31" s="1"/>
  <c r="I313" i="31" s="1"/>
  <c r="B23" i="209" l="1"/>
  <c r="S7" i="25"/>
  <c r="B24" i="209" l="1"/>
  <c r="D6" i="131"/>
  <c r="D2" i="131"/>
  <c r="C2" i="131"/>
  <c r="B2" i="131"/>
  <c r="C6" i="131"/>
  <c r="B6" i="131"/>
  <c r="CI9" i="25"/>
  <c r="CL9" i="25"/>
  <c r="CM9" i="25"/>
  <c r="CI8" i="25"/>
  <c r="CJ8" i="25"/>
  <c r="CJ9" i="25" s="1"/>
  <c r="CK8" i="25"/>
  <c r="CK9" i="25" s="1"/>
  <c r="B43" i="201"/>
  <c r="B39" i="201"/>
  <c r="B40" i="201" s="1"/>
  <c r="B41" i="201" s="1"/>
  <c r="B42" i="201" s="1"/>
  <c r="B38" i="201"/>
  <c r="B36" i="201"/>
  <c r="B37" i="201" s="1"/>
  <c r="B25" i="209" l="1"/>
  <c r="B39" i="209"/>
  <c r="C13" i="139"/>
  <c r="C11" i="139"/>
  <c r="C10" i="139"/>
  <c r="C12" i="139"/>
  <c r="C11" i="201"/>
  <c r="C12" i="201"/>
  <c r="C10" i="201"/>
  <c r="D15" i="208"/>
  <c r="E10" i="208"/>
  <c r="E11" i="208" s="1"/>
  <c r="E12" i="208" s="1"/>
  <c r="E13" i="208" s="1"/>
  <c r="E14" i="208" s="1"/>
  <c r="E15" i="208" s="1"/>
  <c r="F16" i="208"/>
  <c r="F17" i="208" s="1"/>
  <c r="F18" i="208" s="1"/>
  <c r="F19" i="208" s="1"/>
  <c r="F20" i="208" s="1"/>
  <c r="F21" i="208" s="1"/>
  <c r="F22" i="208" s="1"/>
  <c r="F23" i="208" s="1"/>
  <c r="F24" i="208" s="1"/>
  <c r="F25" i="208" s="1"/>
  <c r="F26" i="208" s="1"/>
  <c r="F27" i="208" s="1"/>
  <c r="F28" i="208" s="1"/>
  <c r="F29" i="208" s="1"/>
  <c r="F30" i="208" s="1"/>
  <c r="F31" i="208" s="1"/>
  <c r="F32" i="208" s="1"/>
  <c r="F33" i="208" s="1"/>
  <c r="F34" i="208" s="1"/>
  <c r="F35" i="208" s="1"/>
  <c r="F36" i="208" s="1"/>
  <c r="F37" i="208" s="1"/>
  <c r="F38" i="208" s="1"/>
  <c r="F39" i="208" s="1"/>
  <c r="F40" i="208" s="1"/>
  <c r="F41" i="208" s="1"/>
  <c r="F42" i="208" s="1"/>
  <c r="F43" i="208" s="1"/>
  <c r="F44" i="208" s="1"/>
  <c r="Z324" i="31"/>
  <c r="Z309" i="31"/>
  <c r="Z293" i="31"/>
  <c r="Z277" i="31"/>
  <c r="Z291" i="31"/>
  <c r="Z306" i="31"/>
  <c r="Z321" i="31"/>
  <c r="Z320" i="31"/>
  <c r="Z288" i="31"/>
  <c r="Z318" i="31"/>
  <c r="Z317" i="31"/>
  <c r="Z300" i="31"/>
  <c r="Z283" i="31"/>
  <c r="Z298" i="31"/>
  <c r="Z297" i="31"/>
  <c r="Z312" i="31"/>
  <c r="Z295" i="31"/>
  <c r="Z310" i="31"/>
  <c r="Z278" i="31"/>
  <c r="Z308" i="31"/>
  <c r="Z292" i="31"/>
  <c r="Z322" i="31"/>
  <c r="Z290" i="31"/>
  <c r="Z289" i="31"/>
  <c r="Z304" i="31"/>
  <c r="Z303" i="31"/>
  <c r="Z302" i="31"/>
  <c r="Z301" i="31"/>
  <c r="Z284" i="31"/>
  <c r="Z315" i="31"/>
  <c r="Z282" i="31"/>
  <c r="Z313" i="31"/>
  <c r="Z296" i="31"/>
  <c r="Z279" i="31"/>
  <c r="Z294" i="31"/>
  <c r="Z323" i="31"/>
  <c r="Z307" i="31"/>
  <c r="Z305" i="31"/>
  <c r="Z319" i="31"/>
  <c r="Z287" i="31"/>
  <c r="Z286" i="31"/>
  <c r="Z285" i="31"/>
  <c r="Z316" i="31"/>
  <c r="Z299" i="31"/>
  <c r="Z314" i="31"/>
  <c r="Z281" i="31"/>
  <c r="Z280" i="31"/>
  <c r="Z311" i="31"/>
  <c r="E10" i="201"/>
  <c r="E11" i="201" s="1"/>
  <c r="E12" i="201" s="1"/>
  <c r="E13" i="201" s="1"/>
  <c r="E14" i="201" s="1"/>
  <c r="E15" i="201" s="1"/>
  <c r="E16" i="201" s="1"/>
  <c r="E17" i="201" s="1"/>
  <c r="E18" i="201" s="1"/>
  <c r="E19" i="201" s="1"/>
  <c r="E20" i="201" s="1"/>
  <c r="E21" i="201" s="1"/>
  <c r="E22" i="201" s="1"/>
  <c r="E23" i="201" s="1"/>
  <c r="E24" i="201" s="1"/>
  <c r="E25" i="201" s="1"/>
  <c r="E26" i="201" s="1"/>
  <c r="E27" i="201" s="1"/>
  <c r="E28" i="201" s="1"/>
  <c r="E29" i="201" s="1"/>
  <c r="E30" i="201" s="1"/>
  <c r="E31" i="201" s="1"/>
  <c r="E32" i="201" s="1"/>
  <c r="E33" i="201" s="1"/>
  <c r="E34" i="201" s="1"/>
  <c r="E35" i="201" s="1"/>
  <c r="E36" i="201" s="1"/>
  <c r="E37" i="201" s="1"/>
  <c r="E38" i="201" s="1"/>
  <c r="E39" i="201" s="1"/>
  <c r="E40" i="201" s="1"/>
  <c r="E41" i="201" s="1"/>
  <c r="E42" i="201" s="1"/>
  <c r="E43" i="201" s="1"/>
  <c r="E10" i="139"/>
  <c r="E11" i="139" s="1"/>
  <c r="E12" i="139" s="1"/>
  <c r="E13" i="139" s="1"/>
  <c r="E14" i="139" s="1"/>
  <c r="E15" i="139" s="1"/>
  <c r="E16" i="139" s="1"/>
  <c r="E17" i="139" s="1"/>
  <c r="E18" i="139" s="1"/>
  <c r="E19" i="139" s="1"/>
  <c r="E20" i="139" s="1"/>
  <c r="E21" i="139" s="1"/>
  <c r="E22" i="139" s="1"/>
  <c r="E23" i="139" s="1"/>
  <c r="E24" i="139" s="1"/>
  <c r="E25" i="139" s="1"/>
  <c r="E26" i="139" s="1"/>
  <c r="E27" i="139" s="1"/>
  <c r="E28" i="139" s="1"/>
  <c r="E29" i="139" s="1"/>
  <c r="E30" i="139" s="1"/>
  <c r="E31" i="139" s="1"/>
  <c r="E32" i="139" s="1"/>
  <c r="E33" i="139" s="1"/>
  <c r="E34" i="139" s="1"/>
  <c r="E35" i="139" s="1"/>
  <c r="E36" i="139" s="1"/>
  <c r="E37" i="139" s="1"/>
  <c r="E38" i="139" s="1"/>
  <c r="E39" i="139" s="1"/>
  <c r="E40" i="139" s="1"/>
  <c r="E41" i="139" s="1"/>
  <c r="E42" i="139" s="1"/>
  <c r="E43" i="139" s="1"/>
  <c r="E44" i="139" s="1"/>
  <c r="E45" i="139" s="1"/>
  <c r="E46" i="139" s="1"/>
  <c r="Q213" i="203"/>
  <c r="R213" i="203" s="1"/>
  <c r="Q214" i="203"/>
  <c r="R214" i="203" s="1"/>
  <c r="Q215" i="203"/>
  <c r="Q216" i="203"/>
  <c r="Q217" i="203"/>
  <c r="R217" i="203" s="1"/>
  <c r="Q218" i="203"/>
  <c r="R218" i="203" s="1"/>
  <c r="Q219" i="203"/>
  <c r="R219" i="203" s="1"/>
  <c r="Q220" i="203"/>
  <c r="Q221" i="203"/>
  <c r="Q222" i="203"/>
  <c r="Q223" i="203"/>
  <c r="R224" i="203" s="1"/>
  <c r="Q224" i="203"/>
  <c r="Q225" i="203"/>
  <c r="Q226" i="203"/>
  <c r="R226" i="203" s="1"/>
  <c r="Q227" i="203"/>
  <c r="R227" i="203" s="1"/>
  <c r="Q228" i="203"/>
  <c r="R228" i="203" s="1"/>
  <c r="Q229" i="203"/>
  <c r="Q230" i="203"/>
  <c r="R230" i="203" s="1"/>
  <c r="Q231" i="203"/>
  <c r="Q232" i="203"/>
  <c r="R232" i="203" s="1"/>
  <c r="Q233" i="203"/>
  <c r="R233" i="203" s="1"/>
  <c r="Q234" i="203"/>
  <c r="R216" i="203"/>
  <c r="R220" i="203"/>
  <c r="R222" i="203"/>
  <c r="R234" i="203"/>
  <c r="Q212" i="203"/>
  <c r="R215" i="203"/>
  <c r="R221" i="203"/>
  <c r="R225" i="203"/>
  <c r="R231" i="203"/>
  <c r="P234" i="203"/>
  <c r="P233" i="203"/>
  <c r="P232" i="203"/>
  <c r="P231" i="203"/>
  <c r="P230" i="203"/>
  <c r="P229" i="203"/>
  <c r="P228" i="203"/>
  <c r="P227" i="203"/>
  <c r="P226" i="203"/>
  <c r="P225" i="203"/>
  <c r="P224" i="203"/>
  <c r="P223" i="203"/>
  <c r="P222" i="203"/>
  <c r="P221" i="203"/>
  <c r="P220" i="203"/>
  <c r="P219" i="203"/>
  <c r="P218" i="203"/>
  <c r="P217" i="203"/>
  <c r="P216" i="203"/>
  <c r="P215" i="203"/>
  <c r="P214" i="203"/>
  <c r="P213" i="203"/>
  <c r="P212" i="203"/>
  <c r="P211" i="203"/>
  <c r="P208" i="203"/>
  <c r="P207" i="203"/>
  <c r="P206" i="203"/>
  <c r="P205" i="203"/>
  <c r="P204" i="203"/>
  <c r="P203" i="203"/>
  <c r="P202" i="203"/>
  <c r="P201" i="203"/>
  <c r="P200" i="203"/>
  <c r="P199" i="203"/>
  <c r="P198" i="203"/>
  <c r="P197" i="203"/>
  <c r="P196" i="203"/>
  <c r="P195" i="203"/>
  <c r="P194" i="203"/>
  <c r="P193" i="203"/>
  <c r="P192" i="203"/>
  <c r="P191" i="203"/>
  <c r="P190" i="203"/>
  <c r="P189" i="203"/>
  <c r="P188" i="203"/>
  <c r="P186" i="203"/>
  <c r="P185" i="203"/>
  <c r="P184" i="203"/>
  <c r="P183" i="203"/>
  <c r="P182" i="203"/>
  <c r="P181" i="203"/>
  <c r="P180" i="203"/>
  <c r="P179" i="203"/>
  <c r="P178" i="203"/>
  <c r="P177" i="203"/>
  <c r="P176" i="203"/>
  <c r="P175" i="203"/>
  <c r="P174" i="203"/>
  <c r="P173" i="203"/>
  <c r="P172" i="203"/>
  <c r="P171" i="203"/>
  <c r="P170" i="203"/>
  <c r="P169" i="203"/>
  <c r="P168" i="203"/>
  <c r="P167" i="203"/>
  <c r="P166" i="203"/>
  <c r="P165" i="203"/>
  <c r="B26" i="209" l="1"/>
  <c r="E16" i="208"/>
  <c r="E17" i="208" s="1"/>
  <c r="E18" i="208" s="1"/>
  <c r="E19" i="208" s="1"/>
  <c r="E20" i="208" s="1"/>
  <c r="E21" i="208" s="1"/>
  <c r="E22" i="208" s="1"/>
  <c r="E23" i="208" s="1"/>
  <c r="E24" i="208" s="1"/>
  <c r="E25" i="208" s="1"/>
  <c r="E26" i="208" s="1"/>
  <c r="E27" i="208" s="1"/>
  <c r="E28" i="208" s="1"/>
  <c r="E29" i="208" s="1"/>
  <c r="E30" i="208" s="1"/>
  <c r="E31" i="208" s="1"/>
  <c r="E32" i="208" s="1"/>
  <c r="E33" i="208" s="1"/>
  <c r="E34" i="208" s="1"/>
  <c r="E35" i="208" s="1"/>
  <c r="E36" i="208" s="1"/>
  <c r="E37" i="208" s="1"/>
  <c r="E38" i="208" s="1"/>
  <c r="E39" i="208" s="1"/>
  <c r="E40" i="208" s="1"/>
  <c r="E41" i="208" s="1"/>
  <c r="E42" i="208" s="1"/>
  <c r="E43" i="208" s="1"/>
  <c r="E44" i="208" s="1"/>
  <c r="J15" i="208"/>
  <c r="G15" i="208"/>
  <c r="E13" i="131" s="1"/>
  <c r="D16" i="208"/>
  <c r="R229" i="203"/>
  <c r="R223" i="203"/>
  <c r="E48" i="208" l="1"/>
  <c r="H15" i="208"/>
  <c r="J16" i="208"/>
  <c r="G16" i="208"/>
  <c r="D17" i="208"/>
  <c r="H16" i="208" l="1"/>
  <c r="E14" i="131"/>
  <c r="J17" i="208"/>
  <c r="G17" i="208"/>
  <c r="E15" i="131" s="1"/>
  <c r="D18" i="208"/>
  <c r="J18" i="208" l="1"/>
  <c r="D19" i="208"/>
  <c r="G18" i="208"/>
  <c r="H17" i="208"/>
  <c r="D13" i="139"/>
  <c r="D12" i="201"/>
  <c r="H18" i="208" l="1"/>
  <c r="E16" i="131"/>
  <c r="J19" i="208"/>
  <c r="D20" i="208"/>
  <c r="G19" i="208"/>
  <c r="E17" i="131" s="1"/>
  <c r="D14" i="139"/>
  <c r="D13" i="201"/>
  <c r="H19" i="208" l="1"/>
  <c r="J20" i="208"/>
  <c r="G20" i="208"/>
  <c r="D21" i="208"/>
  <c r="D14" i="201"/>
  <c r="H20" i="208" l="1"/>
  <c r="E18" i="131"/>
  <c r="J21" i="208"/>
  <c r="D22" i="208"/>
  <c r="G21" i="208"/>
  <c r="E19" i="131" s="1"/>
  <c r="D15" i="201"/>
  <c r="H21" i="208" l="1"/>
  <c r="J22" i="208"/>
  <c r="G22" i="208"/>
  <c r="D23" i="208"/>
  <c r="D16" i="201"/>
  <c r="H22" i="208" l="1"/>
  <c r="E20" i="131"/>
  <c r="J23" i="208"/>
  <c r="D24" i="208"/>
  <c r="G23" i="208"/>
  <c r="E21" i="131" s="1"/>
  <c r="D17" i="201"/>
  <c r="H23" i="208" l="1"/>
  <c r="J24" i="208"/>
  <c r="D25" i="208"/>
  <c r="G24" i="208"/>
  <c r="D18" i="201"/>
  <c r="H24" i="208" l="1"/>
  <c r="E22" i="131"/>
  <c r="J25" i="208"/>
  <c r="G25" i="208"/>
  <c r="D26" i="208"/>
  <c r="D19" i="201"/>
  <c r="D20" i="201" s="1"/>
  <c r="H25" i="208" l="1"/>
  <c r="E23" i="131"/>
  <c r="J26" i="208"/>
  <c r="G26" i="208"/>
  <c r="D27" i="208"/>
  <c r="D21" i="201"/>
  <c r="H26" i="208" l="1"/>
  <c r="E24" i="131"/>
  <c r="J27" i="208"/>
  <c r="G27" i="208"/>
  <c r="D28" i="208"/>
  <c r="D22" i="201"/>
  <c r="H27" i="208" l="1"/>
  <c r="E25" i="131"/>
  <c r="J28" i="208"/>
  <c r="G28" i="208"/>
  <c r="D29" i="208"/>
  <c r="D23" i="201"/>
  <c r="H28" i="208" l="1"/>
  <c r="E26" i="131"/>
  <c r="J29" i="208"/>
  <c r="G29" i="208"/>
  <c r="D30" i="208"/>
  <c r="D24" i="201"/>
  <c r="H29" i="208" l="1"/>
  <c r="E27" i="131"/>
  <c r="J30" i="208"/>
  <c r="G30" i="208"/>
  <c r="D31" i="208"/>
  <c r="D25" i="201"/>
  <c r="H30" i="208" l="1"/>
  <c r="E28" i="131"/>
  <c r="J31" i="208"/>
  <c r="D32" i="208"/>
  <c r="G31" i="208"/>
  <c r="D26" i="201"/>
  <c r="H31" i="208" l="1"/>
  <c r="E29" i="131"/>
  <c r="J32" i="208"/>
  <c r="D33" i="208"/>
  <c r="G32" i="208"/>
  <c r="D27" i="201"/>
  <c r="H32" i="208" l="1"/>
  <c r="E30" i="131"/>
  <c r="J33" i="208"/>
  <c r="D34" i="208"/>
  <c r="G33" i="208"/>
  <c r="D28" i="201"/>
  <c r="H33" i="208" l="1"/>
  <c r="E31" i="131"/>
  <c r="J34" i="208"/>
  <c r="J48" i="208" s="1"/>
  <c r="D35" i="208"/>
  <c r="G34" i="208"/>
  <c r="E32" i="131" s="1"/>
  <c r="D48" i="208"/>
  <c r="D29" i="201"/>
  <c r="H34" i="208" l="1"/>
  <c r="H48" i="208" s="1"/>
  <c r="G48" i="208"/>
  <c r="J35" i="208"/>
  <c r="D36" i="208"/>
  <c r="G35" i="208"/>
  <c r="D30" i="201"/>
  <c r="H35" i="208" l="1"/>
  <c r="E33" i="131"/>
  <c r="J36" i="208"/>
  <c r="D37" i="208"/>
  <c r="G36" i="208"/>
  <c r="D31" i="201"/>
  <c r="H36" i="208" l="1"/>
  <c r="E34" i="131"/>
  <c r="J37" i="208"/>
  <c r="D38" i="208"/>
  <c r="G37" i="208"/>
  <c r="D32" i="201"/>
  <c r="H37" i="208" l="1"/>
  <c r="E35" i="131"/>
  <c r="J38" i="208"/>
  <c r="G38" i="208"/>
  <c r="D39" i="208"/>
  <c r="D33" i="201"/>
  <c r="H38" i="208" l="1"/>
  <c r="E36" i="131"/>
  <c r="J39" i="208"/>
  <c r="G39" i="208"/>
  <c r="D40" i="208"/>
  <c r="D34" i="201"/>
  <c r="H39" i="208" l="1"/>
  <c r="E37" i="131"/>
  <c r="J40" i="208"/>
  <c r="D41" i="208"/>
  <c r="G40" i="208"/>
  <c r="H40" i="208" s="1"/>
  <c r="D35" i="201"/>
  <c r="J41" i="208" l="1"/>
  <c r="G41" i="208"/>
  <c r="H41" i="208" s="1"/>
  <c r="D42" i="208"/>
  <c r="D36" i="201"/>
  <c r="J42" i="208" l="1"/>
  <c r="D43" i="208"/>
  <c r="G42" i="208"/>
  <c r="H42" i="208" s="1"/>
  <c r="D37" i="201"/>
  <c r="D38" i="201" s="1"/>
  <c r="J43" i="208" l="1"/>
  <c r="D44" i="208"/>
  <c r="G43" i="208"/>
  <c r="H43" i="208" s="1"/>
  <c r="D39" i="201"/>
  <c r="G44" i="208" l="1"/>
  <c r="H44" i="208" s="1"/>
  <c r="J44" i="208"/>
  <c r="D40" i="201"/>
  <c r="D41" i="201" l="1"/>
  <c r="D42" i="201" l="1"/>
  <c r="D43" i="201" s="1"/>
  <c r="E13" i="207" l="1"/>
  <c r="E14" i="207" s="1"/>
  <c r="E15" i="207" s="1"/>
  <c r="E16" i="207" s="1"/>
  <c r="E17" i="207" s="1"/>
  <c r="E18" i="207" s="1"/>
  <c r="E19" i="207" s="1"/>
  <c r="E20" i="207" s="1"/>
  <c r="E21" i="207" s="1"/>
  <c r="E22" i="207" s="1"/>
  <c r="E23" i="207" s="1"/>
  <c r="E24" i="207" s="1"/>
  <c r="E25" i="207" s="1"/>
  <c r="E26" i="207" s="1"/>
  <c r="E27" i="207" s="1"/>
  <c r="E28" i="207" s="1"/>
  <c r="E29" i="207" s="1"/>
  <c r="E30" i="207" s="1"/>
  <c r="E31" i="207" s="1"/>
  <c r="E32" i="207" s="1"/>
  <c r="E33" i="207" s="1"/>
  <c r="E34" i="207" s="1"/>
  <c r="E35" i="207" s="1"/>
  <c r="E36" i="207" s="1"/>
  <c r="E37" i="207" s="1"/>
  <c r="E38" i="207" s="1"/>
  <c r="E39" i="207" s="1"/>
  <c r="E40" i="207" s="1"/>
  <c r="E41" i="207" s="1"/>
  <c r="E42" i="207" s="1"/>
  <c r="E43" i="207" s="1"/>
  <c r="E44" i="207" s="1"/>
  <c r="E45" i="207" s="1"/>
  <c r="E46" i="207" s="1"/>
  <c r="E47" i="207" s="1"/>
  <c r="E48" i="207" s="1"/>
  <c r="E49" i="207" s="1"/>
  <c r="E50" i="207" s="1"/>
  <c r="E51" i="207" s="1"/>
  <c r="E52" i="207" s="1"/>
  <c r="E53" i="207" s="1"/>
  <c r="E54" i="207" s="1"/>
  <c r="E55" i="207" s="1"/>
  <c r="E56" i="207" s="1"/>
  <c r="E57" i="207" s="1"/>
  <c r="E58" i="207" s="1"/>
  <c r="E59" i="207" s="1"/>
  <c r="E60" i="207" s="1"/>
  <c r="E61" i="207" s="1"/>
  <c r="E62" i="207" s="1"/>
  <c r="E63" i="207" s="1"/>
  <c r="G85" i="207"/>
  <c r="E107" i="207"/>
  <c r="I10" i="207"/>
  <c r="I11" i="207" s="1"/>
  <c r="I12" i="207" s="1"/>
  <c r="I13" i="207" s="1"/>
  <c r="I14" i="207" s="1"/>
  <c r="I15" i="207" s="1"/>
  <c r="I16" i="207" s="1"/>
  <c r="I17" i="207" s="1"/>
  <c r="I18" i="207" s="1"/>
  <c r="I19" i="207" s="1"/>
  <c r="I20" i="207" s="1"/>
  <c r="I21" i="207" s="1"/>
  <c r="I22" i="207" s="1"/>
  <c r="I23" i="207" s="1"/>
  <c r="I24" i="207" s="1"/>
  <c r="I25" i="207" s="1"/>
  <c r="I26" i="207" s="1"/>
  <c r="I27" i="207" s="1"/>
  <c r="I28" i="207" s="1"/>
  <c r="I29" i="207" s="1"/>
  <c r="I30" i="207" s="1"/>
  <c r="I31" i="207" s="1"/>
  <c r="I32" i="207" s="1"/>
  <c r="I33" i="207" s="1"/>
  <c r="I34" i="207" s="1"/>
  <c r="I35" i="207" s="1"/>
  <c r="I36" i="207" s="1"/>
  <c r="I37" i="207" s="1"/>
  <c r="I38" i="207" s="1"/>
  <c r="I39" i="207" s="1"/>
  <c r="I40" i="207" s="1"/>
  <c r="I41" i="207" s="1"/>
  <c r="I42" i="207" s="1"/>
  <c r="I43" i="207" s="1"/>
  <c r="I44" i="207" s="1"/>
  <c r="I45" i="207" s="1"/>
  <c r="I46" i="207" s="1"/>
  <c r="I47" i="207" s="1"/>
  <c r="I48" i="207" s="1"/>
  <c r="I49" i="207" s="1"/>
  <c r="I50" i="207" s="1"/>
  <c r="I51" i="207" s="1"/>
  <c r="I52" i="207" s="1"/>
  <c r="I53" i="207" s="1"/>
  <c r="I54" i="207" s="1"/>
  <c r="I55" i="207" s="1"/>
  <c r="I56" i="207" s="1"/>
  <c r="I57" i="207" s="1"/>
  <c r="I58" i="207" s="1"/>
  <c r="I59" i="207" s="1"/>
  <c r="I60" i="207" s="1"/>
  <c r="I61" i="207" s="1"/>
  <c r="I62" i="207" s="1"/>
  <c r="I63" i="207" s="1"/>
  <c r="C100" i="207"/>
  <c r="C101" i="207"/>
  <c r="C102" i="207" s="1"/>
  <c r="C10" i="207"/>
  <c r="C11" i="207" s="1"/>
  <c r="C12" i="207" s="1"/>
  <c r="C13" i="207" s="1"/>
  <c r="C14" i="207" s="1"/>
  <c r="C15" i="207" s="1"/>
  <c r="C16" i="207" s="1"/>
  <c r="C17" i="207" s="1"/>
  <c r="C18" i="207" s="1"/>
  <c r="C19" i="207" s="1"/>
  <c r="C20" i="207" s="1"/>
  <c r="C21" i="207" s="1"/>
  <c r="C22" i="207" s="1"/>
  <c r="C23" i="207" s="1"/>
  <c r="F80" i="207"/>
  <c r="E90" i="207"/>
  <c r="K86" i="207"/>
  <c r="J86" i="207"/>
  <c r="H86" i="207"/>
  <c r="G86" i="207"/>
  <c r="F86" i="207"/>
  <c r="C86" i="207"/>
  <c r="K85" i="207"/>
  <c r="J85" i="207"/>
  <c r="C85" i="207"/>
  <c r="D74" i="207"/>
  <c r="C74" i="207"/>
  <c r="C73" i="207"/>
  <c r="C72" i="207"/>
  <c r="C71" i="207"/>
  <c r="B11" i="207"/>
  <c r="B12" i="207" s="1"/>
  <c r="B13" i="207" s="1"/>
  <c r="B14" i="207" s="1"/>
  <c r="B15" i="207" s="1"/>
  <c r="B16" i="207" s="1"/>
  <c r="B17" i="207" s="1"/>
  <c r="B18" i="207" s="1"/>
  <c r="B19" i="207" s="1"/>
  <c r="B20" i="207" s="1"/>
  <c r="B21" i="207" s="1"/>
  <c r="B22" i="207" s="1"/>
  <c r="B23" i="207" s="1"/>
  <c r="B24" i="207" s="1"/>
  <c r="B25" i="207" s="1"/>
  <c r="B26" i="207" s="1"/>
  <c r="B27" i="207" s="1"/>
  <c r="B28" i="207" s="1"/>
  <c r="B29" i="207" s="1"/>
  <c r="B30" i="207" s="1"/>
  <c r="B31" i="207" s="1"/>
  <c r="B32" i="207" s="1"/>
  <c r="B33" i="207" s="1"/>
  <c r="B34" i="207" s="1"/>
  <c r="B35" i="207" s="1"/>
  <c r="B36" i="207" s="1"/>
  <c r="B37" i="207" s="1"/>
  <c r="B38" i="207" s="1"/>
  <c r="B39" i="207" s="1"/>
  <c r="B40" i="207" s="1"/>
  <c r="B41" i="207" s="1"/>
  <c r="B42" i="207" s="1"/>
  <c r="B43" i="207" s="1"/>
  <c r="B44" i="207" s="1"/>
  <c r="B45" i="207" s="1"/>
  <c r="B46" i="207" s="1"/>
  <c r="B47" i="207" s="1"/>
  <c r="B48" i="207" s="1"/>
  <c r="B49" i="207" s="1"/>
  <c r="B50" i="207" s="1"/>
  <c r="B51" i="207" s="1"/>
  <c r="B52" i="207" s="1"/>
  <c r="B53" i="207" s="1"/>
  <c r="B54" i="207" s="1"/>
  <c r="B55" i="207" s="1"/>
  <c r="B56" i="207" s="1"/>
  <c r="B57" i="207" s="1"/>
  <c r="B58" i="207" s="1"/>
  <c r="B59" i="207" s="1"/>
  <c r="B60" i="207" s="1"/>
  <c r="B61" i="207" s="1"/>
  <c r="B62" i="207" s="1"/>
  <c r="B63" i="207" s="1"/>
  <c r="H10" i="207"/>
  <c r="H11" i="207" s="1"/>
  <c r="H12" i="207" s="1"/>
  <c r="H13" i="207" s="1"/>
  <c r="H14" i="207" s="1"/>
  <c r="H15" i="207" s="1"/>
  <c r="H16" i="207" s="1"/>
  <c r="H17" i="207" s="1"/>
  <c r="H18" i="207" s="1"/>
  <c r="H19" i="207" s="1"/>
  <c r="H20" i="207" s="1"/>
  <c r="H21" i="207" s="1"/>
  <c r="H22" i="207" s="1"/>
  <c r="H23" i="207" s="1"/>
  <c r="H24" i="207" s="1"/>
  <c r="H25" i="207" s="1"/>
  <c r="H26" i="207" s="1"/>
  <c r="H27" i="207" s="1"/>
  <c r="H28" i="207" s="1"/>
  <c r="H29" i="207" s="1"/>
  <c r="H30" i="207" s="1"/>
  <c r="H31" i="207" s="1"/>
  <c r="H32" i="207" s="1"/>
  <c r="H33" i="207" s="1"/>
  <c r="H34" i="207" s="1"/>
  <c r="H35" i="207" s="1"/>
  <c r="H36" i="207" s="1"/>
  <c r="H37" i="207" s="1"/>
  <c r="H38" i="207" s="1"/>
  <c r="H39" i="207" s="1"/>
  <c r="H40" i="207" s="1"/>
  <c r="H41" i="207" s="1"/>
  <c r="H42" i="207" s="1"/>
  <c r="H43" i="207" s="1"/>
  <c r="H44" i="207" s="1"/>
  <c r="H45" i="207" s="1"/>
  <c r="H46" i="207" s="1"/>
  <c r="H47" i="207" s="1"/>
  <c r="H48" i="207" s="1"/>
  <c r="H49" i="207" s="1"/>
  <c r="H50" i="207" s="1"/>
  <c r="H51" i="207" s="1"/>
  <c r="H52" i="207" s="1"/>
  <c r="H53" i="207" s="1"/>
  <c r="H54" i="207" s="1"/>
  <c r="H55" i="207" s="1"/>
  <c r="H56" i="207" s="1"/>
  <c r="H57" i="207" s="1"/>
  <c r="H58" i="207" s="1"/>
  <c r="H59" i="207" s="1"/>
  <c r="H60" i="207" s="1"/>
  <c r="H61" i="207" s="1"/>
  <c r="H62" i="207" s="1"/>
  <c r="H63" i="207" s="1"/>
  <c r="B8" i="207"/>
  <c r="G85" i="206"/>
  <c r="E107" i="206"/>
  <c r="D72" i="206"/>
  <c r="K85" i="206"/>
  <c r="I10" i="206"/>
  <c r="I11" i="206" s="1"/>
  <c r="I12" i="206" s="1"/>
  <c r="I13" i="206" s="1"/>
  <c r="I14" i="206" s="1"/>
  <c r="I15" i="206" s="1"/>
  <c r="I16" i="206" s="1"/>
  <c r="I17" i="206" s="1"/>
  <c r="I18" i="206" s="1"/>
  <c r="I19" i="206" s="1"/>
  <c r="I20" i="206" s="1"/>
  <c r="I21" i="206" s="1"/>
  <c r="I22" i="206" s="1"/>
  <c r="I23" i="206" s="1"/>
  <c r="I24" i="206" s="1"/>
  <c r="I25" i="206" s="1"/>
  <c r="I26" i="206" s="1"/>
  <c r="I27" i="206" s="1"/>
  <c r="I28" i="206" s="1"/>
  <c r="I29" i="206" s="1"/>
  <c r="I30" i="206" s="1"/>
  <c r="I31" i="206" s="1"/>
  <c r="I32" i="206" s="1"/>
  <c r="I33" i="206" s="1"/>
  <c r="I34" i="206" s="1"/>
  <c r="I35" i="206" s="1"/>
  <c r="I36" i="206" s="1"/>
  <c r="I37" i="206" s="1"/>
  <c r="I38" i="206" s="1"/>
  <c r="I39" i="206" s="1"/>
  <c r="I40" i="206" s="1"/>
  <c r="I41" i="206" s="1"/>
  <c r="I42" i="206" s="1"/>
  <c r="I43" i="206" s="1"/>
  <c r="I44" i="206" s="1"/>
  <c r="I45" i="206" s="1"/>
  <c r="I46" i="206" s="1"/>
  <c r="I47" i="206" s="1"/>
  <c r="I48" i="206" s="1"/>
  <c r="I49" i="206" s="1"/>
  <c r="I50" i="206" s="1"/>
  <c r="I51" i="206" s="1"/>
  <c r="I52" i="206" s="1"/>
  <c r="I53" i="206" s="1"/>
  <c r="I54" i="206" s="1"/>
  <c r="I55" i="206" s="1"/>
  <c r="I56" i="206" s="1"/>
  <c r="I57" i="206" s="1"/>
  <c r="I58" i="206" s="1"/>
  <c r="I59" i="206" s="1"/>
  <c r="I60" i="206" s="1"/>
  <c r="I61" i="206" s="1"/>
  <c r="I62" i="206" s="1"/>
  <c r="I63" i="206" s="1"/>
  <c r="F85" i="206"/>
  <c r="E90" i="206"/>
  <c r="K86" i="206"/>
  <c r="J86" i="206"/>
  <c r="G86" i="206"/>
  <c r="F86" i="206"/>
  <c r="C86" i="206"/>
  <c r="C85" i="206"/>
  <c r="D74" i="206"/>
  <c r="C74" i="206"/>
  <c r="C73" i="206"/>
  <c r="C72" i="206"/>
  <c r="C71" i="206"/>
  <c r="B17" i="206"/>
  <c r="B18" i="206" s="1"/>
  <c r="B19" i="206" s="1"/>
  <c r="B20" i="206" s="1"/>
  <c r="B21" i="206" s="1"/>
  <c r="B22" i="206" s="1"/>
  <c r="B23" i="206" s="1"/>
  <c r="B24" i="206" s="1"/>
  <c r="B25" i="206" s="1"/>
  <c r="B26" i="206" s="1"/>
  <c r="B27" i="206" s="1"/>
  <c r="B28" i="206" s="1"/>
  <c r="B29" i="206" s="1"/>
  <c r="B30" i="206" s="1"/>
  <c r="B31" i="206" s="1"/>
  <c r="B32" i="206" s="1"/>
  <c r="B33" i="206" s="1"/>
  <c r="B34" i="206" s="1"/>
  <c r="B35" i="206" s="1"/>
  <c r="B36" i="206" s="1"/>
  <c r="B37" i="206" s="1"/>
  <c r="B38" i="206" s="1"/>
  <c r="B39" i="206" s="1"/>
  <c r="B40" i="206" s="1"/>
  <c r="B41" i="206" s="1"/>
  <c r="B42" i="206" s="1"/>
  <c r="B43" i="206" s="1"/>
  <c r="B44" i="206" s="1"/>
  <c r="B45" i="206" s="1"/>
  <c r="B46" i="206" s="1"/>
  <c r="B47" i="206" s="1"/>
  <c r="B48" i="206" s="1"/>
  <c r="B49" i="206" s="1"/>
  <c r="B50" i="206" s="1"/>
  <c r="B51" i="206" s="1"/>
  <c r="B52" i="206" s="1"/>
  <c r="B53" i="206" s="1"/>
  <c r="B54" i="206" s="1"/>
  <c r="B55" i="206" s="1"/>
  <c r="B56" i="206" s="1"/>
  <c r="B57" i="206" s="1"/>
  <c r="B58" i="206" s="1"/>
  <c r="B59" i="206" s="1"/>
  <c r="B60" i="206" s="1"/>
  <c r="B61" i="206" s="1"/>
  <c r="B62" i="206" s="1"/>
  <c r="B63" i="206" s="1"/>
  <c r="B15" i="206"/>
  <c r="B16" i="206" s="1"/>
  <c r="B12" i="206"/>
  <c r="B13" i="206" s="1"/>
  <c r="B14" i="206" s="1"/>
  <c r="B11" i="206"/>
  <c r="B8" i="206"/>
  <c r="H10" i="205"/>
  <c r="H11" i="205" s="1"/>
  <c r="H12" i="205" s="1"/>
  <c r="H13" i="205" s="1"/>
  <c r="H14" i="205" s="1"/>
  <c r="H15" i="205" s="1"/>
  <c r="H16" i="205" s="1"/>
  <c r="H17" i="205" s="1"/>
  <c r="H18" i="205" s="1"/>
  <c r="H19" i="205" s="1"/>
  <c r="H20" i="205" s="1"/>
  <c r="H21" i="205" s="1"/>
  <c r="H22" i="205" s="1"/>
  <c r="H23" i="205" s="1"/>
  <c r="H24" i="205" s="1"/>
  <c r="H25" i="205" s="1"/>
  <c r="H26" i="205" s="1"/>
  <c r="H27" i="205" s="1"/>
  <c r="H28" i="205" s="1"/>
  <c r="H29" i="205" s="1"/>
  <c r="H30" i="205" s="1"/>
  <c r="H31" i="205" s="1"/>
  <c r="H32" i="205" s="1"/>
  <c r="H33" i="205" s="1"/>
  <c r="H34" i="205" s="1"/>
  <c r="H35" i="205" s="1"/>
  <c r="H36" i="205" s="1"/>
  <c r="H37" i="205" s="1"/>
  <c r="H38" i="205" s="1"/>
  <c r="H39" i="205" s="1"/>
  <c r="H40" i="205" s="1"/>
  <c r="H41" i="205" s="1"/>
  <c r="H42" i="205" s="1"/>
  <c r="H43" i="205" s="1"/>
  <c r="H44" i="205" s="1"/>
  <c r="H45" i="205" s="1"/>
  <c r="H46" i="205" s="1"/>
  <c r="H47" i="205" s="1"/>
  <c r="H48" i="205" s="1"/>
  <c r="H49" i="205" s="1"/>
  <c r="H50" i="205" s="1"/>
  <c r="H51" i="205" s="1"/>
  <c r="H52" i="205" s="1"/>
  <c r="H53" i="205" s="1"/>
  <c r="H54" i="205" s="1"/>
  <c r="H55" i="205" s="1"/>
  <c r="H56" i="205" s="1"/>
  <c r="H57" i="205" s="1"/>
  <c r="H58" i="205" s="1"/>
  <c r="H59" i="205" s="1"/>
  <c r="H60" i="205" s="1"/>
  <c r="H61" i="205" s="1"/>
  <c r="H62" i="205" s="1"/>
  <c r="H63" i="205" s="1"/>
  <c r="G85" i="205"/>
  <c r="E107" i="205"/>
  <c r="K85" i="205"/>
  <c r="I10" i="205"/>
  <c r="I11" i="205" s="1"/>
  <c r="I12" i="205" s="1"/>
  <c r="I13" i="205" s="1"/>
  <c r="I14" i="205" s="1"/>
  <c r="I15" i="205" s="1"/>
  <c r="I16" i="205" s="1"/>
  <c r="I17" i="205" s="1"/>
  <c r="I18" i="205" s="1"/>
  <c r="I19" i="205" s="1"/>
  <c r="I20" i="205" s="1"/>
  <c r="I21" i="205" s="1"/>
  <c r="I22" i="205" s="1"/>
  <c r="I23" i="205" s="1"/>
  <c r="I24" i="205" s="1"/>
  <c r="I25" i="205" s="1"/>
  <c r="I26" i="205" s="1"/>
  <c r="I27" i="205" s="1"/>
  <c r="I28" i="205" s="1"/>
  <c r="I29" i="205" s="1"/>
  <c r="I30" i="205" s="1"/>
  <c r="I31" i="205" s="1"/>
  <c r="I32" i="205" s="1"/>
  <c r="I33" i="205" s="1"/>
  <c r="I34" i="205" s="1"/>
  <c r="I35" i="205" s="1"/>
  <c r="I36" i="205" s="1"/>
  <c r="I37" i="205" s="1"/>
  <c r="I38" i="205" s="1"/>
  <c r="I39" i="205" s="1"/>
  <c r="I40" i="205" s="1"/>
  <c r="I41" i="205" s="1"/>
  <c r="I42" i="205" s="1"/>
  <c r="I43" i="205" s="1"/>
  <c r="I44" i="205" s="1"/>
  <c r="I45" i="205" s="1"/>
  <c r="I46" i="205" s="1"/>
  <c r="I47" i="205" s="1"/>
  <c r="I48" i="205" s="1"/>
  <c r="I49" i="205" s="1"/>
  <c r="I50" i="205" s="1"/>
  <c r="I51" i="205" s="1"/>
  <c r="I52" i="205" s="1"/>
  <c r="I53" i="205" s="1"/>
  <c r="I54" i="205" s="1"/>
  <c r="I55" i="205" s="1"/>
  <c r="I56" i="205" s="1"/>
  <c r="I57" i="205" s="1"/>
  <c r="I58" i="205" s="1"/>
  <c r="I59" i="205" s="1"/>
  <c r="I60" i="205" s="1"/>
  <c r="I61" i="205" s="1"/>
  <c r="I62" i="205" s="1"/>
  <c r="I63" i="205" s="1"/>
  <c r="H80" i="205"/>
  <c r="F85" i="205"/>
  <c r="F87" i="205" s="1"/>
  <c r="E90" i="205"/>
  <c r="K86" i="205"/>
  <c r="J86" i="205"/>
  <c r="G86" i="205"/>
  <c r="H86" i="205" s="1"/>
  <c r="F86" i="205"/>
  <c r="C86" i="205"/>
  <c r="C85" i="205"/>
  <c r="D74" i="205"/>
  <c r="C74" i="205"/>
  <c r="C73" i="205"/>
  <c r="C72" i="205"/>
  <c r="C71" i="205"/>
  <c r="B11" i="205"/>
  <c r="B12" i="205" s="1"/>
  <c r="B13" i="205" s="1"/>
  <c r="B14" i="205" s="1"/>
  <c r="B15" i="205" s="1"/>
  <c r="B16" i="205" s="1"/>
  <c r="B17" i="205" s="1"/>
  <c r="B18" i="205" s="1"/>
  <c r="B19" i="205" s="1"/>
  <c r="B20" i="205" s="1"/>
  <c r="B21" i="205" s="1"/>
  <c r="B22" i="205" s="1"/>
  <c r="B23" i="205" s="1"/>
  <c r="B24" i="205" s="1"/>
  <c r="B25" i="205" s="1"/>
  <c r="B26" i="205" s="1"/>
  <c r="B27" i="205" s="1"/>
  <c r="B28" i="205" s="1"/>
  <c r="B29" i="205" s="1"/>
  <c r="B30" i="205" s="1"/>
  <c r="B31" i="205" s="1"/>
  <c r="B32" i="205" s="1"/>
  <c r="B33" i="205" s="1"/>
  <c r="B34" i="205" s="1"/>
  <c r="B35" i="205" s="1"/>
  <c r="B36" i="205" s="1"/>
  <c r="B37" i="205" s="1"/>
  <c r="B38" i="205" s="1"/>
  <c r="B39" i="205" s="1"/>
  <c r="B40" i="205" s="1"/>
  <c r="B41" i="205" s="1"/>
  <c r="B42" i="205" s="1"/>
  <c r="B43" i="205" s="1"/>
  <c r="B44" i="205" s="1"/>
  <c r="B45" i="205" s="1"/>
  <c r="B46" i="205" s="1"/>
  <c r="B47" i="205" s="1"/>
  <c r="B48" i="205" s="1"/>
  <c r="B49" i="205" s="1"/>
  <c r="B50" i="205" s="1"/>
  <c r="B51" i="205" s="1"/>
  <c r="B52" i="205" s="1"/>
  <c r="B53" i="205" s="1"/>
  <c r="B54" i="205" s="1"/>
  <c r="B55" i="205" s="1"/>
  <c r="B56" i="205" s="1"/>
  <c r="B57" i="205" s="1"/>
  <c r="B58" i="205" s="1"/>
  <c r="B59" i="205" s="1"/>
  <c r="B60" i="205" s="1"/>
  <c r="B61" i="205" s="1"/>
  <c r="B62" i="205" s="1"/>
  <c r="B63" i="205" s="1"/>
  <c r="B8" i="205"/>
  <c r="C101" i="206" l="1"/>
  <c r="J85" i="205"/>
  <c r="H85" i="206"/>
  <c r="C100" i="205"/>
  <c r="F80" i="206"/>
  <c r="F82" i="206" s="1"/>
  <c r="G80" i="206" s="1"/>
  <c r="G82" i="206" s="1"/>
  <c r="J85" i="206"/>
  <c r="C100" i="206"/>
  <c r="F80" i="205"/>
  <c r="C101" i="205"/>
  <c r="C102" i="205" s="1"/>
  <c r="D72" i="207"/>
  <c r="D112" i="207"/>
  <c r="D72" i="205"/>
  <c r="C102" i="206"/>
  <c r="C103" i="206" s="1"/>
  <c r="D23" i="207"/>
  <c r="D24" i="207" s="1"/>
  <c r="D112" i="205"/>
  <c r="C103" i="207"/>
  <c r="F82" i="207"/>
  <c r="G80" i="207" s="1"/>
  <c r="G82" i="207" s="1"/>
  <c r="H80" i="207"/>
  <c r="F85" i="207"/>
  <c r="F87" i="207" s="1"/>
  <c r="H86" i="206"/>
  <c r="H87" i="206" s="1"/>
  <c r="D112" i="206"/>
  <c r="H10" i="206"/>
  <c r="H11" i="206" s="1"/>
  <c r="H12" i="206" s="1"/>
  <c r="H13" i="206" s="1"/>
  <c r="H14" i="206" s="1"/>
  <c r="H15" i="206" s="1"/>
  <c r="H16" i="206" s="1"/>
  <c r="H17" i="206" s="1"/>
  <c r="H18" i="206" s="1"/>
  <c r="H19" i="206" s="1"/>
  <c r="H20" i="206" s="1"/>
  <c r="H21" i="206" s="1"/>
  <c r="H22" i="206" s="1"/>
  <c r="H23" i="206" s="1"/>
  <c r="H24" i="206" s="1"/>
  <c r="H25" i="206" s="1"/>
  <c r="H26" i="206" s="1"/>
  <c r="H27" i="206" s="1"/>
  <c r="H28" i="206" s="1"/>
  <c r="H29" i="206" s="1"/>
  <c r="H30" i="206" s="1"/>
  <c r="H31" i="206" s="1"/>
  <c r="H32" i="206" s="1"/>
  <c r="H33" i="206" s="1"/>
  <c r="H34" i="206" s="1"/>
  <c r="H35" i="206" s="1"/>
  <c r="H36" i="206" s="1"/>
  <c r="H37" i="206" s="1"/>
  <c r="H38" i="206" s="1"/>
  <c r="H39" i="206" s="1"/>
  <c r="H40" i="206" s="1"/>
  <c r="H41" i="206" s="1"/>
  <c r="H42" i="206" s="1"/>
  <c r="H43" i="206" s="1"/>
  <c r="H44" i="206" s="1"/>
  <c r="H45" i="206" s="1"/>
  <c r="H46" i="206" s="1"/>
  <c r="H47" i="206" s="1"/>
  <c r="H48" i="206" s="1"/>
  <c r="H49" i="206" s="1"/>
  <c r="H50" i="206" s="1"/>
  <c r="H51" i="206" s="1"/>
  <c r="H52" i="206" s="1"/>
  <c r="H53" i="206" s="1"/>
  <c r="H54" i="206" s="1"/>
  <c r="H55" i="206" s="1"/>
  <c r="H56" i="206" s="1"/>
  <c r="H57" i="206" s="1"/>
  <c r="H58" i="206" s="1"/>
  <c r="H59" i="206" s="1"/>
  <c r="H60" i="206" s="1"/>
  <c r="H61" i="206" s="1"/>
  <c r="H62" i="206" s="1"/>
  <c r="H63" i="206" s="1"/>
  <c r="F87" i="206"/>
  <c r="H80" i="206"/>
  <c r="C10" i="206"/>
  <c r="C11" i="206" s="1"/>
  <c r="C12" i="206" s="1"/>
  <c r="C13" i="206" s="1"/>
  <c r="C14" i="206" s="1"/>
  <c r="C15" i="206" s="1"/>
  <c r="C16" i="206" s="1"/>
  <c r="C17" i="206" s="1"/>
  <c r="C18" i="206" s="1"/>
  <c r="C19" i="206" s="1"/>
  <c r="C20" i="206" s="1"/>
  <c r="C21" i="206" s="1"/>
  <c r="C22" i="206" s="1"/>
  <c r="C23" i="206" s="1"/>
  <c r="D23" i="206" s="1"/>
  <c r="C103" i="205"/>
  <c r="H85" i="205"/>
  <c r="C10" i="205"/>
  <c r="C11" i="205" s="1"/>
  <c r="C12" i="205" s="1"/>
  <c r="C13" i="205" s="1"/>
  <c r="C14" i="205" s="1"/>
  <c r="C15" i="205" s="1"/>
  <c r="C16" i="205" s="1"/>
  <c r="C17" i="205" s="1"/>
  <c r="C18" i="205" s="1"/>
  <c r="C19" i="205" s="1"/>
  <c r="C20" i="205" s="1"/>
  <c r="C21" i="205" s="1"/>
  <c r="D21" i="205" s="1"/>
  <c r="H82" i="206" l="1"/>
  <c r="H82" i="207"/>
  <c r="F10" i="206"/>
  <c r="F11" i="206" s="1"/>
  <c r="F12" i="206" s="1"/>
  <c r="F13" i="206" s="1"/>
  <c r="F14" i="206" s="1"/>
  <c r="F15" i="206" s="1"/>
  <c r="F16" i="206" s="1"/>
  <c r="F17" i="206" s="1"/>
  <c r="F18" i="206" s="1"/>
  <c r="F19" i="206" s="1"/>
  <c r="F20" i="206" s="1"/>
  <c r="F21" i="206" s="1"/>
  <c r="F22" i="206" s="1"/>
  <c r="F23" i="206" s="1"/>
  <c r="F24" i="206" s="1"/>
  <c r="F25" i="206" s="1"/>
  <c r="F26" i="206" s="1"/>
  <c r="F27" i="206" s="1"/>
  <c r="F28" i="206" s="1"/>
  <c r="F29" i="206" s="1"/>
  <c r="F30" i="206" s="1"/>
  <c r="F31" i="206" s="1"/>
  <c r="F32" i="206" s="1"/>
  <c r="F33" i="206" s="1"/>
  <c r="F34" i="206" s="1"/>
  <c r="F35" i="206" s="1"/>
  <c r="F36" i="206" s="1"/>
  <c r="F37" i="206" s="1"/>
  <c r="F38" i="206" s="1"/>
  <c r="F39" i="206" s="1"/>
  <c r="F40" i="206" s="1"/>
  <c r="F41" i="206" s="1"/>
  <c r="F42" i="206" s="1"/>
  <c r="F43" i="206" s="1"/>
  <c r="F44" i="206" s="1"/>
  <c r="F45" i="206" s="1"/>
  <c r="F46" i="206" s="1"/>
  <c r="F47" i="206" s="1"/>
  <c r="F48" i="206" s="1"/>
  <c r="F49" i="206" s="1"/>
  <c r="F50" i="206" s="1"/>
  <c r="F51" i="206" s="1"/>
  <c r="F52" i="206" s="1"/>
  <c r="F53" i="206" s="1"/>
  <c r="F54" i="206" s="1"/>
  <c r="F55" i="206" s="1"/>
  <c r="F56" i="206" s="1"/>
  <c r="F57" i="206" s="1"/>
  <c r="F58" i="206" s="1"/>
  <c r="F59" i="206" s="1"/>
  <c r="F60" i="206" s="1"/>
  <c r="F61" i="206" s="1"/>
  <c r="F62" i="206" s="1"/>
  <c r="F63" i="206" s="1"/>
  <c r="I80" i="206"/>
  <c r="I82" i="206" s="1"/>
  <c r="F82" i="205"/>
  <c r="H82" i="205" s="1"/>
  <c r="I80" i="207"/>
  <c r="I82" i="207" s="1"/>
  <c r="F10" i="207"/>
  <c r="F11" i="207" s="1"/>
  <c r="F12" i="207" s="1"/>
  <c r="F13" i="207" s="1"/>
  <c r="F14" i="207" s="1"/>
  <c r="F15" i="207" s="1"/>
  <c r="F16" i="207" s="1"/>
  <c r="F17" i="207" s="1"/>
  <c r="F18" i="207" s="1"/>
  <c r="F19" i="207" s="1"/>
  <c r="F20" i="207" s="1"/>
  <c r="F21" i="207" s="1"/>
  <c r="F22" i="207" s="1"/>
  <c r="F23" i="207" s="1"/>
  <c r="D25" i="207"/>
  <c r="H85" i="207"/>
  <c r="G87" i="206"/>
  <c r="D109" i="206"/>
  <c r="I85" i="206"/>
  <c r="H87" i="205"/>
  <c r="F10" i="205"/>
  <c r="F11" i="205" s="1"/>
  <c r="F12" i="205" s="1"/>
  <c r="F13" i="205" s="1"/>
  <c r="F14" i="205" s="1"/>
  <c r="F15" i="205" s="1"/>
  <c r="F16" i="205" s="1"/>
  <c r="F17" i="205" s="1"/>
  <c r="F18" i="205" s="1"/>
  <c r="F19" i="205" s="1"/>
  <c r="F20" i="205" s="1"/>
  <c r="F21" i="205" s="1"/>
  <c r="F22" i="205" s="1"/>
  <c r="F23" i="205" s="1"/>
  <c r="F24" i="205" s="1"/>
  <c r="F25" i="205" s="1"/>
  <c r="F26" i="205" s="1"/>
  <c r="F27" i="205" s="1"/>
  <c r="F28" i="205" s="1"/>
  <c r="F29" i="205" s="1"/>
  <c r="F30" i="205" s="1"/>
  <c r="F31" i="205" s="1"/>
  <c r="F32" i="205" s="1"/>
  <c r="F33" i="205" s="1"/>
  <c r="F34" i="205" s="1"/>
  <c r="F35" i="205" s="1"/>
  <c r="F36" i="205" s="1"/>
  <c r="F37" i="205" s="1"/>
  <c r="F38" i="205" s="1"/>
  <c r="F39" i="205" s="1"/>
  <c r="F40" i="205" s="1"/>
  <c r="F41" i="205" s="1"/>
  <c r="F42" i="205" s="1"/>
  <c r="F43" i="205" s="1"/>
  <c r="F44" i="205" s="1"/>
  <c r="F45" i="205" s="1"/>
  <c r="F46" i="205" s="1"/>
  <c r="F47" i="205" s="1"/>
  <c r="F48" i="205" s="1"/>
  <c r="F49" i="205" s="1"/>
  <c r="F50" i="205" s="1"/>
  <c r="F51" i="205" s="1"/>
  <c r="F52" i="205" s="1"/>
  <c r="F53" i="205" s="1"/>
  <c r="F54" i="205" s="1"/>
  <c r="F55" i="205" s="1"/>
  <c r="F56" i="205" s="1"/>
  <c r="F57" i="205" s="1"/>
  <c r="F58" i="205" s="1"/>
  <c r="F59" i="205" s="1"/>
  <c r="F60" i="205" s="1"/>
  <c r="F61" i="205" s="1"/>
  <c r="F62" i="205" s="1"/>
  <c r="F63" i="205" s="1"/>
  <c r="I80" i="205"/>
  <c r="I82" i="205" l="1"/>
  <c r="G80" i="205"/>
  <c r="G82" i="205" s="1"/>
  <c r="F24" i="207"/>
  <c r="G23" i="207"/>
  <c r="H87" i="207"/>
  <c r="D26" i="207"/>
  <c r="I86" i="206"/>
  <c r="J87" i="206" s="1"/>
  <c r="K87" i="206"/>
  <c r="D109" i="205"/>
  <c r="G87" i="205"/>
  <c r="I85" i="205"/>
  <c r="D22" i="205"/>
  <c r="I87" i="206" l="1"/>
  <c r="D27" i="207"/>
  <c r="D109" i="207"/>
  <c r="G87" i="207"/>
  <c r="I85" i="207"/>
  <c r="F25" i="207"/>
  <c r="G24" i="207"/>
  <c r="J61" i="206"/>
  <c r="J45" i="206"/>
  <c r="J29" i="206"/>
  <c r="J52" i="206"/>
  <c r="J36" i="206"/>
  <c r="J59" i="206"/>
  <c r="J43" i="206"/>
  <c r="J27" i="206"/>
  <c r="J60" i="206"/>
  <c r="J44" i="206"/>
  <c r="J28" i="206"/>
  <c r="J54" i="206"/>
  <c r="J38" i="206"/>
  <c r="J51" i="206"/>
  <c r="J35" i="206"/>
  <c r="J63" i="206"/>
  <c r="J58" i="206"/>
  <c r="J42" i="206"/>
  <c r="J26" i="206"/>
  <c r="J49" i="206"/>
  <c r="J33" i="206"/>
  <c r="J31" i="206"/>
  <c r="J56" i="206"/>
  <c r="J40" i="206"/>
  <c r="J24" i="206"/>
  <c r="J47" i="206"/>
  <c r="J55" i="206"/>
  <c r="J30" i="206"/>
  <c r="J57" i="206"/>
  <c r="J53" i="206"/>
  <c r="J62" i="206"/>
  <c r="J34" i="206"/>
  <c r="J32" i="206"/>
  <c r="J41" i="206"/>
  <c r="J37" i="206"/>
  <c r="J23" i="206"/>
  <c r="J25" i="206"/>
  <c r="J39" i="206"/>
  <c r="J50" i="206"/>
  <c r="J46" i="206"/>
  <c r="J48" i="206"/>
  <c r="D24" i="206"/>
  <c r="D23" i="205"/>
  <c r="I86" i="205"/>
  <c r="K87" i="205" s="1"/>
  <c r="I87" i="205" l="1"/>
  <c r="F26" i="207"/>
  <c r="G25" i="207"/>
  <c r="I86" i="207"/>
  <c r="K87" i="207" s="1"/>
  <c r="D28" i="207"/>
  <c r="D25" i="206"/>
  <c r="J52" i="205"/>
  <c r="J36" i="205"/>
  <c r="J27" i="205"/>
  <c r="J29" i="205"/>
  <c r="J59" i="205"/>
  <c r="J43" i="205"/>
  <c r="J50" i="205"/>
  <c r="J34" i="205"/>
  <c r="J57" i="205"/>
  <c r="J41" i="205"/>
  <c r="J25" i="205"/>
  <c r="J48" i="205"/>
  <c r="J32" i="205"/>
  <c r="J55" i="205"/>
  <c r="J39" i="205"/>
  <c r="J23" i="205"/>
  <c r="J47" i="205"/>
  <c r="J31" i="205"/>
  <c r="J62" i="205"/>
  <c r="J46" i="205"/>
  <c r="J30" i="205"/>
  <c r="J22" i="205"/>
  <c r="J61" i="205"/>
  <c r="J53" i="205"/>
  <c r="J37" i="205"/>
  <c r="J21" i="205"/>
  <c r="J45" i="205"/>
  <c r="J60" i="205"/>
  <c r="J44" i="205"/>
  <c r="J28" i="205"/>
  <c r="J38" i="205"/>
  <c r="J51" i="205"/>
  <c r="J35" i="205"/>
  <c r="J58" i="205"/>
  <c r="J42" i="205"/>
  <c r="J26" i="205"/>
  <c r="J49" i="205"/>
  <c r="J33" i="205"/>
  <c r="J54" i="205"/>
  <c r="J56" i="205"/>
  <c r="J40" i="205"/>
  <c r="J24" i="205"/>
  <c r="J63" i="205"/>
  <c r="J87" i="205"/>
  <c r="D24" i="205"/>
  <c r="I87" i="207" l="1"/>
  <c r="J87" i="207"/>
  <c r="D29" i="207"/>
  <c r="J61" i="207"/>
  <c r="J45" i="207"/>
  <c r="J29" i="207"/>
  <c r="J52" i="207"/>
  <c r="J59" i="207"/>
  <c r="J43" i="207"/>
  <c r="J27" i="207"/>
  <c r="J32" i="207"/>
  <c r="J50" i="207"/>
  <c r="J34" i="207"/>
  <c r="J57" i="207"/>
  <c r="J41" i="207"/>
  <c r="J25" i="207"/>
  <c r="K25" i="207" s="1"/>
  <c r="J55" i="207"/>
  <c r="J62" i="207"/>
  <c r="J46" i="207"/>
  <c r="J30" i="207"/>
  <c r="J53" i="207"/>
  <c r="J37" i="207"/>
  <c r="J56" i="207"/>
  <c r="J24" i="207"/>
  <c r="K24" i="207" s="1"/>
  <c r="J38" i="207"/>
  <c r="J60" i="207"/>
  <c r="J44" i="207"/>
  <c r="J28" i="207"/>
  <c r="J40" i="207"/>
  <c r="J36" i="207"/>
  <c r="J39" i="207"/>
  <c r="J23" i="207"/>
  <c r="J51" i="207"/>
  <c r="J35" i="207"/>
  <c r="J47" i="207"/>
  <c r="J31" i="207"/>
  <c r="J58" i="207"/>
  <c r="J42" i="207"/>
  <c r="J26" i="207"/>
  <c r="J63" i="207"/>
  <c r="J49" i="207"/>
  <c r="J33" i="207"/>
  <c r="J54" i="207"/>
  <c r="J48" i="207"/>
  <c r="F27" i="207"/>
  <c r="G26" i="207"/>
  <c r="D26" i="206"/>
  <c r="D25" i="205"/>
  <c r="D30" i="207" l="1"/>
  <c r="K23" i="207"/>
  <c r="K26" i="207"/>
  <c r="F28" i="207"/>
  <c r="G27" i="207"/>
  <c r="K27" i="207" s="1"/>
  <c r="D27" i="206"/>
  <c r="D26" i="205"/>
  <c r="F29" i="207" l="1"/>
  <c r="G28" i="207"/>
  <c r="K28" i="207" s="1"/>
  <c r="D31" i="207"/>
  <c r="D28" i="206"/>
  <c r="D27" i="205"/>
  <c r="D32" i="207" l="1"/>
  <c r="F30" i="207"/>
  <c r="G29" i="207"/>
  <c r="D29" i="206"/>
  <c r="D28" i="205"/>
  <c r="D33" i="207" l="1"/>
  <c r="F31" i="207"/>
  <c r="G30" i="207"/>
  <c r="K30" i="207" s="1"/>
  <c r="K29" i="207"/>
  <c r="D30" i="206"/>
  <c r="D29" i="205"/>
  <c r="F32" i="207" l="1"/>
  <c r="G31" i="207"/>
  <c r="K31" i="207" s="1"/>
  <c r="D34" i="207"/>
  <c r="D31" i="206"/>
  <c r="D30" i="205"/>
  <c r="D35" i="207" l="1"/>
  <c r="F33" i="207"/>
  <c r="G32" i="207"/>
  <c r="K32" i="207" s="1"/>
  <c r="D32" i="206"/>
  <c r="D31" i="205"/>
  <c r="D36" i="207" l="1"/>
  <c r="F34" i="207"/>
  <c r="G33" i="207"/>
  <c r="K33" i="207" s="1"/>
  <c r="D33" i="206"/>
  <c r="D32" i="205"/>
  <c r="F35" i="207" l="1"/>
  <c r="G34" i="207"/>
  <c r="K34" i="207" s="1"/>
  <c r="D37" i="207"/>
  <c r="D34" i="206"/>
  <c r="D33" i="205"/>
  <c r="D38" i="207" l="1"/>
  <c r="F36" i="207"/>
  <c r="G35" i="207"/>
  <c r="K35" i="207" s="1"/>
  <c r="D35" i="206"/>
  <c r="D34" i="205"/>
  <c r="F37" i="207" l="1"/>
  <c r="G36" i="207"/>
  <c r="K36" i="207" s="1"/>
  <c r="D39" i="207"/>
  <c r="D36" i="206"/>
  <c r="D35" i="205"/>
  <c r="D40" i="207" l="1"/>
  <c r="F38" i="207"/>
  <c r="G37" i="207"/>
  <c r="K37" i="207" s="1"/>
  <c r="D37" i="206"/>
  <c r="D36" i="205"/>
  <c r="F39" i="207" l="1"/>
  <c r="G38" i="207"/>
  <c r="K38" i="207" s="1"/>
  <c r="D41" i="207"/>
  <c r="D38" i="206"/>
  <c r="D37" i="205"/>
  <c r="F40" i="207" l="1"/>
  <c r="G39" i="207"/>
  <c r="K39" i="207" s="1"/>
  <c r="D42" i="207"/>
  <c r="D39" i="206"/>
  <c r="D38" i="205"/>
  <c r="F41" i="207" l="1"/>
  <c r="G40" i="207"/>
  <c r="K40" i="207" s="1"/>
  <c r="D43" i="207"/>
  <c r="D40" i="206"/>
  <c r="D39" i="205"/>
  <c r="D44" i="207" l="1"/>
  <c r="F42" i="207"/>
  <c r="G41" i="207"/>
  <c r="K41" i="207" s="1"/>
  <c r="D41" i="206"/>
  <c r="D40" i="205"/>
  <c r="D45" i="207" l="1"/>
  <c r="F43" i="207"/>
  <c r="G42" i="207"/>
  <c r="K42" i="207" s="1"/>
  <c r="D42" i="206"/>
  <c r="D41" i="205"/>
  <c r="D46" i="207" l="1"/>
  <c r="F44" i="207"/>
  <c r="G43" i="207"/>
  <c r="K43" i="207" s="1"/>
  <c r="D43" i="206"/>
  <c r="D42" i="205"/>
  <c r="F45" i="207" l="1"/>
  <c r="G44" i="207"/>
  <c r="K44" i="207" s="1"/>
  <c r="D47" i="207"/>
  <c r="D44" i="206"/>
  <c r="D43" i="205"/>
  <c r="F46" i="207" l="1"/>
  <c r="G45" i="207"/>
  <c r="K45" i="207" s="1"/>
  <c r="D48" i="207"/>
  <c r="D45" i="206"/>
  <c r="D44" i="205"/>
  <c r="D49" i="207" l="1"/>
  <c r="F47" i="207"/>
  <c r="G46" i="207"/>
  <c r="K46" i="207" s="1"/>
  <c r="D46" i="206"/>
  <c r="D45" i="205"/>
  <c r="F48" i="207" l="1"/>
  <c r="G47" i="207"/>
  <c r="K47" i="207" s="1"/>
  <c r="D50" i="207"/>
  <c r="D47" i="206"/>
  <c r="D46" i="205"/>
  <c r="D51" i="207" l="1"/>
  <c r="F49" i="207"/>
  <c r="G48" i="207"/>
  <c r="K48" i="207" s="1"/>
  <c r="D48" i="206"/>
  <c r="D47" i="205"/>
  <c r="F50" i="207" l="1"/>
  <c r="G49" i="207"/>
  <c r="K49" i="207" s="1"/>
  <c r="D52" i="207"/>
  <c r="D49" i="206"/>
  <c r="D48" i="205"/>
  <c r="D53" i="207" l="1"/>
  <c r="F51" i="207"/>
  <c r="G50" i="207"/>
  <c r="K50" i="207" s="1"/>
  <c r="D50" i="206"/>
  <c r="D49" i="205"/>
  <c r="F52" i="207" l="1"/>
  <c r="G51" i="207"/>
  <c r="K51" i="207" s="1"/>
  <c r="D54" i="207"/>
  <c r="D51" i="206"/>
  <c r="D50" i="205"/>
  <c r="D55" i="207" l="1"/>
  <c r="F53" i="207"/>
  <c r="G52" i="207"/>
  <c r="K52" i="207" s="1"/>
  <c r="D52" i="206"/>
  <c r="D51" i="205"/>
  <c r="F54" i="207" l="1"/>
  <c r="G53" i="207"/>
  <c r="K53" i="207" s="1"/>
  <c r="D56" i="207"/>
  <c r="D53" i="206"/>
  <c r="D52" i="205"/>
  <c r="D57" i="207" l="1"/>
  <c r="F55" i="207"/>
  <c r="G54" i="207"/>
  <c r="K54" i="207" s="1"/>
  <c r="D54" i="206"/>
  <c r="D53" i="205"/>
  <c r="F56" i="207" l="1"/>
  <c r="G55" i="207"/>
  <c r="K55" i="207" s="1"/>
  <c r="D58" i="207"/>
  <c r="D55" i="206"/>
  <c r="D54" i="205"/>
  <c r="D59" i="207" l="1"/>
  <c r="F57" i="207"/>
  <c r="G56" i="207"/>
  <c r="K56" i="207" s="1"/>
  <c r="D56" i="206"/>
  <c r="D55" i="205"/>
  <c r="F58" i="207" l="1"/>
  <c r="G57" i="207"/>
  <c r="K57" i="207" s="1"/>
  <c r="D60" i="207"/>
  <c r="D57" i="206"/>
  <c r="D56" i="205"/>
  <c r="D61" i="207" l="1"/>
  <c r="F59" i="207"/>
  <c r="G58" i="207"/>
  <c r="K58" i="207" s="1"/>
  <c r="D58" i="206"/>
  <c r="D57" i="205"/>
  <c r="F60" i="207" l="1"/>
  <c r="G59" i="207"/>
  <c r="K59" i="207" s="1"/>
  <c r="D62" i="207"/>
  <c r="D59" i="206"/>
  <c r="D58" i="205"/>
  <c r="D63" i="207" l="1"/>
  <c r="F61" i="207"/>
  <c r="G60" i="207"/>
  <c r="K60" i="207" s="1"/>
  <c r="D60" i="206"/>
  <c r="D59" i="205"/>
  <c r="F62" i="207" l="1"/>
  <c r="G61" i="207"/>
  <c r="K61" i="207" s="1"/>
  <c r="D61" i="206"/>
  <c r="D60" i="205"/>
  <c r="F63" i="207" l="1"/>
  <c r="G63" i="207" s="1"/>
  <c r="K63" i="207" s="1"/>
  <c r="G62" i="207"/>
  <c r="D62" i="206"/>
  <c r="D61" i="205"/>
  <c r="K62" i="207" l="1"/>
  <c r="D63" i="206"/>
  <c r="D62" i="205"/>
  <c r="D63" i="205" l="1"/>
  <c r="L141" i="203" l="1"/>
  <c r="L142" i="203"/>
  <c r="L143" i="203"/>
  <c r="L140" i="203"/>
  <c r="L160" i="203"/>
  <c r="L148" i="203" l="1"/>
  <c r="L154" i="203"/>
  <c r="L153" i="203"/>
  <c r="L152" i="203"/>
  <c r="L151" i="203"/>
  <c r="L159" i="203"/>
  <c r="L157" i="203"/>
  <c r="L155" i="203"/>
  <c r="L150" i="203"/>
  <c r="L149" i="203"/>
  <c r="L147" i="203"/>
  <c r="C58" i="139" s="1"/>
  <c r="F13" i="139" s="1"/>
  <c r="L146" i="203"/>
  <c r="L145" i="203"/>
  <c r="L144" i="203"/>
  <c r="C58" i="201" s="1"/>
  <c r="F12" i="201" s="1"/>
  <c r="L158" i="203"/>
  <c r="L156" i="203"/>
  <c r="F13" i="201" l="1"/>
  <c r="G12" i="201"/>
  <c r="J12" i="201" s="1"/>
  <c r="K12" i="201" s="1"/>
  <c r="L12" i="201"/>
  <c r="F14" i="139"/>
  <c r="F15" i="139" s="1"/>
  <c r="F16" i="139" s="1"/>
  <c r="F17" i="139" s="1"/>
  <c r="F18" i="139" s="1"/>
  <c r="F19" i="139" s="1"/>
  <c r="F20" i="139" s="1"/>
  <c r="F21" i="139" s="1"/>
  <c r="F22" i="139" s="1"/>
  <c r="F23" i="139" s="1"/>
  <c r="F24" i="139" s="1"/>
  <c r="F25" i="139" s="1"/>
  <c r="F26" i="139" s="1"/>
  <c r="F27" i="139" s="1"/>
  <c r="F28" i="139" s="1"/>
  <c r="F29" i="139" s="1"/>
  <c r="F30" i="139" s="1"/>
  <c r="F31" i="139" s="1"/>
  <c r="F32" i="139" s="1"/>
  <c r="F33" i="139" s="1"/>
  <c r="F34" i="139" s="1"/>
  <c r="F35" i="139" s="1"/>
  <c r="F36" i="139" s="1"/>
  <c r="F37" i="139" s="1"/>
  <c r="F38" i="139" s="1"/>
  <c r="F39" i="139" s="1"/>
  <c r="F40" i="139" s="1"/>
  <c r="F41" i="139" s="1"/>
  <c r="F42" i="139" s="1"/>
  <c r="F43" i="139" s="1"/>
  <c r="F44" i="139" s="1"/>
  <c r="F45" i="139" s="1"/>
  <c r="F46" i="139" s="1"/>
  <c r="L13" i="139"/>
  <c r="G13" i="139"/>
  <c r="J13" i="139" s="1"/>
  <c r="K13" i="139" s="1"/>
  <c r="D114" i="205"/>
  <c r="E13" i="205" s="1"/>
  <c r="E14" i="205" s="1"/>
  <c r="E15" i="205" s="1"/>
  <c r="E16" i="205" s="1"/>
  <c r="E17" i="205" s="1"/>
  <c r="E18" i="205" s="1"/>
  <c r="E19" i="205" s="1"/>
  <c r="E20" i="205" s="1"/>
  <c r="D114" i="194"/>
  <c r="E13" i="194" s="1"/>
  <c r="E14" i="194" s="1"/>
  <c r="E15" i="194" s="1"/>
  <c r="E16" i="194" s="1"/>
  <c r="E17" i="194" s="1"/>
  <c r="E18" i="194" s="1"/>
  <c r="E19" i="194" s="1"/>
  <c r="E20" i="194" s="1"/>
  <c r="E21" i="194" s="1"/>
  <c r="E22" i="194" s="1"/>
  <c r="E23" i="194" s="1"/>
  <c r="E24" i="194" s="1"/>
  <c r="E25" i="194" s="1"/>
  <c r="E26" i="194" s="1"/>
  <c r="E27" i="194" s="1"/>
  <c r="E28" i="194" s="1"/>
  <c r="E29" i="194" s="1"/>
  <c r="E30" i="194" s="1"/>
  <c r="E31" i="194" s="1"/>
  <c r="E32" i="194" s="1"/>
  <c r="E33" i="194" s="1"/>
  <c r="E34" i="194" s="1"/>
  <c r="E35" i="194" s="1"/>
  <c r="E36" i="194" s="1"/>
  <c r="E37" i="194" s="1"/>
  <c r="E38" i="194" s="1"/>
  <c r="E39" i="194" s="1"/>
  <c r="E40" i="194" s="1"/>
  <c r="E41" i="194" s="1"/>
  <c r="E42" i="194" s="1"/>
  <c r="E43" i="194" s="1"/>
  <c r="E44" i="194" s="1"/>
  <c r="E45" i="194" s="1"/>
  <c r="E46" i="194" s="1"/>
  <c r="E47" i="194" s="1"/>
  <c r="E48" i="194" s="1"/>
  <c r="E49" i="194" s="1"/>
  <c r="E50" i="194" s="1"/>
  <c r="E51" i="194" s="1"/>
  <c r="E52" i="194" s="1"/>
  <c r="E53" i="194" s="1"/>
  <c r="E54" i="194" s="1"/>
  <c r="E55" i="194" s="1"/>
  <c r="E56" i="194" s="1"/>
  <c r="E57" i="194" s="1"/>
  <c r="E58" i="194" s="1"/>
  <c r="E59" i="194" s="1"/>
  <c r="E60" i="194" s="1"/>
  <c r="E61" i="194" s="1"/>
  <c r="E62" i="194" s="1"/>
  <c r="E63" i="194" s="1"/>
  <c r="D114" i="206"/>
  <c r="E13" i="206" s="1"/>
  <c r="E14" i="206" s="1"/>
  <c r="E15" i="206" s="1"/>
  <c r="E16" i="206" s="1"/>
  <c r="E17" i="206" s="1"/>
  <c r="E18" i="206" s="1"/>
  <c r="E19" i="206" s="1"/>
  <c r="E20" i="206" s="1"/>
  <c r="D115" i="205"/>
  <c r="D115" i="206"/>
  <c r="E21" i="205" l="1"/>
  <c r="G21" i="205" s="1"/>
  <c r="F14" i="201"/>
  <c r="L13" i="201"/>
  <c r="G13" i="201"/>
  <c r="J13" i="201" s="1"/>
  <c r="K13" i="201" s="1"/>
  <c r="E21" i="206"/>
  <c r="E22" i="206" s="1"/>
  <c r="E23" i="206" s="1"/>
  <c r="E22" i="205" l="1"/>
  <c r="E23" i="205" s="1"/>
  <c r="F15" i="201"/>
  <c r="L14" i="201"/>
  <c r="G14" i="201"/>
  <c r="J14" i="201" s="1"/>
  <c r="K14" i="201" s="1"/>
  <c r="K21" i="205"/>
  <c r="E24" i="206"/>
  <c r="G23" i="206"/>
  <c r="G22" i="205" l="1"/>
  <c r="K22" i="205" s="1"/>
  <c r="F16" i="201"/>
  <c r="F17" i="201" s="1"/>
  <c r="L15" i="201"/>
  <c r="G15" i="201"/>
  <c r="J15" i="201" s="1"/>
  <c r="K15" i="201" s="1"/>
  <c r="E25" i="206"/>
  <c r="G24" i="206"/>
  <c r="K24" i="206" s="1"/>
  <c r="K23" i="206"/>
  <c r="E24" i="205"/>
  <c r="G23" i="205"/>
  <c r="K23" i="205" s="1"/>
  <c r="F18" i="201" l="1"/>
  <c r="L17" i="201"/>
  <c r="E25" i="205"/>
  <c r="G24" i="205"/>
  <c r="K24" i="205" s="1"/>
  <c r="E26" i="206"/>
  <c r="G25" i="206"/>
  <c r="F19" i="201" l="1"/>
  <c r="L18" i="201"/>
  <c r="K25" i="206"/>
  <c r="E27" i="206"/>
  <c r="G26" i="206"/>
  <c r="K26" i="206" s="1"/>
  <c r="E26" i="205"/>
  <c r="G25" i="205"/>
  <c r="F20" i="201" l="1"/>
  <c r="L19" i="201"/>
  <c r="K25" i="205"/>
  <c r="E27" i="205"/>
  <c r="G26" i="205"/>
  <c r="K26" i="205" s="1"/>
  <c r="E28" i="206"/>
  <c r="G27" i="206"/>
  <c r="K27" i="206" s="1"/>
  <c r="F21" i="201" l="1"/>
  <c r="L20" i="201"/>
  <c r="E29" i="206"/>
  <c r="G28" i="206"/>
  <c r="K28" i="206" s="1"/>
  <c r="E28" i="205"/>
  <c r="G27" i="205"/>
  <c r="K27" i="205" s="1"/>
  <c r="F22" i="201" l="1"/>
  <c r="L21" i="201"/>
  <c r="E29" i="205"/>
  <c r="G28" i="205"/>
  <c r="K28" i="205" s="1"/>
  <c r="E30" i="206"/>
  <c r="G29" i="206"/>
  <c r="F23" i="201" l="1"/>
  <c r="L22" i="201"/>
  <c r="K29" i="206"/>
  <c r="E31" i="206"/>
  <c r="G30" i="206"/>
  <c r="K30" i="206" s="1"/>
  <c r="E30" i="205"/>
  <c r="G29" i="205"/>
  <c r="K29" i="205" s="1"/>
  <c r="F24" i="201" l="1"/>
  <c r="L23" i="201"/>
  <c r="E32" i="206"/>
  <c r="G31" i="206"/>
  <c r="K31" i="206" s="1"/>
  <c r="E31" i="205"/>
  <c r="G30" i="205"/>
  <c r="K30" i="205" s="1"/>
  <c r="F25" i="201" l="1"/>
  <c r="L24" i="201"/>
  <c r="E33" i="206"/>
  <c r="G32" i="206"/>
  <c r="K32" i="206" s="1"/>
  <c r="E32" i="205"/>
  <c r="G31" i="205"/>
  <c r="K31" i="205" s="1"/>
  <c r="F26" i="201" l="1"/>
  <c r="L25" i="201"/>
  <c r="E34" i="206"/>
  <c r="G33" i="206"/>
  <c r="K33" i="206" s="1"/>
  <c r="E33" i="205"/>
  <c r="G32" i="205"/>
  <c r="K32" i="205" s="1"/>
  <c r="F27" i="201" l="1"/>
  <c r="L26" i="201"/>
  <c r="E35" i="206"/>
  <c r="G34" i="206"/>
  <c r="K34" i="206" s="1"/>
  <c r="E34" i="205"/>
  <c r="G33" i="205"/>
  <c r="K33" i="205" s="1"/>
  <c r="F28" i="201" l="1"/>
  <c r="L27" i="201"/>
  <c r="E36" i="206"/>
  <c r="G35" i="206"/>
  <c r="K35" i="206" s="1"/>
  <c r="E35" i="205"/>
  <c r="G34" i="205"/>
  <c r="K34" i="205" s="1"/>
  <c r="F29" i="201" l="1"/>
  <c r="L28" i="201"/>
  <c r="E36" i="205"/>
  <c r="G35" i="205"/>
  <c r="K35" i="205" s="1"/>
  <c r="E37" i="206"/>
  <c r="G36" i="206"/>
  <c r="K36" i="206" s="1"/>
  <c r="F30" i="201" l="1"/>
  <c r="L29" i="201"/>
  <c r="E38" i="206"/>
  <c r="G37" i="206"/>
  <c r="K37" i="206" s="1"/>
  <c r="E37" i="205"/>
  <c r="G36" i="205"/>
  <c r="K36" i="205" s="1"/>
  <c r="F31" i="201" l="1"/>
  <c r="L30" i="201"/>
  <c r="E38" i="205"/>
  <c r="G37" i="205"/>
  <c r="K37" i="205" s="1"/>
  <c r="E39" i="206"/>
  <c r="G38" i="206"/>
  <c r="K38" i="206" s="1"/>
  <c r="F32" i="201" l="1"/>
  <c r="L31" i="201"/>
  <c r="E40" i="206"/>
  <c r="G39" i="206"/>
  <c r="K39" i="206" s="1"/>
  <c r="E39" i="205"/>
  <c r="G38" i="205"/>
  <c r="K38" i="205" s="1"/>
  <c r="F33" i="201" l="1"/>
  <c r="L32" i="201"/>
  <c r="E40" i="205"/>
  <c r="G39" i="205"/>
  <c r="K39" i="205" s="1"/>
  <c r="E41" i="206"/>
  <c r="G40" i="206"/>
  <c r="K40" i="206" s="1"/>
  <c r="F34" i="201" l="1"/>
  <c r="L33" i="201"/>
  <c r="E42" i="206"/>
  <c r="G41" i="206"/>
  <c r="K41" i="206" s="1"/>
  <c r="E41" i="205"/>
  <c r="G40" i="205"/>
  <c r="K40" i="205" s="1"/>
  <c r="F35" i="201" l="1"/>
  <c r="L34" i="201"/>
  <c r="E42" i="205"/>
  <c r="G41" i="205"/>
  <c r="K41" i="205" s="1"/>
  <c r="E43" i="206"/>
  <c r="G42" i="206"/>
  <c r="K42" i="206" s="1"/>
  <c r="F36" i="201" l="1"/>
  <c r="L35" i="201"/>
  <c r="E44" i="206"/>
  <c r="G43" i="206"/>
  <c r="K43" i="206" s="1"/>
  <c r="E43" i="205"/>
  <c r="G42" i="205"/>
  <c r="K42" i="205" s="1"/>
  <c r="F37" i="201" l="1"/>
  <c r="L36" i="201"/>
  <c r="G36" i="201"/>
  <c r="J36" i="201" s="1"/>
  <c r="K36" i="201" s="1"/>
  <c r="E44" i="205"/>
  <c r="G43" i="205"/>
  <c r="K43" i="205" s="1"/>
  <c r="E45" i="206"/>
  <c r="G44" i="206"/>
  <c r="K44" i="206" s="1"/>
  <c r="F38" i="201" l="1"/>
  <c r="L37" i="201"/>
  <c r="G37" i="201"/>
  <c r="J37" i="201" s="1"/>
  <c r="K37" i="201" s="1"/>
  <c r="E46" i="206"/>
  <c r="G45" i="206"/>
  <c r="K45" i="206" s="1"/>
  <c r="E45" i="205"/>
  <c r="G44" i="205"/>
  <c r="K44" i="205" s="1"/>
  <c r="F39" i="201" l="1"/>
  <c r="L38" i="201"/>
  <c r="G38" i="201"/>
  <c r="J38" i="201" s="1"/>
  <c r="K38" i="201" s="1"/>
  <c r="E46" i="205"/>
  <c r="G45" i="205"/>
  <c r="K45" i="205" s="1"/>
  <c r="E47" i="206"/>
  <c r="G46" i="206"/>
  <c r="K46" i="206" s="1"/>
  <c r="F40" i="201" l="1"/>
  <c r="L39" i="201"/>
  <c r="G39" i="201"/>
  <c r="J39" i="201" s="1"/>
  <c r="K39" i="201" s="1"/>
  <c r="E48" i="206"/>
  <c r="G47" i="206"/>
  <c r="K47" i="206" s="1"/>
  <c r="E47" i="205"/>
  <c r="G46" i="205"/>
  <c r="K46" i="205" s="1"/>
  <c r="F41" i="201" l="1"/>
  <c r="G40" i="201"/>
  <c r="J40" i="201" s="1"/>
  <c r="K40" i="201" s="1"/>
  <c r="L40" i="201"/>
  <c r="E48" i="205"/>
  <c r="G47" i="205"/>
  <c r="K47" i="205" s="1"/>
  <c r="E49" i="206"/>
  <c r="G48" i="206"/>
  <c r="K48" i="206" s="1"/>
  <c r="F42" i="201" l="1"/>
  <c r="L41" i="201"/>
  <c r="G41" i="201"/>
  <c r="J41" i="201" s="1"/>
  <c r="K41" i="201" s="1"/>
  <c r="E50" i="206"/>
  <c r="G49" i="206"/>
  <c r="K49" i="206" s="1"/>
  <c r="E49" i="205"/>
  <c r="G48" i="205"/>
  <c r="K48" i="205" s="1"/>
  <c r="F43" i="201" l="1"/>
  <c r="G42" i="201"/>
  <c r="J42" i="201" s="1"/>
  <c r="K42" i="201" s="1"/>
  <c r="L42" i="201"/>
  <c r="E50" i="205"/>
  <c r="G49" i="205"/>
  <c r="K49" i="205" s="1"/>
  <c r="E51" i="206"/>
  <c r="G50" i="206"/>
  <c r="K50" i="206" s="1"/>
  <c r="L43" i="201" l="1"/>
  <c r="G43" i="201"/>
  <c r="J43" i="201" s="1"/>
  <c r="K43" i="201" s="1"/>
  <c r="E52" i="206"/>
  <c r="G51" i="206"/>
  <c r="K51" i="206" s="1"/>
  <c r="E51" i="205"/>
  <c r="G50" i="205"/>
  <c r="K50" i="205" s="1"/>
  <c r="E52" i="205" l="1"/>
  <c r="G51" i="205"/>
  <c r="K51" i="205" s="1"/>
  <c r="E53" i="206"/>
  <c r="G52" i="206"/>
  <c r="K52" i="206" s="1"/>
  <c r="E54" i="206" l="1"/>
  <c r="G53" i="206"/>
  <c r="K53" i="206" s="1"/>
  <c r="E53" i="205"/>
  <c r="G52" i="205"/>
  <c r="K52" i="205" s="1"/>
  <c r="E54" i="205" l="1"/>
  <c r="G53" i="205"/>
  <c r="K53" i="205" s="1"/>
  <c r="E55" i="206"/>
  <c r="G54" i="206"/>
  <c r="K54" i="206" s="1"/>
  <c r="E56" i="206" l="1"/>
  <c r="G55" i="206"/>
  <c r="K55" i="206" s="1"/>
  <c r="E55" i="205"/>
  <c r="G54" i="205"/>
  <c r="K54" i="205" s="1"/>
  <c r="E56" i="205" l="1"/>
  <c r="G55" i="205"/>
  <c r="K55" i="205" s="1"/>
  <c r="E57" i="206"/>
  <c r="G56" i="206"/>
  <c r="K56" i="206" s="1"/>
  <c r="E58" i="206" l="1"/>
  <c r="G57" i="206"/>
  <c r="K57" i="206" s="1"/>
  <c r="E57" i="205"/>
  <c r="G56" i="205"/>
  <c r="K56" i="205" s="1"/>
  <c r="E58" i="205" l="1"/>
  <c r="G57" i="205"/>
  <c r="K57" i="205" s="1"/>
  <c r="E59" i="206"/>
  <c r="G58" i="206"/>
  <c r="K58" i="206" s="1"/>
  <c r="E60" i="206" l="1"/>
  <c r="G59" i="206"/>
  <c r="K59" i="206" s="1"/>
  <c r="E59" i="205"/>
  <c r="G58" i="205"/>
  <c r="K58" i="205" s="1"/>
  <c r="E60" i="205" l="1"/>
  <c r="G59" i="205"/>
  <c r="K59" i="205" s="1"/>
  <c r="E61" i="206"/>
  <c r="G60" i="206"/>
  <c r="K60" i="206" s="1"/>
  <c r="E62" i="206" l="1"/>
  <c r="G61" i="206"/>
  <c r="K61" i="206" s="1"/>
  <c r="E61" i="205"/>
  <c r="G60" i="205"/>
  <c r="K60" i="205" l="1"/>
  <c r="E62" i="205"/>
  <c r="G61" i="205"/>
  <c r="K61" i="205" s="1"/>
  <c r="E63" i="206"/>
  <c r="G63" i="206" s="1"/>
  <c r="K63" i="206" s="1"/>
  <c r="G62" i="206"/>
  <c r="K62" i="206" l="1"/>
  <c r="E63" i="205"/>
  <c r="G63" i="205" s="1"/>
  <c r="K63" i="205" s="1"/>
  <c r="G62" i="205"/>
  <c r="K62" i="205" s="1"/>
  <c r="D112" i="194" l="1"/>
  <c r="C100" i="194"/>
  <c r="C101" i="194"/>
  <c r="C10" i="194" l="1"/>
  <c r="F80" i="194" l="1"/>
  <c r="C102" i="194"/>
  <c r="C103" i="194"/>
  <c r="F10" i="194" l="1"/>
  <c r="I80" i="194"/>
  <c r="H64" i="201" l="1"/>
  <c r="J64" i="201"/>
  <c r="H65" i="201"/>
  <c r="J65" i="201"/>
  <c r="H66" i="201"/>
  <c r="J66" i="201"/>
  <c r="H67" i="201"/>
  <c r="J67" i="201" s="1"/>
  <c r="H68" i="201"/>
  <c r="J68" i="201"/>
  <c r="H69" i="201"/>
  <c r="J69" i="201" s="1"/>
  <c r="H70" i="201"/>
  <c r="J70" i="201"/>
  <c r="H71" i="201"/>
  <c r="J71" i="201"/>
  <c r="H72" i="201"/>
  <c r="J72" i="201"/>
  <c r="H73" i="201"/>
  <c r="J73" i="201" s="1"/>
  <c r="AA14" i="31"/>
  <c r="AA15" i="31"/>
  <c r="AA16" i="31"/>
  <c r="AA17" i="31"/>
  <c r="AA18" i="31"/>
  <c r="AA19" i="31"/>
  <c r="AA20" i="31"/>
  <c r="AA21" i="31"/>
  <c r="AA22" i="31"/>
  <c r="AA23" i="31"/>
  <c r="AA24" i="31"/>
  <c r="AA25" i="31"/>
  <c r="AA26" i="31"/>
  <c r="AA27" i="31"/>
  <c r="AA28" i="31"/>
  <c r="AA29" i="31"/>
  <c r="AA30" i="31"/>
  <c r="AA31" i="31"/>
  <c r="AA32" i="31"/>
  <c r="AA33" i="31"/>
  <c r="AA34" i="31"/>
  <c r="AA35" i="31"/>
  <c r="AA36" i="31"/>
  <c r="AA37" i="31"/>
  <c r="AA38" i="31"/>
  <c r="AA39" i="31"/>
  <c r="AA40" i="31"/>
  <c r="AA41" i="31"/>
  <c r="AA42" i="31"/>
  <c r="AA43" i="31"/>
  <c r="AA44" i="31"/>
  <c r="AA45" i="31"/>
  <c r="AA46" i="31"/>
  <c r="AA47" i="31"/>
  <c r="AA48" i="31"/>
  <c r="AA325" i="31"/>
  <c r="AA326" i="31"/>
  <c r="AA327" i="31"/>
  <c r="AA328" i="31"/>
  <c r="AA329" i="31"/>
  <c r="AA330" i="31"/>
  <c r="AA331" i="31"/>
  <c r="AA332" i="31"/>
  <c r="AA333" i="31"/>
  <c r="AA13" i="31"/>
  <c r="A10" i="31"/>
  <c r="A8" i="31"/>
  <c r="A7" i="31"/>
  <c r="R6" i="31"/>
  <c r="S6" i="31"/>
  <c r="Q5" i="31" l="1"/>
  <c r="Q6" i="31" s="1"/>
  <c r="X42" i="31"/>
  <c r="X43" i="31"/>
  <c r="X44" i="31"/>
  <c r="X45" i="31"/>
  <c r="X46" i="31"/>
  <c r="X47" i="31"/>
  <c r="X48" i="31"/>
  <c r="X49" i="31"/>
  <c r="X50" i="31"/>
  <c r="ET38" i="25" l="1"/>
  <c r="ES38" i="25"/>
  <c r="ER38" i="25"/>
  <c r="EQ38" i="25"/>
  <c r="EP38" i="25"/>
  <c r="EO38" i="25"/>
  <c r="EN38" i="25"/>
  <c r="EM38" i="25"/>
  <c r="EL38" i="25"/>
  <c r="EK38" i="25"/>
  <c r="EJ38" i="25"/>
  <c r="EI38" i="25"/>
  <c r="EH38" i="25"/>
  <c r="EG38" i="25"/>
  <c r="EF38" i="25"/>
  <c r="EE38" i="25"/>
  <c r="ED38" i="25"/>
  <c r="ET37" i="25"/>
  <c r="ES37" i="25"/>
  <c r="ER37" i="25"/>
  <c r="EQ37" i="25"/>
  <c r="EP37" i="25"/>
  <c r="EO37" i="25"/>
  <c r="EN37" i="25"/>
  <c r="EM37" i="25"/>
  <c r="EL37" i="25"/>
  <c r="EK37" i="25"/>
  <c r="EJ37" i="25"/>
  <c r="EI37" i="25"/>
  <c r="EH37" i="25"/>
  <c r="EG37" i="25"/>
  <c r="EF37" i="25"/>
  <c r="EE37" i="25"/>
  <c r="ED37" i="25"/>
  <c r="ET36" i="25"/>
  <c r="ES36" i="25"/>
  <c r="ER36" i="25"/>
  <c r="EQ36" i="25"/>
  <c r="EP36" i="25"/>
  <c r="EO36" i="25"/>
  <c r="EN36" i="25"/>
  <c r="EM36" i="25"/>
  <c r="EL36" i="25"/>
  <c r="EK36" i="25"/>
  <c r="EJ36" i="25"/>
  <c r="EI36" i="25"/>
  <c r="EH36" i="25"/>
  <c r="EG36" i="25"/>
  <c r="EF36" i="25"/>
  <c r="EE36" i="25"/>
  <c r="ED36" i="25"/>
  <c r="ET35" i="25"/>
  <c r="ES35" i="25"/>
  <c r="ER35" i="25"/>
  <c r="EQ35" i="25"/>
  <c r="EP35" i="25"/>
  <c r="EO35" i="25"/>
  <c r="EN35" i="25"/>
  <c r="EM35" i="25"/>
  <c r="EL35" i="25"/>
  <c r="EK35" i="25"/>
  <c r="EJ35" i="25"/>
  <c r="EI35" i="25"/>
  <c r="EH35" i="25"/>
  <c r="EG35" i="25"/>
  <c r="EF35" i="25"/>
  <c r="EE35" i="25"/>
  <c r="ED35" i="25"/>
  <c r="FE33" i="25" l="1"/>
  <c r="ET33" i="25"/>
  <c r="ES33" i="25"/>
  <c r="ER33" i="25"/>
  <c r="EQ33" i="25"/>
  <c r="EP33" i="25"/>
  <c r="EO33" i="25"/>
  <c r="EN33" i="25"/>
  <c r="EM33" i="25"/>
  <c r="EL33" i="25"/>
  <c r="EK33" i="25"/>
  <c r="EJ33" i="25"/>
  <c r="EI33" i="25"/>
  <c r="EH33" i="25"/>
  <c r="EG33" i="25"/>
  <c r="EF33" i="25"/>
  <c r="EE33" i="25"/>
  <c r="ED33" i="25"/>
  <c r="H66" i="139" l="1"/>
  <c r="J66" i="139" s="1"/>
  <c r="H67" i="139"/>
  <c r="J67" i="139" s="1"/>
  <c r="H68" i="139"/>
  <c r="J68" i="139" s="1"/>
  <c r="H69" i="139"/>
  <c r="J69" i="139" s="1"/>
  <c r="H70" i="139"/>
  <c r="J70" i="139" s="1"/>
  <c r="H71" i="139"/>
  <c r="J71" i="139" s="1"/>
  <c r="H72" i="139"/>
  <c r="J72" i="139" s="1"/>
  <c r="H73" i="139"/>
  <c r="J73" i="139" s="1"/>
  <c r="H65" i="139"/>
  <c r="J65" i="139" s="1"/>
  <c r="H64" i="139"/>
  <c r="J64" i="139" l="1"/>
  <c r="FE20" i="25" l="1"/>
  <c r="FE21" i="25"/>
  <c r="FE22" i="25"/>
  <c r="FE23" i="25"/>
  <c r="FE24" i="25"/>
  <c r="FE25" i="25"/>
  <c r="FE26" i="25"/>
  <c r="FE27" i="25"/>
  <c r="FE28" i="25"/>
  <c r="FE29" i="25"/>
  <c r="FE30" i="25"/>
  <c r="FE31" i="25"/>
  <c r="FE32" i="25"/>
  <c r="R7" i="25"/>
  <c r="Q7" i="25"/>
  <c r="BG9" i="25"/>
  <c r="BF9" i="25"/>
  <c r="BE9" i="25"/>
  <c r="BD9" i="25"/>
  <c r="BC9" i="25"/>
  <c r="BB9" i="25"/>
  <c r="BA9" i="25"/>
  <c r="S9" i="25" s="1"/>
  <c r="AZ9" i="25"/>
  <c r="R9" i="25" s="1"/>
  <c r="AY9" i="25"/>
  <c r="Q9" i="25" s="1"/>
  <c r="BA8" i="25"/>
  <c r="S8" i="25" s="1"/>
  <c r="AZ8" i="25"/>
  <c r="R8" i="25" s="1"/>
  <c r="AY8" i="25"/>
  <c r="Q8" i="25" s="1"/>
  <c r="BA7" i="25"/>
  <c r="AZ7" i="25"/>
  <c r="AY7" i="25"/>
  <c r="D54" i="201" l="1"/>
  <c r="D53" i="201"/>
  <c r="D56" i="201"/>
  <c r="C56" i="201"/>
  <c r="D55" i="201"/>
  <c r="C55" i="201"/>
  <c r="C54" i="201"/>
  <c r="C53" i="201"/>
  <c r="C52" i="201"/>
  <c r="B10" i="201"/>
  <c r="B2" i="201"/>
  <c r="B11" i="201" l="1"/>
  <c r="B12" i="201" s="1"/>
  <c r="B13" i="201" s="1"/>
  <c r="B14" i="201" s="1"/>
  <c r="B15" i="201" s="1"/>
  <c r="B16" i="201" s="1"/>
  <c r="B17" i="201" s="1"/>
  <c r="B18" i="201" s="1"/>
  <c r="B19" i="201" s="1"/>
  <c r="B20" i="201" s="1"/>
  <c r="B21" i="201" s="1"/>
  <c r="B22" i="201" s="1"/>
  <c r="B23" i="201" s="1"/>
  <c r="B24" i="201" s="1"/>
  <c r="B25" i="201" s="1"/>
  <c r="B26" i="201" s="1"/>
  <c r="B27" i="201" s="1"/>
  <c r="B28" i="201" s="1"/>
  <c r="B29" i="201" s="1"/>
  <c r="B30" i="201" s="1"/>
  <c r="B31" i="201" s="1"/>
  <c r="B32" i="201" s="1"/>
  <c r="B33" i="201" s="1"/>
  <c r="B34" i="201" s="1"/>
  <c r="B35" i="201" s="1"/>
  <c r="B3" i="201"/>
  <c r="FE9" i="25" l="1"/>
  <c r="P7" i="25" l="1"/>
  <c r="AX7" i="25"/>
  <c r="M17" i="28" l="1"/>
  <c r="M19" i="28"/>
  <c r="M21" i="28"/>
  <c r="M23" i="28"/>
  <c r="M25" i="28"/>
  <c r="M27" i="28"/>
  <c r="M76" i="28"/>
  <c r="M78" i="28"/>
  <c r="M84" i="28"/>
  <c r="M86" i="28"/>
  <c r="M88" i="28"/>
  <c r="M90" i="28"/>
  <c r="M96" i="28"/>
  <c r="M98" i="28"/>
  <c r="M102" i="28"/>
  <c r="M103" i="28"/>
  <c r="M104" i="28"/>
  <c r="M105" i="28"/>
  <c r="M106" i="28"/>
  <c r="M107" i="28"/>
  <c r="M108" i="28"/>
  <c r="M109" i="28"/>
  <c r="M110" i="28"/>
  <c r="M111" i="28"/>
  <c r="M112" i="28"/>
  <c r="M113" i="28"/>
  <c r="M114" i="28"/>
  <c r="M115" i="28"/>
  <c r="M116" i="28"/>
  <c r="M117" i="28"/>
  <c r="M118" i="28"/>
  <c r="M119" i="28"/>
  <c r="M120" i="28"/>
  <c r="M121" i="28"/>
  <c r="M122" i="28"/>
  <c r="M123" i="28"/>
  <c r="M124" i="28"/>
  <c r="M125" i="28"/>
  <c r="M126" i="28"/>
  <c r="M127" i="28"/>
  <c r="M128" i="28"/>
  <c r="M129" i="28"/>
  <c r="M130" i="28"/>
  <c r="M131" i="28"/>
  <c r="M132" i="28"/>
  <c r="M133" i="28"/>
  <c r="M134" i="28"/>
  <c r="M135" i="28"/>
  <c r="M137" i="28"/>
  <c r="M138" i="28"/>
  <c r="M140" i="28"/>
  <c r="M143" i="28"/>
  <c r="M144" i="28"/>
  <c r="M146" i="28"/>
  <c r="M149" i="28"/>
  <c r="M150" i="28"/>
  <c r="M152" i="28"/>
  <c r="M155" i="28"/>
  <c r="M156" i="28"/>
  <c r="M158" i="28"/>
  <c r="M162" i="28"/>
  <c r="M164" i="28"/>
  <c r="M165" i="28"/>
  <c r="M166" i="28"/>
  <c r="M167" i="28"/>
  <c r="M168" i="28"/>
  <c r="M169" i="28"/>
  <c r="M170" i="28"/>
  <c r="M171" i="28"/>
  <c r="M172" i="28"/>
  <c r="M173" i="28"/>
  <c r="M175" i="28"/>
  <c r="M176" i="28"/>
  <c r="M177" i="28"/>
  <c r="M178" i="28"/>
  <c r="M179" i="28"/>
  <c r="M181" i="28"/>
  <c r="M182" i="28"/>
  <c r="M183" i="28"/>
  <c r="M184" i="28"/>
  <c r="M187" i="28"/>
  <c r="M188" i="28"/>
  <c r="M190" i="28"/>
  <c r="M193" i="28"/>
  <c r="M194" i="28"/>
  <c r="M196" i="28"/>
  <c r="M199" i="28"/>
  <c r="M200" i="28"/>
  <c r="M202" i="28"/>
  <c r="M205" i="28"/>
  <c r="M206" i="28"/>
  <c r="M208" i="28"/>
  <c r="M211" i="28"/>
  <c r="M212" i="28"/>
  <c r="M214" i="28"/>
  <c r="M216" i="28"/>
  <c r="M217" i="28"/>
  <c r="M218" i="28"/>
  <c r="M219" i="28"/>
  <c r="M220" i="28"/>
  <c r="M221" i="28"/>
  <c r="M222" i="28"/>
  <c r="M223" i="28"/>
  <c r="M224" i="28"/>
  <c r="M225" i="28"/>
  <c r="M226" i="28"/>
  <c r="M227" i="28"/>
  <c r="M228" i="28"/>
  <c r="M229" i="28"/>
  <c r="M230" i="28"/>
  <c r="M231" i="28"/>
  <c r="M232" i="28"/>
  <c r="M233" i="28"/>
  <c r="M234" i="28"/>
  <c r="M235" i="28"/>
  <c r="M236" i="28"/>
  <c r="M237" i="28"/>
  <c r="M238" i="28"/>
  <c r="M239" i="28"/>
  <c r="M240" i="28"/>
  <c r="M241" i="28"/>
  <c r="M242" i="28"/>
  <c r="M243" i="28"/>
  <c r="M244" i="28"/>
  <c r="M245" i="28"/>
  <c r="M246" i="28"/>
  <c r="M247" i="28"/>
  <c r="M248" i="28"/>
  <c r="M249" i="28"/>
  <c r="M250" i="28"/>
  <c r="M251" i="28"/>
  <c r="M252" i="28"/>
  <c r="M253" i="28"/>
  <c r="M254" i="28"/>
  <c r="M255" i="28"/>
  <c r="M256" i="28"/>
  <c r="M257" i="28"/>
  <c r="M258" i="28"/>
  <c r="M259" i="28"/>
  <c r="M260" i="28"/>
  <c r="M261" i="28"/>
  <c r="M262" i="28"/>
  <c r="M263" i="28"/>
  <c r="M264" i="28"/>
  <c r="M265" i="28"/>
  <c r="M266" i="28"/>
  <c r="M267" i="28"/>
  <c r="M268" i="28"/>
  <c r="M269" i="28"/>
  <c r="M270" i="28"/>
  <c r="M271" i="28"/>
  <c r="M272" i="28"/>
  <c r="M273" i="28"/>
  <c r="M274" i="28"/>
  <c r="M275" i="28"/>
  <c r="M276" i="28"/>
  <c r="M277" i="28"/>
  <c r="M278" i="28"/>
  <c r="M279" i="28"/>
  <c r="M280" i="28"/>
  <c r="M281" i="28"/>
  <c r="M282" i="28"/>
  <c r="M283" i="28"/>
  <c r="M285" i="28"/>
  <c r="M286" i="28"/>
  <c r="M288" i="28"/>
  <c r="M289" i="28"/>
  <c r="M291" i="28"/>
  <c r="M292" i="28"/>
  <c r="M294" i="28"/>
  <c r="M295" i="28"/>
  <c r="M297" i="28"/>
  <c r="M299" i="28"/>
  <c r="M364" i="28" l="1"/>
  <c r="M358" i="28"/>
  <c r="M363" i="28"/>
  <c r="M357" i="28"/>
  <c r="M362" i="28"/>
  <c r="M356" i="28"/>
  <c r="M361" i="28"/>
  <c r="M355" i="28"/>
  <c r="M360" i="28"/>
  <c r="M354" i="28"/>
  <c r="M365" i="28"/>
  <c r="M359" i="28"/>
  <c r="M353" i="28"/>
  <c r="M352" i="28"/>
  <c r="M351" i="28"/>
  <c r="M350" i="28"/>
  <c r="M349" i="28"/>
  <c r="M348" i="28"/>
  <c r="M347" i="28"/>
  <c r="M346" i="28"/>
  <c r="M345" i="28"/>
  <c r="M344" i="28"/>
  <c r="M343" i="28"/>
  <c r="M342" i="28"/>
  <c r="M341" i="28"/>
  <c r="M340" i="28"/>
  <c r="M339" i="28"/>
  <c r="M338" i="28"/>
  <c r="M337" i="28"/>
  <c r="M336" i="28"/>
  <c r="M335" i="28"/>
  <c r="M334" i="28"/>
  <c r="M333" i="28"/>
  <c r="M332" i="28"/>
  <c r="M331" i="28"/>
  <c r="M330" i="28"/>
  <c r="M329" i="28"/>
  <c r="M328" i="28"/>
  <c r="M327" i="28"/>
  <c r="M326" i="28"/>
  <c r="M325" i="28"/>
  <c r="M324" i="28"/>
  <c r="M323" i="28"/>
  <c r="M322" i="28"/>
  <c r="M321" i="28"/>
  <c r="M320" i="28"/>
  <c r="M319" i="28"/>
  <c r="M318" i="28"/>
  <c r="M317" i="28"/>
  <c r="M316" i="28"/>
  <c r="M315" i="28"/>
  <c r="M314" i="28"/>
  <c r="M313" i="28"/>
  <c r="M312" i="28"/>
  <c r="M311" i="28"/>
  <c r="M310" i="28"/>
  <c r="M309" i="28"/>
  <c r="M308" i="28"/>
  <c r="M307" i="28"/>
  <c r="M306" i="28"/>
  <c r="M305" i="28"/>
  <c r="M304" i="28"/>
  <c r="M303" i="28"/>
  <c r="M302" i="28"/>
  <c r="M301" i="28"/>
  <c r="M300" i="28"/>
  <c r="M298" i="28"/>
  <c r="M296" i="28"/>
  <c r="M293" i="28"/>
  <c r="M290" i="28"/>
  <c r="M287" i="28"/>
  <c r="M284" i="28"/>
  <c r="M204" i="28"/>
  <c r="M192" i="28"/>
  <c r="M163" i="28"/>
  <c r="M161" i="28"/>
  <c r="M136" i="28"/>
  <c r="M213" i="28"/>
  <c r="M201" i="28"/>
  <c r="M189" i="28"/>
  <c r="M174" i="28"/>
  <c r="M160" i="28"/>
  <c r="M151" i="28"/>
  <c r="M148" i="28"/>
  <c r="M139" i="28"/>
  <c r="M215" i="28"/>
  <c r="M203" i="28"/>
  <c r="M191" i="28"/>
  <c r="M159" i="28"/>
  <c r="M147" i="28"/>
  <c r="M210" i="28"/>
  <c r="M198" i="28"/>
  <c r="M186" i="28"/>
  <c r="M207" i="28"/>
  <c r="M195" i="28"/>
  <c r="M157" i="28"/>
  <c r="M154" i="28"/>
  <c r="M145" i="28"/>
  <c r="M142" i="28"/>
  <c r="M209" i="28"/>
  <c r="M197" i="28"/>
  <c r="M185" i="28"/>
  <c r="M180" i="28"/>
  <c r="M153" i="28"/>
  <c r="M141" i="28"/>
  <c r="M100" i="28"/>
  <c r="M73" i="28"/>
  <c r="M71" i="28"/>
  <c r="M69" i="28"/>
  <c r="M67" i="28"/>
  <c r="M65" i="28"/>
  <c r="M63" i="28"/>
  <c r="M61" i="28"/>
  <c r="M59" i="28"/>
  <c r="M57" i="28"/>
  <c r="M55" i="28"/>
  <c r="M53" i="28"/>
  <c r="M51" i="28"/>
  <c r="M49" i="28"/>
  <c r="M47" i="28"/>
  <c r="M45" i="28"/>
  <c r="M43" i="28"/>
  <c r="M41" i="28"/>
  <c r="M39" i="28"/>
  <c r="M37" i="28"/>
  <c r="M35" i="28"/>
  <c r="M33" i="28"/>
  <c r="M31" i="28"/>
  <c r="M29" i="28"/>
  <c r="M74" i="28"/>
  <c r="M72" i="28"/>
  <c r="M70" i="28"/>
  <c r="M68" i="28"/>
  <c r="M66" i="28"/>
  <c r="M64" i="28"/>
  <c r="M62" i="28"/>
  <c r="M60" i="28"/>
  <c r="M58" i="28"/>
  <c r="M56" i="28"/>
  <c r="M54" i="28"/>
  <c r="M52" i="28"/>
  <c r="M50" i="28"/>
  <c r="M48" i="28"/>
  <c r="M46" i="28"/>
  <c r="M44" i="28"/>
  <c r="M42" i="28"/>
  <c r="M40" i="28"/>
  <c r="M38" i="28"/>
  <c r="M36" i="28"/>
  <c r="M34" i="28"/>
  <c r="M32" i="28"/>
  <c r="M30" i="28"/>
  <c r="M28" i="28"/>
  <c r="M26" i="28"/>
  <c r="M24" i="28"/>
  <c r="M22" i="28"/>
  <c r="M20" i="28"/>
  <c r="M18" i="28"/>
  <c r="M91" i="28"/>
  <c r="M79" i="28"/>
  <c r="M93" i="28"/>
  <c r="M81" i="28"/>
  <c r="M101" i="28"/>
  <c r="M95" i="28"/>
  <c r="M92" i="28"/>
  <c r="M83" i="28"/>
  <c r="M80" i="28"/>
  <c r="M89" i="28"/>
  <c r="M77" i="28"/>
  <c r="M97" i="28"/>
  <c r="M94" i="28"/>
  <c r="M85" i="28"/>
  <c r="M82" i="28"/>
  <c r="M99" i="28"/>
  <c r="M87" i="28"/>
  <c r="M75" i="28"/>
  <c r="D74" i="194" l="1"/>
  <c r="C73" i="194"/>
  <c r="C74" i="194"/>
  <c r="C71" i="194"/>
  <c r="E90" i="194"/>
  <c r="E107" i="194"/>
  <c r="H10" i="194"/>
  <c r="I10" i="194"/>
  <c r="H80" i="194" l="1"/>
  <c r="K85" i="194" l="1"/>
  <c r="F85" i="194"/>
  <c r="K86" i="194"/>
  <c r="J86" i="194"/>
  <c r="G86" i="194"/>
  <c r="F86" i="194"/>
  <c r="C86" i="194"/>
  <c r="G85" i="194"/>
  <c r="C85" i="194"/>
  <c r="C72" i="194"/>
  <c r="B11" i="194"/>
  <c r="B12" i="194" s="1"/>
  <c r="B13" i="194" s="1"/>
  <c r="B14" i="194" s="1"/>
  <c r="B15" i="194" s="1"/>
  <c r="B8" i="194"/>
  <c r="F82" i="194" l="1"/>
  <c r="H82" i="194" s="1"/>
  <c r="H86" i="194"/>
  <c r="F87" i="194"/>
  <c r="B16" i="194"/>
  <c r="H85" i="194"/>
  <c r="J85" i="194"/>
  <c r="I82" i="194" l="1"/>
  <c r="G80" i="194"/>
  <c r="G82" i="194" s="1"/>
  <c r="H87" i="194"/>
  <c r="I85" i="194" s="1"/>
  <c r="B17" i="194"/>
  <c r="B18" i="194" l="1"/>
  <c r="I86" i="194"/>
  <c r="K87" i="194" s="1"/>
  <c r="D109" i="194"/>
  <c r="G87" i="194"/>
  <c r="I87" i="194" l="1"/>
  <c r="J87" i="194"/>
  <c r="B19" i="194"/>
  <c r="B20" i="194" l="1"/>
  <c r="B21" i="194" l="1"/>
  <c r="B22" i="194" l="1"/>
  <c r="B23" i="194" l="1"/>
  <c r="B24" i="194" l="1"/>
  <c r="B25" i="194" l="1"/>
  <c r="B26" i="194" l="1"/>
  <c r="B27" i="194" l="1"/>
  <c r="B28" i="194" l="1"/>
  <c r="B29" i="194" l="1"/>
  <c r="B30" i="194" l="1"/>
  <c r="B31" i="194" l="1"/>
  <c r="B32" i="194" s="1"/>
  <c r="B33" i="194" s="1"/>
  <c r="B34" i="194" s="1"/>
  <c r="B35" i="194" s="1"/>
  <c r="B36" i="194" s="1"/>
  <c r="B37" i="194" s="1"/>
  <c r="B38" i="194" s="1"/>
  <c r="B39" i="194" s="1"/>
  <c r="B40" i="194" s="1"/>
  <c r="B41" i="194" s="1"/>
  <c r="B42" i="194" s="1"/>
  <c r="B43" i="194" s="1"/>
  <c r="B44" i="194" s="1"/>
  <c r="B45" i="194" s="1"/>
  <c r="B46" i="194" s="1"/>
  <c r="B47" i="194" s="1"/>
  <c r="B48" i="194" s="1"/>
  <c r="B49" i="194" s="1"/>
  <c r="B50" i="194" s="1"/>
  <c r="B51" i="194" s="1"/>
  <c r="B52" i="194" s="1"/>
  <c r="B53" i="194" s="1"/>
  <c r="B54" i="194" s="1"/>
  <c r="B55" i="194" s="1"/>
  <c r="B56" i="194" s="1"/>
  <c r="B57" i="194" s="1"/>
  <c r="B58" i="194" s="1"/>
  <c r="B59" i="194" s="1"/>
  <c r="B60" i="194" s="1"/>
  <c r="B61" i="194" s="1"/>
  <c r="B62" i="194" s="1"/>
  <c r="B63" i="194" s="1"/>
  <c r="D72" i="194" l="1"/>
  <c r="AX8" i="25" l="1"/>
  <c r="P8" i="25" s="1"/>
  <c r="I11" i="194" l="1"/>
  <c r="I12" i="194" s="1"/>
  <c r="I13" i="194" s="1"/>
  <c r="I14" i="194" s="1"/>
  <c r="I15" i="194" s="1"/>
  <c r="I16" i="194" s="1"/>
  <c r="I17" i="194" s="1"/>
  <c r="I18" i="194" s="1"/>
  <c r="I19" i="194" s="1"/>
  <c r="I20" i="194" s="1"/>
  <c r="I21" i="194" s="1"/>
  <c r="I22" i="194" s="1"/>
  <c r="I23" i="194" s="1"/>
  <c r="I24" i="194" s="1"/>
  <c r="I25" i="194" s="1"/>
  <c r="I26" i="194" s="1"/>
  <c r="I27" i="194" s="1"/>
  <c r="I28" i="194" s="1"/>
  <c r="I29" i="194" s="1"/>
  <c r="I30" i="194" s="1"/>
  <c r="I31" i="194" s="1"/>
  <c r="I32" i="194" s="1"/>
  <c r="I33" i="194" s="1"/>
  <c r="I34" i="194" s="1"/>
  <c r="I35" i="194" s="1"/>
  <c r="I36" i="194" s="1"/>
  <c r="I37" i="194" s="1"/>
  <c r="I38" i="194" s="1"/>
  <c r="I39" i="194" s="1"/>
  <c r="I40" i="194" s="1"/>
  <c r="I41" i="194" s="1"/>
  <c r="I42" i="194" s="1"/>
  <c r="I43" i="194" s="1"/>
  <c r="I44" i="194" s="1"/>
  <c r="I45" i="194" s="1"/>
  <c r="I46" i="194" s="1"/>
  <c r="I47" i="194" s="1"/>
  <c r="I48" i="194" s="1"/>
  <c r="I49" i="194" s="1"/>
  <c r="I50" i="194" s="1"/>
  <c r="I51" i="194" s="1"/>
  <c r="I52" i="194" s="1"/>
  <c r="I53" i="194" s="1"/>
  <c r="I54" i="194" s="1"/>
  <c r="I55" i="194" s="1"/>
  <c r="I56" i="194" s="1"/>
  <c r="I57" i="194" s="1"/>
  <c r="I58" i="194" s="1"/>
  <c r="I59" i="194" s="1"/>
  <c r="I60" i="194" s="1"/>
  <c r="I61" i="194" s="1"/>
  <c r="I62" i="194" s="1"/>
  <c r="I63" i="194" s="1"/>
  <c r="E48" i="201" l="1"/>
  <c r="D48" i="201"/>
  <c r="J66" i="206"/>
  <c r="J66" i="205"/>
  <c r="J66" i="207"/>
  <c r="G66" i="207"/>
  <c r="K66" i="207"/>
  <c r="K66" i="205"/>
  <c r="G66" i="205"/>
  <c r="G66" i="206"/>
  <c r="K66" i="206"/>
  <c r="Z354" i="31"/>
  <c r="Z338" i="31"/>
  <c r="Z274" i="31"/>
  <c r="Z258" i="31"/>
  <c r="Z242" i="31"/>
  <c r="Z226" i="31"/>
  <c r="Z210" i="31"/>
  <c r="Z194" i="31"/>
  <c r="Z178" i="31"/>
  <c r="Z162" i="31"/>
  <c r="Z146" i="31"/>
  <c r="Z130" i="31"/>
  <c r="Z114" i="31"/>
  <c r="Z98" i="31"/>
  <c r="Z82" i="31"/>
  <c r="Z66" i="31"/>
  <c r="Z50" i="31"/>
  <c r="Z34" i="31"/>
  <c r="Z18" i="31"/>
  <c r="Z129" i="31"/>
  <c r="Z81" i="31"/>
  <c r="Z49" i="31"/>
  <c r="Z17" i="31"/>
  <c r="Z190" i="31"/>
  <c r="Z142" i="31"/>
  <c r="Z62" i="31"/>
  <c r="Z173" i="31"/>
  <c r="Z93" i="31"/>
  <c r="Z13" i="31"/>
  <c r="Z44" i="31"/>
  <c r="Z27" i="31"/>
  <c r="Z247" i="31"/>
  <c r="Z70" i="31"/>
  <c r="Z101" i="31"/>
  <c r="Z148" i="31"/>
  <c r="Z195" i="31"/>
  <c r="Z353" i="31"/>
  <c r="Z337" i="31"/>
  <c r="Z273" i="31"/>
  <c r="Z257" i="31"/>
  <c r="Z241" i="31"/>
  <c r="Z225" i="31"/>
  <c r="Z209" i="31"/>
  <c r="Z193" i="31"/>
  <c r="Z177" i="31"/>
  <c r="Z161" i="31"/>
  <c r="Z145" i="31"/>
  <c r="Z113" i="31"/>
  <c r="Z97" i="31"/>
  <c r="Z65" i="31"/>
  <c r="Z33" i="31"/>
  <c r="Z206" i="31"/>
  <c r="Z126" i="31"/>
  <c r="Z30" i="31"/>
  <c r="Z157" i="31"/>
  <c r="Z61" i="31"/>
  <c r="Z76" i="31"/>
  <c r="Z42" i="31"/>
  <c r="Z231" i="31"/>
  <c r="Z149" i="31"/>
  <c r="Z180" i="31"/>
  <c r="Z275" i="31"/>
  <c r="Z67" i="31"/>
  <c r="Z352" i="31"/>
  <c r="Z336" i="31"/>
  <c r="Z272" i="31"/>
  <c r="Z256" i="31"/>
  <c r="Z240" i="31"/>
  <c r="Z224" i="31"/>
  <c r="Z208" i="31"/>
  <c r="Z192" i="31"/>
  <c r="Z176" i="31"/>
  <c r="Z160" i="31"/>
  <c r="Z144" i="31"/>
  <c r="Z128" i="31"/>
  <c r="Z112" i="31"/>
  <c r="Z96" i="31"/>
  <c r="Z80" i="31"/>
  <c r="Z64" i="31"/>
  <c r="Z48" i="31"/>
  <c r="Z32" i="31"/>
  <c r="Z16" i="31"/>
  <c r="Z238" i="31"/>
  <c r="Z110" i="31"/>
  <c r="Z14" i="31"/>
  <c r="Z125" i="31"/>
  <c r="Z29" i="31"/>
  <c r="Z28" i="31"/>
  <c r="Z58" i="31"/>
  <c r="Z262" i="31"/>
  <c r="Z22" i="31"/>
  <c r="Z85" i="31"/>
  <c r="Z212" i="31"/>
  <c r="Z339" i="31"/>
  <c r="Z131" i="31"/>
  <c r="Z367" i="31"/>
  <c r="Z351" i="31"/>
  <c r="Z335" i="31"/>
  <c r="Z271" i="31"/>
  <c r="Z255" i="31"/>
  <c r="Z239" i="31"/>
  <c r="Z223" i="31"/>
  <c r="Z207" i="31"/>
  <c r="Z191" i="31"/>
  <c r="Z175" i="31"/>
  <c r="Z159" i="31"/>
  <c r="Z143" i="31"/>
  <c r="Z127" i="31"/>
  <c r="Z111" i="31"/>
  <c r="Z95" i="31"/>
  <c r="Z79" i="31"/>
  <c r="Z63" i="31"/>
  <c r="Z47" i="31"/>
  <c r="Z31" i="31"/>
  <c r="Z15" i="31"/>
  <c r="Z334" i="31"/>
  <c r="Z270" i="31"/>
  <c r="Z222" i="31"/>
  <c r="Z158" i="31"/>
  <c r="Z94" i="31"/>
  <c r="Z46" i="31"/>
  <c r="Z189" i="31"/>
  <c r="Z77" i="31"/>
  <c r="Z92" i="31"/>
  <c r="Z43" i="31"/>
  <c r="Z72" i="31"/>
  <c r="Z167" i="31"/>
  <c r="Z87" i="31"/>
  <c r="Z342" i="31"/>
  <c r="Z150" i="31"/>
  <c r="Z245" i="31"/>
  <c r="Z37" i="31"/>
  <c r="Z52" i="31"/>
  <c r="Z147" i="31"/>
  <c r="Z366" i="31"/>
  <c r="Z350" i="31"/>
  <c r="Z254" i="31"/>
  <c r="Z174" i="31"/>
  <c r="Z78" i="31"/>
  <c r="Z141" i="31"/>
  <c r="Z45" i="31"/>
  <c r="Z59" i="31"/>
  <c r="Z40" i="31"/>
  <c r="Z199" i="31"/>
  <c r="Z71" i="31"/>
  <c r="Z214" i="31"/>
  <c r="Z118" i="31"/>
  <c r="Z21" i="31"/>
  <c r="Z20" i="31"/>
  <c r="Z115" i="31"/>
  <c r="Z365" i="31"/>
  <c r="Z349" i="31"/>
  <c r="Z333" i="31"/>
  <c r="Z269" i="31"/>
  <c r="Z253" i="31"/>
  <c r="Z237" i="31"/>
  <c r="Z221" i="31"/>
  <c r="Z205" i="31"/>
  <c r="Z109" i="31"/>
  <c r="Z60" i="31"/>
  <c r="Z88" i="31"/>
  <c r="Z135" i="31"/>
  <c r="Z166" i="31"/>
  <c r="Z133" i="31"/>
  <c r="Z68" i="31"/>
  <c r="Z227" i="31"/>
  <c r="Z364" i="31"/>
  <c r="Z348" i="31"/>
  <c r="Z332" i="31"/>
  <c r="Z268" i="31"/>
  <c r="Z252" i="31"/>
  <c r="Z236" i="31"/>
  <c r="Z220" i="31"/>
  <c r="Z204" i="31"/>
  <c r="Z188" i="31"/>
  <c r="Z172" i="31"/>
  <c r="Z156" i="31"/>
  <c r="Z140" i="31"/>
  <c r="Z124" i="31"/>
  <c r="Z108" i="31"/>
  <c r="Z246" i="31"/>
  <c r="Z54" i="31"/>
  <c r="Z165" i="31"/>
  <c r="Z100" i="31"/>
  <c r="Z243" i="31"/>
  <c r="Z19" i="31"/>
  <c r="Z363" i="31"/>
  <c r="Z347" i="31"/>
  <c r="Z331" i="31"/>
  <c r="Z267" i="31"/>
  <c r="Z251" i="31"/>
  <c r="Z235" i="31"/>
  <c r="Z219" i="31"/>
  <c r="Z203" i="31"/>
  <c r="Z187" i="31"/>
  <c r="Z171" i="31"/>
  <c r="Z155" i="31"/>
  <c r="Z139" i="31"/>
  <c r="Z123" i="31"/>
  <c r="Z107" i="31"/>
  <c r="Z91" i="31"/>
  <c r="Z75" i="31"/>
  <c r="Z56" i="31"/>
  <c r="Z183" i="31"/>
  <c r="Z23" i="31"/>
  <c r="Z230" i="31"/>
  <c r="Z213" i="31"/>
  <c r="Z116" i="31"/>
  <c r="Z259" i="31"/>
  <c r="Z35" i="31"/>
  <c r="Z362" i="31"/>
  <c r="Z346" i="31"/>
  <c r="Z330" i="31"/>
  <c r="Z266" i="31"/>
  <c r="Z250" i="31"/>
  <c r="Z234" i="31"/>
  <c r="Z218" i="31"/>
  <c r="Z202" i="31"/>
  <c r="Z186" i="31"/>
  <c r="Z170" i="31"/>
  <c r="Z154" i="31"/>
  <c r="Z138" i="31"/>
  <c r="Z122" i="31"/>
  <c r="Z106" i="31"/>
  <c r="Z90" i="31"/>
  <c r="Z74" i="31"/>
  <c r="Z26" i="31"/>
  <c r="Z151" i="31"/>
  <c r="Z358" i="31"/>
  <c r="Z86" i="31"/>
  <c r="Z117" i="31"/>
  <c r="Z164" i="31"/>
  <c r="Z211" i="31"/>
  <c r="Z361" i="31"/>
  <c r="Z345" i="31"/>
  <c r="Z329" i="31"/>
  <c r="Z265" i="31"/>
  <c r="Z249" i="31"/>
  <c r="Z233" i="31"/>
  <c r="Z217" i="31"/>
  <c r="Z201" i="31"/>
  <c r="Z185" i="31"/>
  <c r="Z169" i="31"/>
  <c r="Z153" i="31"/>
  <c r="Z137" i="31"/>
  <c r="Z121" i="31"/>
  <c r="Z105" i="31"/>
  <c r="Z89" i="31"/>
  <c r="Z73" i="31"/>
  <c r="Z57" i="31"/>
  <c r="Z41" i="31"/>
  <c r="Z25" i="31"/>
  <c r="Z120" i="31"/>
  <c r="Z215" i="31"/>
  <c r="Z55" i="31"/>
  <c r="Z134" i="31"/>
  <c r="Z197" i="31"/>
  <c r="Z69" i="31"/>
  <c r="Z132" i="31"/>
  <c r="Z83" i="31"/>
  <c r="Z360" i="31"/>
  <c r="Z344" i="31"/>
  <c r="Z328" i="31"/>
  <c r="Z264" i="31"/>
  <c r="Z248" i="31"/>
  <c r="Z232" i="31"/>
  <c r="Z216" i="31"/>
  <c r="Z200" i="31"/>
  <c r="Z184" i="31"/>
  <c r="Z168" i="31"/>
  <c r="Z152" i="31"/>
  <c r="Z136" i="31"/>
  <c r="Z104" i="31"/>
  <c r="Z24" i="31"/>
  <c r="Z119" i="31"/>
  <c r="Z39" i="31"/>
  <c r="Z326" i="31"/>
  <c r="Z102" i="31"/>
  <c r="Z229" i="31"/>
  <c r="Z196" i="31"/>
  <c r="Z179" i="31"/>
  <c r="Z359" i="31"/>
  <c r="Z343" i="31"/>
  <c r="Z327" i="31"/>
  <c r="Z263" i="31"/>
  <c r="Z103" i="31"/>
  <c r="Z198" i="31"/>
  <c r="Z38" i="31"/>
  <c r="Z181" i="31"/>
  <c r="Z84" i="31"/>
  <c r="Z51" i="31"/>
  <c r="Z182" i="31"/>
  <c r="Z357" i="31"/>
  <c r="Z341" i="31"/>
  <c r="Z325" i="31"/>
  <c r="Z261" i="31"/>
  <c r="Z53" i="31"/>
  <c r="Z36" i="31"/>
  <c r="Z99" i="31"/>
  <c r="Z356" i="31"/>
  <c r="Z340" i="31"/>
  <c r="Z276" i="31"/>
  <c r="Z260" i="31"/>
  <c r="Z244" i="31"/>
  <c r="Z228" i="31"/>
  <c r="Z355" i="31"/>
  <c r="Z163" i="31"/>
  <c r="J54" i="25"/>
  <c r="C11" i="194"/>
  <c r="C12" i="194" s="1"/>
  <c r="C13" i="194" s="1"/>
  <c r="C14" i="194" s="1"/>
  <c r="C15" i="194" s="1"/>
  <c r="C16" i="194" s="1"/>
  <c r="C17" i="194" s="1"/>
  <c r="C18" i="194" s="1"/>
  <c r="C19" i="194" s="1"/>
  <c r="C20" i="194" s="1"/>
  <c r="D20" i="194" s="1"/>
  <c r="H11" i="194"/>
  <c r="H12" i="194" s="1"/>
  <c r="H13" i="194" s="1"/>
  <c r="H14" i="194" s="1"/>
  <c r="H15" i="194" s="1"/>
  <c r="H16" i="194" s="1"/>
  <c r="F11" i="194"/>
  <c r="J77" i="201" l="1"/>
  <c r="F12" i="194"/>
  <c r="H17" i="194"/>
  <c r="H18" i="194" l="1"/>
  <c r="F13" i="194"/>
  <c r="F14" i="194" l="1"/>
  <c r="H19" i="194"/>
  <c r="F15" i="194" l="1"/>
  <c r="H20" i="194"/>
  <c r="H21" i="194" l="1"/>
  <c r="J20" i="194"/>
  <c r="F16" i="194"/>
  <c r="D21" i="194"/>
  <c r="D22" i="194" l="1"/>
  <c r="F17" i="194"/>
  <c r="H22" i="194"/>
  <c r="J21" i="194"/>
  <c r="H23" i="194" l="1"/>
  <c r="J22" i="194"/>
  <c r="F18" i="194"/>
  <c r="D23" i="194"/>
  <c r="D24" i="194" l="1"/>
  <c r="F19" i="194"/>
  <c r="H24" i="194"/>
  <c r="J23" i="194"/>
  <c r="F20" i="194" l="1"/>
  <c r="H25" i="194"/>
  <c r="J24" i="194"/>
  <c r="D25" i="194"/>
  <c r="D26" i="194" l="1"/>
  <c r="H26" i="194"/>
  <c r="J25" i="194"/>
  <c r="F21" i="194"/>
  <c r="G20" i="194"/>
  <c r="F22" i="194" l="1"/>
  <c r="G21" i="194"/>
  <c r="K21" i="194" s="1"/>
  <c r="K20" i="194"/>
  <c r="H27" i="194"/>
  <c r="J26" i="194"/>
  <c r="D27" i="194"/>
  <c r="D28" i="194" l="1"/>
  <c r="H28" i="194"/>
  <c r="J27" i="194"/>
  <c r="F23" i="194"/>
  <c r="G22" i="194"/>
  <c r="K22" i="194" l="1"/>
  <c r="F24" i="194"/>
  <c r="G23" i="194"/>
  <c r="K23" i="194" s="1"/>
  <c r="H29" i="194"/>
  <c r="J28" i="194"/>
  <c r="D29" i="194"/>
  <c r="D30" i="194" l="1"/>
  <c r="H30" i="194"/>
  <c r="J29" i="194"/>
  <c r="F25" i="194"/>
  <c r="G24" i="194"/>
  <c r="K24" i="194" s="1"/>
  <c r="F26" i="194" l="1"/>
  <c r="G25" i="194"/>
  <c r="K25" i="194" s="1"/>
  <c r="H31" i="194"/>
  <c r="J30" i="194"/>
  <c r="D31" i="194"/>
  <c r="D32" i="194" l="1"/>
  <c r="H32" i="194"/>
  <c r="J31" i="194"/>
  <c r="F27" i="194"/>
  <c r="G26" i="194"/>
  <c r="K26" i="194" s="1"/>
  <c r="D33" i="194" l="1"/>
  <c r="F28" i="194"/>
  <c r="G27" i="194"/>
  <c r="K27" i="194" s="1"/>
  <c r="H33" i="194"/>
  <c r="J32" i="194"/>
  <c r="H34" i="194" l="1"/>
  <c r="J33" i="194"/>
  <c r="F29" i="194"/>
  <c r="G28" i="194"/>
  <c r="K28" i="194" s="1"/>
  <c r="D34" i="194"/>
  <c r="D35" i="194" l="1"/>
  <c r="F30" i="194"/>
  <c r="G29" i="194"/>
  <c r="K29" i="194" s="1"/>
  <c r="H35" i="194"/>
  <c r="J34" i="194"/>
  <c r="H36" i="194" l="1"/>
  <c r="J35" i="194"/>
  <c r="F31" i="194"/>
  <c r="G30" i="194"/>
  <c r="K30" i="194" s="1"/>
  <c r="D36" i="194"/>
  <c r="D37" i="194" l="1"/>
  <c r="F32" i="194"/>
  <c r="G31" i="194"/>
  <c r="K31" i="194" s="1"/>
  <c r="H37" i="194"/>
  <c r="J36" i="194"/>
  <c r="H38" i="194" l="1"/>
  <c r="J37" i="194"/>
  <c r="F33" i="194"/>
  <c r="G32" i="194"/>
  <c r="K32" i="194" s="1"/>
  <c r="D38" i="194"/>
  <c r="D39" i="194" l="1"/>
  <c r="F34" i="194"/>
  <c r="G33" i="194"/>
  <c r="K33" i="194" s="1"/>
  <c r="H39" i="194"/>
  <c r="J38" i="194"/>
  <c r="H40" i="194" l="1"/>
  <c r="J39" i="194"/>
  <c r="D40" i="194"/>
  <c r="F35" i="194"/>
  <c r="G34" i="194"/>
  <c r="K34" i="194" s="1"/>
  <c r="F36" i="194" l="1"/>
  <c r="G35" i="194"/>
  <c r="K35" i="194" s="1"/>
  <c r="D41" i="194"/>
  <c r="H41" i="194"/>
  <c r="J40" i="194"/>
  <c r="H42" i="194" l="1"/>
  <c r="J41" i="194"/>
  <c r="D42" i="194"/>
  <c r="F37" i="194"/>
  <c r="G36" i="194"/>
  <c r="K36" i="194" s="1"/>
  <c r="F38" i="194" l="1"/>
  <c r="G37" i="194"/>
  <c r="K37" i="194" s="1"/>
  <c r="D43" i="194"/>
  <c r="H43" i="194"/>
  <c r="J42" i="194"/>
  <c r="H44" i="194" l="1"/>
  <c r="J43" i="194"/>
  <c r="D44" i="194"/>
  <c r="F39" i="194"/>
  <c r="G38" i="194"/>
  <c r="K38" i="194" s="1"/>
  <c r="F40" i="194" l="1"/>
  <c r="G39" i="194"/>
  <c r="K39" i="194" s="1"/>
  <c r="D45" i="194"/>
  <c r="H45" i="194"/>
  <c r="J44" i="194"/>
  <c r="H46" i="194" l="1"/>
  <c r="J45" i="194"/>
  <c r="D46" i="194"/>
  <c r="F41" i="194"/>
  <c r="G40" i="194"/>
  <c r="K40" i="194" s="1"/>
  <c r="F42" i="194" l="1"/>
  <c r="G41" i="194"/>
  <c r="K41" i="194" s="1"/>
  <c r="D47" i="194"/>
  <c r="H47" i="194"/>
  <c r="J46" i="194"/>
  <c r="H48" i="194" l="1"/>
  <c r="J47" i="194"/>
  <c r="D48" i="194"/>
  <c r="F43" i="194"/>
  <c r="G42" i="194"/>
  <c r="K42" i="194" s="1"/>
  <c r="F44" i="194" l="1"/>
  <c r="G43" i="194"/>
  <c r="K43" i="194" s="1"/>
  <c r="D49" i="194"/>
  <c r="H49" i="194"/>
  <c r="J48" i="194"/>
  <c r="H50" i="194" l="1"/>
  <c r="J49" i="194"/>
  <c r="D50" i="194"/>
  <c r="F45" i="194"/>
  <c r="G44" i="194"/>
  <c r="K44" i="194" s="1"/>
  <c r="F46" i="194" l="1"/>
  <c r="G45" i="194"/>
  <c r="K45" i="194" s="1"/>
  <c r="D51" i="194"/>
  <c r="H51" i="194"/>
  <c r="J50" i="194"/>
  <c r="H52" i="194" l="1"/>
  <c r="J51" i="194"/>
  <c r="D52" i="194"/>
  <c r="F47" i="194"/>
  <c r="G46" i="194"/>
  <c r="K46" i="194" s="1"/>
  <c r="D53" i="194" l="1"/>
  <c r="F48" i="194"/>
  <c r="G47" i="194"/>
  <c r="K47" i="194" s="1"/>
  <c r="H53" i="194"/>
  <c r="J52" i="194"/>
  <c r="H54" i="194" l="1"/>
  <c r="J53" i="194"/>
  <c r="F49" i="194"/>
  <c r="G48" i="194"/>
  <c r="K48" i="194" s="1"/>
  <c r="D54" i="194"/>
  <c r="F50" i="194" l="1"/>
  <c r="G49" i="194"/>
  <c r="K49" i="194" s="1"/>
  <c r="D55" i="194"/>
  <c r="H55" i="194"/>
  <c r="J54" i="194"/>
  <c r="H56" i="194" l="1"/>
  <c r="J55" i="194"/>
  <c r="D56" i="194"/>
  <c r="D57" i="194" s="1"/>
  <c r="F51" i="194"/>
  <c r="G50" i="194"/>
  <c r="K50" i="194" s="1"/>
  <c r="D58" i="194" l="1"/>
  <c r="J56" i="194"/>
  <c r="H57" i="194"/>
  <c r="F52" i="194"/>
  <c r="G51" i="194"/>
  <c r="K51" i="194" s="1"/>
  <c r="H58" i="194" l="1"/>
  <c r="J57" i="194"/>
  <c r="D59" i="194"/>
  <c r="F53" i="194"/>
  <c r="G52" i="194"/>
  <c r="K52" i="194" s="1"/>
  <c r="D60" i="194" l="1"/>
  <c r="H59" i="194"/>
  <c r="J58" i="194"/>
  <c r="F54" i="194"/>
  <c r="G53" i="194"/>
  <c r="K53" i="194" s="1"/>
  <c r="H60" i="194" l="1"/>
  <c r="J59" i="194"/>
  <c r="J66" i="194" s="1"/>
  <c r="D61" i="194"/>
  <c r="F55" i="194"/>
  <c r="G54" i="194"/>
  <c r="K54" i="194" s="1"/>
  <c r="D62" i="194" l="1"/>
  <c r="D63" i="194" s="1"/>
  <c r="H61" i="194"/>
  <c r="J60" i="194"/>
  <c r="F56" i="194"/>
  <c r="G55" i="194"/>
  <c r="G56" i="194" l="1"/>
  <c r="K56" i="194" s="1"/>
  <c r="F57" i="194"/>
  <c r="H62" i="194"/>
  <c r="J61" i="194"/>
  <c r="K55" i="194"/>
  <c r="J62" i="194" l="1"/>
  <c r="H63" i="194"/>
  <c r="J63" i="194" s="1"/>
  <c r="F58" i="194"/>
  <c r="G57" i="194"/>
  <c r="K57" i="194" s="1"/>
  <c r="F59" i="194" l="1"/>
  <c r="G58" i="194"/>
  <c r="K58" i="194" s="1"/>
  <c r="F60" i="194" l="1"/>
  <c r="G59" i="194"/>
  <c r="K59" i="194" l="1"/>
  <c r="K66" i="194" s="1"/>
  <c r="G66" i="194"/>
  <c r="F61" i="194"/>
  <c r="G60" i="194"/>
  <c r="K60" i="194" s="1"/>
  <c r="F62" i="194" l="1"/>
  <c r="G61" i="194"/>
  <c r="K61" i="194" s="1"/>
  <c r="G17" i="201"/>
  <c r="J17" i="201" s="1"/>
  <c r="K17" i="201" s="1"/>
  <c r="G62" i="194" l="1"/>
  <c r="K62" i="194" s="1"/>
  <c r="F63" i="194"/>
  <c r="G63" i="194" s="1"/>
  <c r="K63" i="194" s="1"/>
  <c r="L16" i="201"/>
  <c r="L48" i="201" s="1"/>
  <c r="G16" i="201"/>
  <c r="G18" i="201"/>
  <c r="J18" i="201" s="1"/>
  <c r="K18" i="201" s="1"/>
  <c r="G19" i="201" l="1"/>
  <c r="J19" i="201" s="1"/>
  <c r="K19" i="201" s="1"/>
  <c r="G20" i="201" l="1"/>
  <c r="J20" i="201" s="1"/>
  <c r="K20" i="201" s="1"/>
  <c r="G21" i="201" l="1"/>
  <c r="J21" i="201" s="1"/>
  <c r="K21" i="201" s="1"/>
  <c r="G22" i="201" l="1"/>
  <c r="J22" i="201" s="1"/>
  <c r="K22" i="201" s="1"/>
  <c r="G23" i="201" l="1"/>
  <c r="J23" i="201" s="1"/>
  <c r="K23" i="201" s="1"/>
  <c r="G24" i="201" l="1"/>
  <c r="J24" i="201" s="1"/>
  <c r="K24" i="201" s="1"/>
  <c r="G25" i="201" l="1"/>
  <c r="J25" i="201" s="1"/>
  <c r="K25" i="201" s="1"/>
  <c r="G26" i="201" l="1"/>
  <c r="J26" i="201" s="1"/>
  <c r="K26" i="201" s="1"/>
  <c r="G27" i="201" l="1"/>
  <c r="J27" i="201" s="1"/>
  <c r="K27" i="201" s="1"/>
  <c r="G28" i="201" l="1"/>
  <c r="J28" i="201" s="1"/>
  <c r="K28" i="201" s="1"/>
  <c r="G29" i="201" l="1"/>
  <c r="J29" i="201" s="1"/>
  <c r="K29" i="201" s="1"/>
  <c r="G30" i="201" l="1"/>
  <c r="J30" i="201" s="1"/>
  <c r="K30" i="201" s="1"/>
  <c r="G31" i="201" l="1"/>
  <c r="J31" i="201" s="1"/>
  <c r="K31" i="201" s="1"/>
  <c r="G32" i="201" l="1"/>
  <c r="J32" i="201" s="1"/>
  <c r="K32" i="201" s="1"/>
  <c r="G33" i="201" l="1"/>
  <c r="J33" i="201" s="1"/>
  <c r="K33" i="201" s="1"/>
  <c r="G34" i="201" l="1"/>
  <c r="J34" i="201" s="1"/>
  <c r="K34" i="201" s="1"/>
  <c r="G35" i="201" l="1"/>
  <c r="J35" i="201" s="1"/>
  <c r="K35" i="201" s="1"/>
  <c r="J77" i="139" l="1"/>
  <c r="A7" i="131"/>
  <c r="D7" i="131" l="1"/>
  <c r="C7" i="131"/>
  <c r="B7" i="131"/>
  <c r="A8" i="131"/>
  <c r="D8" i="131" l="1"/>
  <c r="B8" i="131"/>
  <c r="C8" i="131"/>
  <c r="A9" i="131"/>
  <c r="D9" i="131" l="1"/>
  <c r="B9" i="131"/>
  <c r="C9" i="131"/>
  <c r="A10" i="131"/>
  <c r="D10" i="131" l="1"/>
  <c r="B10" i="131"/>
  <c r="C10" i="131"/>
  <c r="A11" i="131"/>
  <c r="D11" i="131" l="1"/>
  <c r="B11" i="131"/>
  <c r="C11" i="131"/>
  <c r="A12" i="131"/>
  <c r="C12" i="131" l="1"/>
  <c r="B12" i="131"/>
  <c r="D12" i="131"/>
  <c r="A13" i="131"/>
  <c r="B13" i="131" l="1"/>
  <c r="C13" i="131"/>
  <c r="D13" i="131"/>
  <c r="A14" i="131"/>
  <c r="C14" i="131" l="1"/>
  <c r="B14" i="131"/>
  <c r="D14" i="131"/>
  <c r="A15" i="131"/>
  <c r="C15" i="131" l="1"/>
  <c r="B15" i="131"/>
  <c r="D15" i="131"/>
  <c r="A16" i="131"/>
  <c r="D16" i="131" l="1"/>
  <c r="C16" i="131"/>
  <c r="B16" i="131"/>
  <c r="A17" i="131"/>
  <c r="D17" i="131" l="1"/>
  <c r="B17" i="131"/>
  <c r="C17" i="131"/>
  <c r="A18" i="131"/>
  <c r="D18" i="131" l="1"/>
  <c r="B18" i="131"/>
  <c r="C18" i="131"/>
  <c r="A19" i="131"/>
  <c r="D19" i="131" l="1"/>
  <c r="B19" i="131"/>
  <c r="C19" i="131"/>
  <c r="A20" i="131"/>
  <c r="D20" i="131" l="1"/>
  <c r="B20" i="131"/>
  <c r="C20" i="131"/>
  <c r="A21" i="131"/>
  <c r="C21" i="131" l="1"/>
  <c r="D21" i="131"/>
  <c r="B21" i="131"/>
  <c r="A22" i="131"/>
  <c r="C22" i="131" l="1"/>
  <c r="B22" i="131"/>
  <c r="D22" i="131"/>
  <c r="A23" i="131"/>
  <c r="B23" i="131" l="1"/>
  <c r="C23" i="131"/>
  <c r="D23" i="131"/>
  <c r="A24" i="131"/>
  <c r="B24" i="131" l="1"/>
  <c r="D24" i="131"/>
  <c r="C24" i="131"/>
  <c r="A25" i="131"/>
  <c r="C25" i="131" l="1"/>
  <c r="D25" i="131"/>
  <c r="B25" i="131"/>
  <c r="A26" i="131"/>
  <c r="D26" i="131" l="1"/>
  <c r="B26" i="131"/>
  <c r="C26" i="131"/>
  <c r="A27" i="131"/>
  <c r="C27" i="131" l="1"/>
  <c r="D27" i="131"/>
  <c r="B27" i="131"/>
  <c r="A28" i="131"/>
  <c r="D28" i="131" l="1"/>
  <c r="B28" i="131"/>
  <c r="C28" i="131"/>
  <c r="A29" i="131"/>
  <c r="B29" i="131" l="1"/>
  <c r="C29" i="131"/>
  <c r="D29" i="131"/>
  <c r="A30" i="131"/>
  <c r="C30" i="131" l="1"/>
  <c r="B30" i="131"/>
  <c r="D30" i="131"/>
  <c r="A31" i="131"/>
  <c r="C31" i="131" l="1"/>
  <c r="B31" i="131"/>
  <c r="D31" i="131"/>
  <c r="A32" i="131"/>
  <c r="D32" i="131" l="1"/>
  <c r="C32" i="131"/>
  <c r="B32" i="131"/>
  <c r="A33" i="131"/>
  <c r="D33" i="131" l="1"/>
  <c r="C33" i="131"/>
  <c r="B33" i="131"/>
  <c r="A34" i="131"/>
  <c r="B65" i="25"/>
  <c r="B60" i="25"/>
  <c r="A64" i="25"/>
  <c r="A59" i="25"/>
  <c r="D34" i="131" l="1"/>
  <c r="B34" i="131"/>
  <c r="C34" i="131"/>
  <c r="A35" i="131"/>
  <c r="ER9" i="25"/>
  <c r="EQ9" i="25"/>
  <c r="EP9" i="25"/>
  <c r="EH9" i="25"/>
  <c r="EG9" i="25"/>
  <c r="EF9" i="25"/>
  <c r="EE9" i="25"/>
  <c r="B35" i="131" l="1"/>
  <c r="C35" i="131"/>
  <c r="D35" i="131"/>
  <c r="A36" i="131"/>
  <c r="EN9" i="25"/>
  <c r="EL9" i="25"/>
  <c r="EJ9" i="25"/>
  <c r="C36" i="131" l="1"/>
  <c r="D36" i="131"/>
  <c r="B36" i="131"/>
  <c r="A37" i="131"/>
  <c r="EI9" i="25"/>
  <c r="B37" i="131" l="1"/>
  <c r="C37" i="131"/>
  <c r="D37" i="131"/>
  <c r="ED9" i="25"/>
  <c r="EB9" i="25" l="1"/>
  <c r="EO9" i="25" l="1"/>
  <c r="D53" i="139" l="1"/>
  <c r="D56" i="139"/>
  <c r="C56" i="139"/>
  <c r="D55" i="139"/>
  <c r="C55" i="139"/>
  <c r="C54" i="139"/>
  <c r="C53" i="139"/>
  <c r="C52" i="139"/>
  <c r="B2" i="139"/>
  <c r="D54" i="139" l="1"/>
  <c r="B10" i="139"/>
  <c r="B3" i="139"/>
  <c r="B11" i="139" l="1"/>
  <c r="EC9" i="25"/>
  <c r="B12" i="139" l="1"/>
  <c r="EK9" i="25"/>
  <c r="B13" i="139" l="1"/>
  <c r="B14" i="139" l="1"/>
  <c r="D15" i="139" l="1"/>
  <c r="D16" i="139" s="1"/>
  <c r="D17" i="139" s="1"/>
  <c r="D18" i="139" s="1"/>
  <c r="D19" i="139" s="1"/>
  <c r="D20" i="139" s="1"/>
  <c r="D21" i="139" s="1"/>
  <c r="D22" i="139" s="1"/>
  <c r="D23" i="139" s="1"/>
  <c r="D24" i="139" s="1"/>
  <c r="D25" i="139" s="1"/>
  <c r="D26" i="139" s="1"/>
  <c r="D27" i="139" s="1"/>
  <c r="D28" i="139" s="1"/>
  <c r="D29" i="139" s="1"/>
  <c r="D30" i="139" s="1"/>
  <c r="D31" i="139" s="1"/>
  <c r="D32" i="139" s="1"/>
  <c r="D33" i="139" s="1"/>
  <c r="D34" i="139" s="1"/>
  <c r="D35" i="139" s="1"/>
  <c r="D36" i="139" s="1"/>
  <c r="D37" i="139" s="1"/>
  <c r="D38" i="139" s="1"/>
  <c r="D39" i="139" s="1"/>
  <c r="D40" i="139" s="1"/>
  <c r="D41" i="139" s="1"/>
  <c r="D42" i="139" s="1"/>
  <c r="D43" i="139" s="1"/>
  <c r="D44" i="139" s="1"/>
  <c r="D45" i="139" s="1"/>
  <c r="D46" i="139" s="1"/>
  <c r="B15" i="139"/>
  <c r="B16" i="139" l="1"/>
  <c r="L15" i="139" l="1"/>
  <c r="B17" i="139"/>
  <c r="J16" i="201" l="1"/>
  <c r="J48" i="201" s="1"/>
  <c r="B18" i="139"/>
  <c r="K16" i="201" l="1"/>
  <c r="K48" i="201" s="1"/>
  <c r="B19" i="139"/>
  <c r="B20" i="139" l="1"/>
  <c r="B21" i="139" l="1"/>
  <c r="B22" i="139" l="1"/>
  <c r="B23" i="139" l="1"/>
  <c r="B24" i="139" l="1"/>
  <c r="B25" i="139" l="1"/>
  <c r="B26" i="139" l="1"/>
  <c r="AX9" i="25"/>
  <c r="P9" i="25" s="1"/>
  <c r="EM9" i="25"/>
  <c r="B27" i="139" l="1"/>
  <c r="EA9" i="25"/>
  <c r="B28" i="139" l="1"/>
  <c r="B29" i="139" l="1"/>
  <c r="G14" i="139"/>
  <c r="J14" i="139" s="1"/>
  <c r="L14" i="139"/>
  <c r="B30" i="139" l="1"/>
  <c r="G15" i="139"/>
  <c r="J15" i="139" s="1"/>
  <c r="K15" i="139" s="1"/>
  <c r="K14" i="139"/>
  <c r="B31" i="139" l="1"/>
  <c r="L16" i="139"/>
  <c r="G16" i="139"/>
  <c r="J16" i="139" s="1"/>
  <c r="B32" i="139" l="1"/>
  <c r="L17" i="139"/>
  <c r="G17" i="139"/>
  <c r="J17" i="139" s="1"/>
  <c r="K17" i="139" s="1"/>
  <c r="K16" i="139"/>
  <c r="B33" i="139" l="1"/>
  <c r="G18" i="139"/>
  <c r="J18" i="139" s="1"/>
  <c r="K18" i="139" s="1"/>
  <c r="L18" i="139"/>
  <c r="B34" i="139" l="1"/>
  <c r="G19" i="139"/>
  <c r="J19" i="139" s="1"/>
  <c r="K19" i="139" s="1"/>
  <c r="L19" i="139"/>
  <c r="B35" i="139" l="1"/>
  <c r="B36" i="139"/>
  <c r="G20" i="139"/>
  <c r="L20" i="139"/>
  <c r="J20" i="139" l="1"/>
  <c r="K20" i="139" s="1"/>
  <c r="G35" i="139"/>
  <c r="J35" i="139" s="1"/>
  <c r="K35" i="139" s="1"/>
  <c r="L35" i="139"/>
  <c r="B37" i="139"/>
  <c r="G21" i="139"/>
  <c r="J21" i="139" s="1"/>
  <c r="K21" i="139" s="1"/>
  <c r="L21" i="139"/>
  <c r="L36" i="139" l="1"/>
  <c r="G36" i="139"/>
  <c r="J36" i="139" s="1"/>
  <c r="K36" i="139" s="1"/>
  <c r="B38" i="139"/>
  <c r="L22" i="139"/>
  <c r="G22" i="139"/>
  <c r="J22" i="139" s="1"/>
  <c r="K22" i="139" s="1"/>
  <c r="L37" i="139" l="1"/>
  <c r="G37" i="139"/>
  <c r="J37" i="139" s="1"/>
  <c r="K37" i="139" s="1"/>
  <c r="B39" i="139"/>
  <c r="G23" i="139"/>
  <c r="J23" i="139" s="1"/>
  <c r="K23" i="139" s="1"/>
  <c r="L23" i="139"/>
  <c r="L38" i="139" l="1"/>
  <c r="G38" i="139"/>
  <c r="J38" i="139" s="1"/>
  <c r="K38" i="139" s="1"/>
  <c r="B40" i="139"/>
  <c r="G24" i="139"/>
  <c r="J24" i="139" s="1"/>
  <c r="K24" i="139" s="1"/>
  <c r="L24" i="139"/>
  <c r="L39" i="139" l="1"/>
  <c r="G39" i="139"/>
  <c r="J39" i="139" s="1"/>
  <c r="K39" i="139" s="1"/>
  <c r="B41" i="139"/>
  <c r="G25" i="139"/>
  <c r="J25" i="139" s="1"/>
  <c r="K25" i="139" s="1"/>
  <c r="L25" i="139"/>
  <c r="L40" i="139" l="1"/>
  <c r="G40" i="139"/>
  <c r="J40" i="139" s="1"/>
  <c r="K40" i="139" s="1"/>
  <c r="B42" i="139"/>
  <c r="G26" i="139"/>
  <c r="J26" i="139" s="1"/>
  <c r="K26" i="139" s="1"/>
  <c r="L26" i="139"/>
  <c r="G41" i="139" l="1"/>
  <c r="J41" i="139" s="1"/>
  <c r="K41" i="139" s="1"/>
  <c r="L41" i="139"/>
  <c r="B43" i="139"/>
  <c r="G27" i="139"/>
  <c r="J27" i="139" s="1"/>
  <c r="K27" i="139" s="1"/>
  <c r="L27" i="139"/>
  <c r="L42" i="139" l="1"/>
  <c r="G42" i="139"/>
  <c r="J42" i="139" s="1"/>
  <c r="B44" i="139"/>
  <c r="G28" i="139"/>
  <c r="J28" i="139" s="1"/>
  <c r="L28" i="139"/>
  <c r="K42" i="139" l="1"/>
  <c r="L43" i="139"/>
  <c r="G43" i="139"/>
  <c r="J43" i="139" s="1"/>
  <c r="B45" i="139"/>
  <c r="K28" i="139"/>
  <c r="G29" i="139"/>
  <c r="J29" i="139" s="1"/>
  <c r="K29" i="139" s="1"/>
  <c r="L29" i="139"/>
  <c r="K43" i="139" l="1"/>
  <c r="B46" i="139"/>
  <c r="G45" i="139"/>
  <c r="J45" i="139" s="1"/>
  <c r="K45" i="139" s="1"/>
  <c r="L45" i="139"/>
  <c r="L44" i="139"/>
  <c r="G44" i="139"/>
  <c r="J44" i="139" s="1"/>
  <c r="K44" i="139" s="1"/>
  <c r="G31" i="139"/>
  <c r="J31" i="139" s="1"/>
  <c r="K31" i="139" s="1"/>
  <c r="L31" i="139"/>
  <c r="G30" i="139"/>
  <c r="J30" i="139" s="1"/>
  <c r="L30" i="139"/>
  <c r="L46" i="139" l="1"/>
  <c r="G46" i="139"/>
  <c r="J46" i="139" s="1"/>
  <c r="K46" i="139" s="1"/>
  <c r="L33" i="139"/>
  <c r="G33" i="139"/>
  <c r="J33" i="139" s="1"/>
  <c r="K33" i="139" s="1"/>
  <c r="L32" i="139"/>
  <c r="G32" i="139"/>
  <c r="J32" i="139" s="1"/>
  <c r="K32" i="139" s="1"/>
  <c r="K30" i="139"/>
  <c r="L34" i="139" l="1"/>
  <c r="L48" i="139" s="1"/>
  <c r="G34" i="139"/>
  <c r="J34" i="139" s="1"/>
  <c r="K34" i="139" s="1"/>
  <c r="K48" i="139" s="1"/>
  <c r="J48" i="139" l="1"/>
  <c r="DS9" i="25" l="1"/>
  <c r="B55" i="25" l="1"/>
  <c r="D9" i="28" l="1"/>
  <c r="DX9" i="25" l="1"/>
  <c r="DV9" i="25"/>
  <c r="ET9" i="25" l="1"/>
  <c r="ES9" i="25"/>
  <c r="DZ9" i="25"/>
  <c r="DY9" i="25"/>
  <c r="DW9" i="25" l="1"/>
  <c r="DU9" i="25"/>
  <c r="DT9" i="25"/>
  <c r="DR9" i="25"/>
  <c r="C10" i="25" l="1"/>
  <c r="E9" i="28" l="1"/>
  <c r="F9" i="28"/>
  <c r="B53" i="28" l="1"/>
  <c r="B18" i="28" l="1"/>
  <c r="B19" i="28" l="1"/>
  <c r="B20" i="28" l="1"/>
  <c r="B21" i="28" l="1"/>
  <c r="B3" i="31"/>
  <c r="B22" i="28" l="1"/>
  <c r="B23" i="28" l="1"/>
  <c r="B24" i="28" l="1"/>
  <c r="B25" i="28" l="1"/>
  <c r="B26" i="28" l="1"/>
  <c r="B27" i="28" l="1"/>
  <c r="B28" i="28" l="1"/>
  <c r="B29" i="28" l="1"/>
  <c r="B30" i="28" l="1"/>
  <c r="B31" i="28" l="1"/>
  <c r="B32" i="28" l="1"/>
  <c r="B33" i="28" l="1"/>
  <c r="B34" i="28" l="1"/>
  <c r="B35" i="28" l="1"/>
  <c r="B36" i="28" s="1"/>
  <c r="D36" i="28" l="1"/>
  <c r="B37" i="28"/>
  <c r="E36" i="28"/>
  <c r="F36" i="28"/>
  <c r="C36" i="28"/>
  <c r="E37" i="28" l="1"/>
  <c r="C37" i="28"/>
  <c r="F37" i="28"/>
  <c r="D37" i="28"/>
  <c r="F30" i="28" l="1"/>
  <c r="F27" i="28"/>
  <c r="D26" i="28"/>
  <c r="D18" i="28"/>
  <c r="D34" i="28"/>
  <c r="E29" i="28"/>
  <c r="D22" i="28"/>
  <c r="F20" i="28"/>
  <c r="D23" i="28"/>
  <c r="F18" i="28"/>
  <c r="D35" i="28"/>
  <c r="E22" i="28"/>
  <c r="E33" i="28"/>
  <c r="D27" i="28"/>
  <c r="D30" i="28"/>
  <c r="E35" i="28"/>
  <c r="F22" i="28"/>
  <c r="E26" i="28"/>
  <c r="D19" i="28"/>
  <c r="F17" i="28"/>
  <c r="E30" i="28"/>
  <c r="F23" i="28"/>
  <c r="E20" i="28"/>
  <c r="E24" i="28"/>
  <c r="D31" i="28"/>
  <c r="D17" i="28"/>
  <c r="E19" i="28"/>
  <c r="D29" i="28"/>
  <c r="D33" i="28"/>
  <c r="F32" i="28"/>
  <c r="E23" i="28"/>
  <c r="D20" i="28"/>
  <c r="E17" i="28"/>
  <c r="E34" i="28"/>
  <c r="D32" i="28"/>
  <c r="F31" i="28"/>
  <c r="F26" i="28"/>
  <c r="E28" i="28"/>
  <c r="F34" i="28"/>
  <c r="F29" i="28"/>
  <c r="D21" i="28"/>
  <c r="D25" i="28"/>
  <c r="F21" i="28"/>
  <c r="E27" i="28"/>
  <c r="F24" i="28"/>
  <c r="D24" i="28"/>
  <c r="E21" i="28"/>
  <c r="F35" i="28"/>
  <c r="F25" i="28"/>
  <c r="E32" i="28"/>
  <c r="E18" i="28"/>
  <c r="F33" i="28"/>
  <c r="E31" i="28"/>
  <c r="F28" i="28"/>
  <c r="F19" i="28"/>
  <c r="D28" i="28"/>
  <c r="E25" i="28"/>
  <c r="J10" i="31"/>
  <c r="B9" i="31" s="1"/>
  <c r="J9" i="31" l="1"/>
  <c r="I14" i="31" l="1"/>
  <c r="I26" i="31" s="1"/>
  <c r="I38" i="31" s="1"/>
  <c r="I50" i="31" s="1"/>
  <c r="I62" i="31" s="1"/>
  <c r="I74" i="31" s="1"/>
  <c r="I86" i="31" s="1"/>
  <c r="I98" i="31" s="1"/>
  <c r="I110" i="31" s="1"/>
  <c r="I122" i="31" s="1"/>
  <c r="I134" i="31" s="1"/>
  <c r="I146" i="31" s="1"/>
  <c r="I158" i="31" s="1"/>
  <c r="I170" i="31" s="1"/>
  <c r="I182" i="31" s="1"/>
  <c r="I194" i="31" s="1"/>
  <c r="I206" i="31" s="1"/>
  <c r="I218" i="31" s="1"/>
  <c r="I230" i="31" s="1"/>
  <c r="I242" i="31" s="1"/>
  <c r="I254" i="31" s="1"/>
  <c r="I266" i="31" s="1"/>
  <c r="I278" i="31" s="1"/>
  <c r="I290" i="31" s="1"/>
  <c r="I302" i="31" s="1"/>
  <c r="I314" i="31" s="1"/>
  <c r="K10" i="31"/>
  <c r="I15" i="31" l="1"/>
  <c r="I27" i="31" s="1"/>
  <c r="I39" i="31" s="1"/>
  <c r="I51" i="31" s="1"/>
  <c r="I63" i="31" s="1"/>
  <c r="I75" i="31" s="1"/>
  <c r="I87" i="31" s="1"/>
  <c r="I99" i="31" s="1"/>
  <c r="I111" i="31" s="1"/>
  <c r="I123" i="31" s="1"/>
  <c r="I135" i="31" s="1"/>
  <c r="I147" i="31" s="1"/>
  <c r="I159" i="31" s="1"/>
  <c r="I171" i="31" s="1"/>
  <c r="I183" i="31" s="1"/>
  <c r="I195" i="31" s="1"/>
  <c r="I207" i="31" s="1"/>
  <c r="I219" i="31" s="1"/>
  <c r="I231" i="31" s="1"/>
  <c r="I243" i="31" s="1"/>
  <c r="I255" i="31" s="1"/>
  <c r="I267" i="31" s="1"/>
  <c r="I279" i="31" s="1"/>
  <c r="I291" i="31" s="1"/>
  <c r="I303" i="31" s="1"/>
  <c r="I315" i="31" s="1"/>
  <c r="I16" i="31" l="1"/>
  <c r="I28" i="31" s="1"/>
  <c r="I40" i="31" s="1"/>
  <c r="I52" i="31" s="1"/>
  <c r="I64" i="31" s="1"/>
  <c r="I76" i="31" s="1"/>
  <c r="I88" i="31" s="1"/>
  <c r="I100" i="31" s="1"/>
  <c r="I112" i="31" s="1"/>
  <c r="I124" i="31" s="1"/>
  <c r="I136" i="31" s="1"/>
  <c r="I148" i="31" s="1"/>
  <c r="I160" i="31" s="1"/>
  <c r="I172" i="31" s="1"/>
  <c r="I184" i="31" s="1"/>
  <c r="I196" i="31" s="1"/>
  <c r="I208" i="31" s="1"/>
  <c r="I220" i="31" s="1"/>
  <c r="I232" i="31" s="1"/>
  <c r="I244" i="31" s="1"/>
  <c r="I256" i="31" s="1"/>
  <c r="I268" i="31" s="1"/>
  <c r="I280" i="31" s="1"/>
  <c r="I292" i="31" s="1"/>
  <c r="I304" i="31" s="1"/>
  <c r="I316" i="31" s="1"/>
  <c r="I17" i="31" l="1"/>
  <c r="I29" i="31" s="1"/>
  <c r="I41" i="31" s="1"/>
  <c r="I53" i="31" s="1"/>
  <c r="I65" i="31" s="1"/>
  <c r="I77" i="31" s="1"/>
  <c r="I89" i="31" s="1"/>
  <c r="I101" i="31" s="1"/>
  <c r="I113" i="31" s="1"/>
  <c r="I125" i="31" s="1"/>
  <c r="I137" i="31" s="1"/>
  <c r="I149" i="31" s="1"/>
  <c r="I161" i="31" s="1"/>
  <c r="I173" i="31" s="1"/>
  <c r="I185" i="31" s="1"/>
  <c r="I197" i="31" s="1"/>
  <c r="I209" i="31" s="1"/>
  <c r="I221" i="31" s="1"/>
  <c r="I233" i="31" s="1"/>
  <c r="I245" i="31" s="1"/>
  <c r="I257" i="31" s="1"/>
  <c r="I269" i="31" s="1"/>
  <c r="I281" i="31" s="1"/>
  <c r="I293" i="31" s="1"/>
  <c r="I305" i="31" s="1"/>
  <c r="I317" i="31" s="1"/>
  <c r="I18" i="31" l="1"/>
  <c r="I30" i="31" s="1"/>
  <c r="I42" i="31" s="1"/>
  <c r="I54" i="31" s="1"/>
  <c r="I66" i="31" s="1"/>
  <c r="I78" i="31" s="1"/>
  <c r="I90" i="31" s="1"/>
  <c r="I102" i="31" s="1"/>
  <c r="I114" i="31" s="1"/>
  <c r="I126" i="31" s="1"/>
  <c r="I138" i="31" s="1"/>
  <c r="I150" i="31" s="1"/>
  <c r="I162" i="31" s="1"/>
  <c r="I174" i="31" s="1"/>
  <c r="I186" i="31" s="1"/>
  <c r="I198" i="31" s="1"/>
  <c r="I210" i="31" s="1"/>
  <c r="I222" i="31" s="1"/>
  <c r="I234" i="31" s="1"/>
  <c r="I246" i="31" s="1"/>
  <c r="I258" i="31" s="1"/>
  <c r="I270" i="31" s="1"/>
  <c r="I282" i="31" s="1"/>
  <c r="I294" i="31" s="1"/>
  <c r="I306" i="31" s="1"/>
  <c r="I318" i="31" s="1"/>
  <c r="I19" i="31" l="1"/>
  <c r="I31" i="31" s="1"/>
  <c r="I43" i="31" s="1"/>
  <c r="I55" i="31" s="1"/>
  <c r="I67" i="31" s="1"/>
  <c r="I79" i="31" s="1"/>
  <c r="I91" i="31" s="1"/>
  <c r="I103" i="31" s="1"/>
  <c r="I115" i="31" s="1"/>
  <c r="I127" i="31" s="1"/>
  <c r="I139" i="31" s="1"/>
  <c r="I151" i="31" s="1"/>
  <c r="I163" i="31" s="1"/>
  <c r="I175" i="31" s="1"/>
  <c r="I187" i="31" s="1"/>
  <c r="I199" i="31" s="1"/>
  <c r="I211" i="31" s="1"/>
  <c r="I223" i="31" s="1"/>
  <c r="I235" i="31" s="1"/>
  <c r="I247" i="31" s="1"/>
  <c r="I259" i="31" s="1"/>
  <c r="I271" i="31" s="1"/>
  <c r="I283" i="31" s="1"/>
  <c r="I295" i="31" s="1"/>
  <c r="I307" i="31" s="1"/>
  <c r="I319" i="31" s="1"/>
  <c r="I20" i="31" l="1"/>
  <c r="I32" i="31" s="1"/>
  <c r="I44" i="31" s="1"/>
  <c r="I56" i="31" s="1"/>
  <c r="I68" i="31" s="1"/>
  <c r="I80" i="31" s="1"/>
  <c r="I92" i="31" s="1"/>
  <c r="I104" i="31" s="1"/>
  <c r="I116" i="31" s="1"/>
  <c r="I128" i="31" s="1"/>
  <c r="I140" i="31" s="1"/>
  <c r="I152" i="31" s="1"/>
  <c r="I164" i="31" s="1"/>
  <c r="I176" i="31" s="1"/>
  <c r="I188" i="31" s="1"/>
  <c r="I200" i="31" s="1"/>
  <c r="I212" i="31" s="1"/>
  <c r="I224" i="31" s="1"/>
  <c r="I236" i="31" s="1"/>
  <c r="I248" i="31" s="1"/>
  <c r="I260" i="31" s="1"/>
  <c r="I272" i="31" s="1"/>
  <c r="I284" i="31" s="1"/>
  <c r="I296" i="31" s="1"/>
  <c r="I308" i="31" s="1"/>
  <c r="I320" i="31" s="1"/>
  <c r="I21" i="31" l="1"/>
  <c r="I33" i="31" s="1"/>
  <c r="I45" i="31" s="1"/>
  <c r="I57" i="31" s="1"/>
  <c r="I69" i="31" s="1"/>
  <c r="I81" i="31" s="1"/>
  <c r="I93" i="31" s="1"/>
  <c r="I105" i="31" s="1"/>
  <c r="I117" i="31" s="1"/>
  <c r="I129" i="31" s="1"/>
  <c r="I141" i="31" s="1"/>
  <c r="I153" i="31" s="1"/>
  <c r="I165" i="31" s="1"/>
  <c r="I177" i="31" s="1"/>
  <c r="I189" i="31" s="1"/>
  <c r="I201" i="31" s="1"/>
  <c r="I213" i="31" s="1"/>
  <c r="I225" i="31" s="1"/>
  <c r="I237" i="31" s="1"/>
  <c r="I249" i="31" s="1"/>
  <c r="I261" i="31" s="1"/>
  <c r="I273" i="31" s="1"/>
  <c r="I285" i="31" s="1"/>
  <c r="I297" i="31" s="1"/>
  <c r="I309" i="31" s="1"/>
  <c r="I321" i="31" s="1"/>
  <c r="I22" i="31" l="1"/>
  <c r="I34" i="31" s="1"/>
  <c r="I46" i="31" s="1"/>
  <c r="I58" i="31" s="1"/>
  <c r="I70" i="31" s="1"/>
  <c r="I82" i="31" s="1"/>
  <c r="I94" i="31" s="1"/>
  <c r="I106" i="31" s="1"/>
  <c r="I118" i="31" s="1"/>
  <c r="I130" i="31" s="1"/>
  <c r="I142" i="31" s="1"/>
  <c r="I154" i="31" s="1"/>
  <c r="I166" i="31" s="1"/>
  <c r="I178" i="31" s="1"/>
  <c r="I190" i="31" s="1"/>
  <c r="I202" i="31" s="1"/>
  <c r="I214" i="31" s="1"/>
  <c r="I226" i="31" s="1"/>
  <c r="I238" i="31" s="1"/>
  <c r="I250" i="31" s="1"/>
  <c r="I262" i="31" s="1"/>
  <c r="I274" i="31" s="1"/>
  <c r="I286" i="31" s="1"/>
  <c r="I298" i="31" s="1"/>
  <c r="I310" i="31" s="1"/>
  <c r="I322" i="31" s="1"/>
  <c r="I23" i="31" l="1"/>
  <c r="I35" i="31" s="1"/>
  <c r="I47" i="31" s="1"/>
  <c r="I59" i="31" s="1"/>
  <c r="I71" i="31" s="1"/>
  <c r="I83" i="31" s="1"/>
  <c r="I95" i="31" s="1"/>
  <c r="I107" i="31" s="1"/>
  <c r="I119" i="31" s="1"/>
  <c r="I131" i="31" s="1"/>
  <c r="I143" i="31" s="1"/>
  <c r="I155" i="31" s="1"/>
  <c r="I167" i="31" s="1"/>
  <c r="I179" i="31" s="1"/>
  <c r="I191" i="31" s="1"/>
  <c r="I203" i="31" s="1"/>
  <c r="I215" i="31" s="1"/>
  <c r="I227" i="31" s="1"/>
  <c r="I239" i="31" s="1"/>
  <c r="I251" i="31" s="1"/>
  <c r="I263" i="31" s="1"/>
  <c r="I275" i="31" s="1"/>
  <c r="I287" i="31" s="1"/>
  <c r="I299" i="31" s="1"/>
  <c r="I311" i="31" s="1"/>
  <c r="I323" i="31" s="1"/>
  <c r="I24" i="31" l="1"/>
  <c r="I36" i="31" s="1"/>
  <c r="I48" i="31" s="1"/>
  <c r="I60" i="31" s="1"/>
  <c r="I72" i="31" s="1"/>
  <c r="I84" i="31" s="1"/>
  <c r="I96" i="31" s="1"/>
  <c r="I108" i="31" s="1"/>
  <c r="I120" i="31" s="1"/>
  <c r="I132" i="31" s="1"/>
  <c r="I144" i="31" s="1"/>
  <c r="I156" i="31" s="1"/>
  <c r="I168" i="31" s="1"/>
  <c r="I180" i="31" s="1"/>
  <c r="I192" i="31" s="1"/>
  <c r="I204" i="31" s="1"/>
  <c r="I216" i="31" s="1"/>
  <c r="I228" i="31" s="1"/>
  <c r="I240" i="31" s="1"/>
  <c r="I252" i="31" s="1"/>
  <c r="I264" i="31" s="1"/>
  <c r="I276" i="31" s="1"/>
  <c r="I288" i="31" s="1"/>
  <c r="I300" i="31" s="1"/>
  <c r="I312" i="31" s="1"/>
  <c r="I324" i="31" s="1"/>
  <c r="C32" i="28" l="1"/>
  <c r="C28" i="28"/>
  <c r="C33" i="28"/>
  <c r="C9" i="28"/>
  <c r="C23" i="28" l="1"/>
  <c r="C18" i="28"/>
  <c r="C21" i="28"/>
  <c r="C17" i="28"/>
  <c r="C30" i="28"/>
  <c r="C34" i="28"/>
  <c r="C20" i="28"/>
  <c r="C26" i="28"/>
  <c r="C31" i="28"/>
  <c r="C24" i="28"/>
  <c r="C22" i="28"/>
  <c r="C25" i="28"/>
  <c r="C19" i="28"/>
  <c r="C29" i="28"/>
  <c r="C27" i="28"/>
  <c r="C35" i="28"/>
  <c r="J13" i="31" l="1"/>
  <c r="L16" i="31"/>
  <c r="B14" i="31"/>
  <c r="B13" i="25" l="1"/>
  <c r="J14" i="31"/>
  <c r="B15" i="31"/>
  <c r="L17" i="31"/>
  <c r="O13" i="25"/>
  <c r="B14" i="25"/>
  <c r="AX13" i="25" l="1"/>
  <c r="O14" i="25"/>
  <c r="B15" i="25"/>
  <c r="FC13" i="25"/>
  <c r="CG13" i="25"/>
  <c r="L18" i="31"/>
  <c r="B16" i="31"/>
  <c r="J15" i="31"/>
  <c r="CH13" i="25" l="1"/>
  <c r="CI13" i="25"/>
  <c r="AX14" i="25"/>
  <c r="CK13" i="25"/>
  <c r="CJ13" i="25"/>
  <c r="L19" i="31"/>
  <c r="ER13" i="25"/>
  <c r="ES13" i="25"/>
  <c r="ET13" i="25"/>
  <c r="EP13" i="25"/>
  <c r="B16" i="25"/>
  <c r="O15" i="25"/>
  <c r="FC14" i="25"/>
  <c r="ET14" i="25"/>
  <c r="CG14" i="25"/>
  <c r="ES14" i="25"/>
  <c r="ER14" i="25"/>
  <c r="J16" i="31"/>
  <c r="B17" i="31"/>
  <c r="EQ13" i="25"/>
  <c r="CH14" i="25" l="1"/>
  <c r="CI14" i="25"/>
  <c r="AX15" i="25"/>
  <c r="CJ14" i="25"/>
  <c r="CK14" i="25"/>
  <c r="EQ14" i="25"/>
  <c r="EP14" i="25"/>
  <c r="B18" i="31"/>
  <c r="J17" i="31"/>
  <c r="L20" i="31"/>
  <c r="ET15" i="25"/>
  <c r="CG15" i="25"/>
  <c r="FC15" i="25"/>
  <c r="B17" i="25"/>
  <c r="O16" i="25"/>
  <c r="ES15" i="25"/>
  <c r="CH15" i="25" l="1"/>
  <c r="CI15" i="25"/>
  <c r="AX16" i="25"/>
  <c r="CJ15" i="25"/>
  <c r="CK15" i="25"/>
  <c r="EP15" i="25"/>
  <c r="ER15" i="25"/>
  <c r="FC16" i="25"/>
  <c r="ES16" i="25"/>
  <c r="CG16" i="25"/>
  <c r="J18" i="31"/>
  <c r="B19" i="31"/>
  <c r="O17" i="25"/>
  <c r="B18" i="25"/>
  <c r="L21" i="31"/>
  <c r="EQ15" i="25"/>
  <c r="EP16" i="25"/>
  <c r="CH16" i="25" l="1"/>
  <c r="CI16" i="25"/>
  <c r="AX17" i="25"/>
  <c r="CK16" i="25"/>
  <c r="CJ16" i="25"/>
  <c r="ET16" i="25"/>
  <c r="ER16" i="25"/>
  <c r="B20" i="31"/>
  <c r="J19" i="31"/>
  <c r="L22" i="31"/>
  <c r="O18" i="25"/>
  <c r="B19" i="25"/>
  <c r="CG17" i="25"/>
  <c r="FC17" i="25"/>
  <c r="ET17" i="25"/>
  <c r="EQ16" i="25"/>
  <c r="CH17" i="25" l="1"/>
  <c r="CI17" i="25"/>
  <c r="AX18" i="25"/>
  <c r="CK17" i="25"/>
  <c r="CJ17" i="25"/>
  <c r="EQ17" i="25"/>
  <c r="ER17" i="25"/>
  <c r="L23" i="31"/>
  <c r="EP17" i="25"/>
  <c r="ES17" i="25"/>
  <c r="J20" i="31"/>
  <c r="B21" i="31"/>
  <c r="O19" i="25"/>
  <c r="B20" i="25"/>
  <c r="CG18" i="25"/>
  <c r="FC18" i="25"/>
  <c r="ET18" i="25"/>
  <c r="CH18" i="25" l="1"/>
  <c r="CI18" i="25"/>
  <c r="AX19" i="25"/>
  <c r="CJ18" i="25"/>
  <c r="CK18" i="25"/>
  <c r="EQ18" i="25"/>
  <c r="EP18" i="25"/>
  <c r="B22" i="31"/>
  <c r="J21" i="31"/>
  <c r="ER18" i="25"/>
  <c r="O20" i="25"/>
  <c r="B21" i="25"/>
  <c r="L24" i="31"/>
  <c r="CG19" i="25"/>
  <c r="ES19" i="25"/>
  <c r="FC19" i="25"/>
  <c r="ES18" i="25"/>
  <c r="CH19" i="25" l="1"/>
  <c r="CI19" i="25"/>
  <c r="AX20" i="25"/>
  <c r="CK19" i="25"/>
  <c r="CJ19" i="25"/>
  <c r="EP19" i="25"/>
  <c r="EQ19" i="25"/>
  <c r="ER19" i="25"/>
  <c r="L25" i="31"/>
  <c r="O21" i="25"/>
  <c r="B22" i="25"/>
  <c r="FC20" i="25"/>
  <c r="ET20" i="25"/>
  <c r="CG20" i="25"/>
  <c r="ES20" i="25"/>
  <c r="ET19" i="25"/>
  <c r="B23" i="31"/>
  <c r="J22" i="31"/>
  <c r="CH20" i="25" l="1"/>
  <c r="CI20" i="25"/>
  <c r="AX21" i="25"/>
  <c r="CJ20" i="25"/>
  <c r="CK20" i="25"/>
  <c r="EQ20" i="25"/>
  <c r="EP20" i="25"/>
  <c r="ER20" i="25"/>
  <c r="B23" i="25"/>
  <c r="O22" i="25"/>
  <c r="CG21" i="25"/>
  <c r="FC21" i="25"/>
  <c r="ES21" i="25"/>
  <c r="J23" i="31"/>
  <c r="B24" i="31"/>
  <c r="L26" i="31"/>
  <c r="CH21" i="25" l="1"/>
  <c r="CI21" i="25"/>
  <c r="AX22" i="25"/>
  <c r="CJ21" i="25"/>
  <c r="CK21" i="25"/>
  <c r="EQ21" i="25"/>
  <c r="EP21" i="25"/>
  <c r="ET21" i="25"/>
  <c r="CG22" i="25"/>
  <c r="ET22" i="25"/>
  <c r="ES22" i="25"/>
  <c r="FC22" i="25"/>
  <c r="B24" i="25"/>
  <c r="O23" i="25"/>
  <c r="ER21" i="25"/>
  <c r="L27" i="31"/>
  <c r="J24" i="31"/>
  <c r="B25" i="31"/>
  <c r="CH22" i="25" l="1"/>
  <c r="CI22" i="25"/>
  <c r="AX23" i="25"/>
  <c r="CK22" i="25"/>
  <c r="CJ22" i="25"/>
  <c r="EP22" i="25"/>
  <c r="EQ22" i="25"/>
  <c r="ER22" i="25"/>
  <c r="ET23" i="25"/>
  <c r="CG23" i="25"/>
  <c r="ES23" i="25"/>
  <c r="FC23" i="25"/>
  <c r="O24" i="25"/>
  <c r="B25" i="25"/>
  <c r="J25" i="31"/>
  <c r="B26" i="31"/>
  <c r="L28" i="31"/>
  <c r="CH23" i="25" l="1"/>
  <c r="CI23" i="25"/>
  <c r="AX24" i="25"/>
  <c r="CK23" i="25"/>
  <c r="CJ23" i="25"/>
  <c r="EP23" i="25"/>
  <c r="EQ23" i="25"/>
  <c r="L29" i="31"/>
  <c r="O25" i="25"/>
  <c r="B26" i="25"/>
  <c r="ET24" i="25"/>
  <c r="FC24" i="25"/>
  <c r="CG24" i="25"/>
  <c r="ES24" i="25"/>
  <c r="B27" i="31"/>
  <c r="J26" i="31"/>
  <c r="ER23" i="25"/>
  <c r="CH24" i="25" l="1"/>
  <c r="CI24" i="25"/>
  <c r="AX25" i="25"/>
  <c r="CK24" i="25"/>
  <c r="CJ24" i="25"/>
  <c r="EQ24" i="25"/>
  <c r="EP24" i="25"/>
  <c r="ER24" i="25"/>
  <c r="O26" i="25"/>
  <c r="B27" i="25"/>
  <c r="CG25" i="25"/>
  <c r="FC25" i="25"/>
  <c r="ES25" i="25"/>
  <c r="ET25" i="25"/>
  <c r="B28" i="31"/>
  <c r="J27" i="31"/>
  <c r="L30" i="31"/>
  <c r="CH25" i="25" l="1"/>
  <c r="CI25" i="25"/>
  <c r="AX26" i="25"/>
  <c r="CJ25" i="25"/>
  <c r="CK25" i="25"/>
  <c r="EP25" i="25"/>
  <c r="EQ25" i="25"/>
  <c r="ER25" i="25"/>
  <c r="B29" i="31"/>
  <c r="J28" i="31"/>
  <c r="B28" i="25"/>
  <c r="O27" i="25"/>
  <c r="ES26" i="25"/>
  <c r="FC26" i="25"/>
  <c r="ET26" i="25"/>
  <c r="CG26" i="25"/>
  <c r="L31" i="31"/>
  <c r="CH26" i="25" l="1"/>
  <c r="CI26" i="25"/>
  <c r="AX27" i="25"/>
  <c r="CJ26" i="25"/>
  <c r="CK26" i="25"/>
  <c r="EQ26" i="25"/>
  <c r="EP26" i="25"/>
  <c r="ES27" i="25"/>
  <c r="FC27" i="25"/>
  <c r="CG27" i="25"/>
  <c r="ET27" i="25"/>
  <c r="O28" i="25"/>
  <c r="B29" i="25"/>
  <c r="L32" i="31"/>
  <c r="B30" i="31"/>
  <c r="J29" i="31"/>
  <c r="ER26" i="25"/>
  <c r="CH27" i="25" l="1"/>
  <c r="CI27" i="25"/>
  <c r="AX28" i="25"/>
  <c r="CK27" i="25"/>
  <c r="CJ27" i="25"/>
  <c r="EP27" i="25"/>
  <c r="EQ27" i="25"/>
  <c r="O29" i="25"/>
  <c r="B30" i="25"/>
  <c r="ES28" i="25"/>
  <c r="ET28" i="25"/>
  <c r="FC28" i="25"/>
  <c r="CG28" i="25"/>
  <c r="ER27" i="25"/>
  <c r="B31" i="31"/>
  <c r="J30" i="31"/>
  <c r="L33" i="31"/>
  <c r="CH28" i="25" l="1"/>
  <c r="CI28" i="25"/>
  <c r="AX29" i="25"/>
  <c r="CJ28" i="25"/>
  <c r="CK28" i="25"/>
  <c r="EQ28" i="25"/>
  <c r="EP28" i="25"/>
  <c r="ER28" i="25"/>
  <c r="B32" i="31"/>
  <c r="J31" i="31"/>
  <c r="B31" i="25"/>
  <c r="O30" i="25"/>
  <c r="ES29" i="25"/>
  <c r="CG29" i="25"/>
  <c r="FC29" i="25"/>
  <c r="ET29" i="25"/>
  <c r="L34" i="31"/>
  <c r="CH29" i="25" l="1"/>
  <c r="CI29" i="25"/>
  <c r="AX30" i="25"/>
  <c r="CK29" i="25"/>
  <c r="CJ29" i="25"/>
  <c r="EP29" i="25"/>
  <c r="EQ29" i="25"/>
  <c r="ER29" i="25"/>
  <c r="CG30" i="25"/>
  <c r="ET30" i="25"/>
  <c r="ES30" i="25"/>
  <c r="FC30" i="25"/>
  <c r="B32" i="25"/>
  <c r="B33" i="25" s="1"/>
  <c r="O33" i="25" s="1"/>
  <c r="O31" i="25"/>
  <c r="B33" i="31"/>
  <c r="J32" i="31"/>
  <c r="L35" i="31"/>
  <c r="CH30" i="25" l="1"/>
  <c r="CI30" i="25"/>
  <c r="AX31" i="25"/>
  <c r="AX33" i="25"/>
  <c r="CK30" i="25"/>
  <c r="CJ30" i="25"/>
  <c r="FC33" i="25"/>
  <c r="CG33" i="25"/>
  <c r="EP30" i="25"/>
  <c r="EQ30" i="25"/>
  <c r="ER30" i="25"/>
  <c r="L36" i="31"/>
  <c r="ES31" i="25"/>
  <c r="CG31" i="25"/>
  <c r="FC31" i="25"/>
  <c r="ET31" i="25"/>
  <c r="O32" i="25"/>
  <c r="J33" i="31"/>
  <c r="B34" i="31"/>
  <c r="CH31" i="25" l="1"/>
  <c r="CI31" i="25"/>
  <c r="CH33" i="25"/>
  <c r="CI33" i="25"/>
  <c r="AX32" i="25"/>
  <c r="CJ31" i="25"/>
  <c r="CK31" i="25"/>
  <c r="CJ33" i="25"/>
  <c r="CK33" i="25"/>
  <c r="EQ31" i="25"/>
  <c r="EP31" i="25"/>
  <c r="ER31" i="25"/>
  <c r="B34" i="25"/>
  <c r="B35" i="25" s="1"/>
  <c r="B35" i="31"/>
  <c r="J34" i="31"/>
  <c r="CG32" i="25"/>
  <c r="ES32" i="25"/>
  <c r="ET32" i="25"/>
  <c r="FC32" i="25"/>
  <c r="L37" i="31"/>
  <c r="CH32" i="25" l="1"/>
  <c r="CI32" i="25"/>
  <c r="CK32" i="25"/>
  <c r="CJ32" i="25"/>
  <c r="O35" i="25"/>
  <c r="B36" i="25"/>
  <c r="EP32" i="25"/>
  <c r="EQ32" i="25"/>
  <c r="L38" i="31"/>
  <c r="ER32" i="25"/>
  <c r="J35" i="31"/>
  <c r="B36" i="31"/>
  <c r="O34" i="25"/>
  <c r="AX34" i="25" l="1"/>
  <c r="AX35" i="25"/>
  <c r="O36" i="25"/>
  <c r="B37" i="25"/>
  <c r="FC35" i="25"/>
  <c r="CG35" i="25"/>
  <c r="CG34" i="25"/>
  <c r="FC34" i="25"/>
  <c r="B37" i="31"/>
  <c r="J36" i="31"/>
  <c r="L39" i="31"/>
  <c r="CH34" i="25" l="1"/>
  <c r="CI34" i="25"/>
  <c r="CH35" i="25"/>
  <c r="CI35" i="25"/>
  <c r="AX36" i="25"/>
  <c r="CK34" i="25"/>
  <c r="CJ34" i="25"/>
  <c r="CJ35" i="25"/>
  <c r="CK35" i="25"/>
  <c r="O37" i="25"/>
  <c r="B38" i="25"/>
  <c r="FC36" i="25"/>
  <c r="CG36" i="25"/>
  <c r="ER34" i="25"/>
  <c r="L40" i="31"/>
  <c r="B38" i="31"/>
  <c r="J37" i="31"/>
  <c r="EP34" i="25"/>
  <c r="ES34" i="25"/>
  <c r="EQ34" i="25"/>
  <c r="ET34" i="25"/>
  <c r="CH36" i="25" l="1"/>
  <c r="CI36" i="25"/>
  <c r="AX37" i="25"/>
  <c r="CJ36" i="25"/>
  <c r="CK36" i="25"/>
  <c r="FC37" i="25"/>
  <c r="CG37" i="25"/>
  <c r="O38" i="25"/>
  <c r="B39" i="31"/>
  <c r="J38" i="31"/>
  <c r="L41" i="31"/>
  <c r="CH37" i="25" l="1"/>
  <c r="CI37" i="25"/>
  <c r="AX38" i="25"/>
  <c r="CK37" i="25"/>
  <c r="CJ37" i="25"/>
  <c r="FC38" i="25"/>
  <c r="CG38" i="25"/>
  <c r="L42" i="31"/>
  <c r="J39" i="31"/>
  <c r="B40" i="31"/>
  <c r="CH38" i="25" l="1"/>
  <c r="CI38" i="25"/>
  <c r="CJ38" i="25"/>
  <c r="CK38" i="25"/>
  <c r="B41" i="31"/>
  <c r="J40" i="31"/>
  <c r="J41" i="31" l="1"/>
  <c r="B42" i="31"/>
  <c r="J42" i="31" l="1"/>
  <c r="B43" i="31"/>
  <c r="B44" i="31" l="1"/>
  <c r="J43" i="31"/>
  <c r="J44" i="31" l="1"/>
  <c r="B45" i="31"/>
  <c r="B46" i="31" l="1"/>
  <c r="J45" i="31"/>
  <c r="J46" i="31" l="1"/>
  <c r="B47" i="31"/>
  <c r="J47" i="31" l="1"/>
  <c r="B48" i="31"/>
  <c r="J48" i="31" l="1"/>
  <c r="B49" i="31"/>
  <c r="B50" i="31" l="1"/>
  <c r="J49" i="31"/>
  <c r="AA49" i="31" l="1"/>
  <c r="B51" i="31"/>
  <c r="J50" i="31"/>
  <c r="AA50" i="31" l="1"/>
  <c r="J51" i="31"/>
  <c r="B52" i="31"/>
  <c r="AA51" i="31" l="1"/>
  <c r="J52" i="31"/>
  <c r="B53" i="31"/>
  <c r="AA52" i="31" l="1"/>
  <c r="B54" i="31"/>
  <c r="J53" i="31"/>
  <c r="AA53" i="31" l="1"/>
  <c r="J54" i="31"/>
  <c r="B55" i="31"/>
  <c r="AA54" i="31" l="1"/>
  <c r="J55" i="31"/>
  <c r="B56" i="31"/>
  <c r="AA55" i="31" l="1"/>
  <c r="B57" i="31"/>
  <c r="J56" i="31"/>
  <c r="AA56" i="31" l="1"/>
  <c r="J57" i="31"/>
  <c r="B58" i="31"/>
  <c r="AA57" i="31" l="1"/>
  <c r="J58" i="31"/>
  <c r="B59" i="31"/>
  <c r="AA58" i="31" l="1"/>
  <c r="J59" i="31"/>
  <c r="B60" i="31"/>
  <c r="AA59" i="31" l="1"/>
  <c r="J60" i="31"/>
  <c r="B61" i="31"/>
  <c r="AA60" i="31" l="1"/>
  <c r="J61" i="31"/>
  <c r="B62" i="31"/>
  <c r="AA61" i="31" l="1"/>
  <c r="J62" i="31"/>
  <c r="B63" i="31"/>
  <c r="AA62" i="31" l="1"/>
  <c r="J63" i="31"/>
  <c r="B64" i="31"/>
  <c r="AA63" i="31" l="1"/>
  <c r="J64" i="31"/>
  <c r="B65" i="31"/>
  <c r="AA64" i="31" l="1"/>
  <c r="J65" i="31"/>
  <c r="B66" i="31"/>
  <c r="AA65" i="31" l="1"/>
  <c r="J66" i="31"/>
  <c r="B67" i="31"/>
  <c r="AA66" i="31" l="1"/>
  <c r="J67" i="31"/>
  <c r="B68" i="31"/>
  <c r="AA67" i="31" l="1"/>
  <c r="J68" i="31"/>
  <c r="B69" i="31"/>
  <c r="AA68" i="31" l="1"/>
  <c r="J69" i="31"/>
  <c r="B70" i="31"/>
  <c r="AA69" i="31" l="1"/>
  <c r="J70" i="31"/>
  <c r="B71" i="31"/>
  <c r="AA70" i="31" l="1"/>
  <c r="J71" i="31"/>
  <c r="B72" i="31"/>
  <c r="AA71" i="31" l="1"/>
  <c r="J72" i="31"/>
  <c r="B73" i="31"/>
  <c r="AA72" i="31" l="1"/>
  <c r="J73" i="31"/>
  <c r="B74" i="31"/>
  <c r="D12" i="31" l="1"/>
  <c r="AA73" i="31"/>
  <c r="B75" i="31"/>
  <c r="J74" i="31"/>
  <c r="AA74" i="31" l="1"/>
  <c r="J75" i="31"/>
  <c r="B76" i="31"/>
  <c r="AA75" i="31" l="1"/>
  <c r="J76" i="31"/>
  <c r="B77" i="31"/>
  <c r="AA76" i="31" l="1"/>
  <c r="J77" i="31"/>
  <c r="B78" i="31"/>
  <c r="AA77" i="31" l="1"/>
  <c r="J78" i="31"/>
  <c r="B79" i="31"/>
  <c r="AA78" i="31" l="1"/>
  <c r="J79" i="31"/>
  <c r="B80" i="31"/>
  <c r="AA79" i="31" l="1"/>
  <c r="J80" i="31"/>
  <c r="B81" i="31"/>
  <c r="AA80" i="31" l="1"/>
  <c r="J81" i="31"/>
  <c r="B82" i="31"/>
  <c r="AA81" i="31" l="1"/>
  <c r="J82" i="31"/>
  <c r="B83" i="31"/>
  <c r="AA82" i="31" l="1"/>
  <c r="J83" i="31"/>
  <c r="B84" i="31"/>
  <c r="AA83" i="31" l="1"/>
  <c r="J84" i="31"/>
  <c r="B85" i="31"/>
  <c r="AA84" i="31" l="1"/>
  <c r="J85" i="31"/>
  <c r="B86" i="31"/>
  <c r="AA85" i="31" l="1"/>
  <c r="J86" i="31"/>
  <c r="B87" i="31"/>
  <c r="AA86" i="31" l="1"/>
  <c r="J87" i="31"/>
  <c r="B88" i="31"/>
  <c r="AA87" i="31" l="1"/>
  <c r="J88" i="31"/>
  <c r="B89" i="31"/>
  <c r="AA88" i="31" l="1"/>
  <c r="J89" i="31"/>
  <c r="B90" i="31"/>
  <c r="AA89" i="31" l="1"/>
  <c r="J90" i="31"/>
  <c r="B91" i="31"/>
  <c r="AA90" i="31" l="1"/>
  <c r="J91" i="31"/>
  <c r="B92" i="31"/>
  <c r="AA91" i="31" l="1"/>
  <c r="J92" i="31"/>
  <c r="B93" i="31"/>
  <c r="AA92" i="31" l="1"/>
  <c r="B94" i="31"/>
  <c r="J93" i="31"/>
  <c r="AA93" i="31" l="1"/>
  <c r="J94" i="31"/>
  <c r="B95" i="31"/>
  <c r="AA94" i="31" l="1"/>
  <c r="J95" i="31"/>
  <c r="B96" i="31"/>
  <c r="AA95" i="31" l="1"/>
  <c r="J96" i="31"/>
  <c r="B97" i="31"/>
  <c r="AA96" i="31" l="1"/>
  <c r="J97" i="31"/>
  <c r="B98" i="31"/>
  <c r="AA97" i="31" l="1"/>
  <c r="J98" i="31"/>
  <c r="B99" i="31"/>
  <c r="AA98" i="31" l="1"/>
  <c r="J99" i="31"/>
  <c r="B100" i="31"/>
  <c r="AA99" i="31" l="1"/>
  <c r="J100" i="31"/>
  <c r="B101" i="31"/>
  <c r="AA100" i="31" l="1"/>
  <c r="J101" i="31"/>
  <c r="B102" i="31"/>
  <c r="AA101" i="31" l="1"/>
  <c r="J102" i="31"/>
  <c r="B103" i="31"/>
  <c r="AA102" i="31" l="1"/>
  <c r="J103" i="31"/>
  <c r="B104" i="31"/>
  <c r="AA103" i="31" l="1"/>
  <c r="J104" i="31"/>
  <c r="B105" i="31"/>
  <c r="AA104" i="31" l="1"/>
  <c r="J105" i="31"/>
  <c r="B106" i="31"/>
  <c r="AA105" i="31" l="1"/>
  <c r="J106" i="31"/>
  <c r="B107" i="31"/>
  <c r="AA106" i="31" l="1"/>
  <c r="J107" i="31"/>
  <c r="B108" i="31"/>
  <c r="AA107" i="31" l="1"/>
  <c r="J108" i="31"/>
  <c r="B109" i="31"/>
  <c r="AA108" i="31" l="1"/>
  <c r="J109" i="31"/>
  <c r="B110" i="31"/>
  <c r="AA109" i="31" l="1"/>
  <c r="J110" i="31"/>
  <c r="B111" i="31"/>
  <c r="AA110" i="31" l="1"/>
  <c r="J111" i="31"/>
  <c r="B112" i="31"/>
  <c r="AA111" i="31" l="1"/>
  <c r="J112" i="31"/>
  <c r="B113" i="31"/>
  <c r="AA112" i="31" l="1"/>
  <c r="J113" i="31"/>
  <c r="B114" i="31"/>
  <c r="AA113" i="31" l="1"/>
  <c r="B115" i="31"/>
  <c r="J114" i="31"/>
  <c r="AA114" i="31" l="1"/>
  <c r="J115" i="31"/>
  <c r="B116" i="31"/>
  <c r="AA115" i="31" l="1"/>
  <c r="J116" i="31"/>
  <c r="B117" i="31"/>
  <c r="AA116" i="31" l="1"/>
  <c r="J117" i="31"/>
  <c r="B118" i="31"/>
  <c r="AA117" i="31" l="1"/>
  <c r="J118" i="31"/>
  <c r="B119" i="31"/>
  <c r="AA118" i="31" l="1"/>
  <c r="J119" i="31"/>
  <c r="B120" i="31"/>
  <c r="AA119" i="31" l="1"/>
  <c r="J120" i="31"/>
  <c r="B121" i="31"/>
  <c r="AA120" i="31" l="1"/>
  <c r="J121" i="31"/>
  <c r="B122" i="31"/>
  <c r="AA121" i="31" l="1"/>
  <c r="J122" i="31"/>
  <c r="B123" i="31"/>
  <c r="AA122" i="31" l="1"/>
  <c r="J123" i="31"/>
  <c r="B124" i="31"/>
  <c r="AA123" i="31" l="1"/>
  <c r="J124" i="31"/>
  <c r="B125" i="31"/>
  <c r="AA124" i="31" l="1"/>
  <c r="J125" i="31"/>
  <c r="B126" i="31"/>
  <c r="AA125" i="31" l="1"/>
  <c r="B127" i="31"/>
  <c r="J126" i="31"/>
  <c r="AA126" i="31" l="1"/>
  <c r="J127" i="31"/>
  <c r="B128" i="31"/>
  <c r="AA127" i="31" l="1"/>
  <c r="B129" i="31"/>
  <c r="J128" i="31"/>
  <c r="AA128" i="31" l="1"/>
  <c r="J129" i="31"/>
  <c r="B130" i="31"/>
  <c r="AA129" i="31" l="1"/>
  <c r="B131" i="31"/>
  <c r="J130" i="31"/>
  <c r="AA130" i="31" l="1"/>
  <c r="J131" i="31"/>
  <c r="B132" i="31"/>
  <c r="AA131" i="31" l="1"/>
  <c r="J132" i="31"/>
  <c r="B133" i="31"/>
  <c r="AA132" i="31" l="1"/>
  <c r="J133" i="31"/>
  <c r="B134" i="31"/>
  <c r="AA133" i="31" l="1"/>
  <c r="B135" i="31"/>
  <c r="J134" i="31"/>
  <c r="AA134" i="31" l="1"/>
  <c r="J135" i="31"/>
  <c r="B136" i="31"/>
  <c r="AA135" i="31" l="1"/>
  <c r="J136" i="31"/>
  <c r="B137" i="31"/>
  <c r="AA136" i="31" l="1"/>
  <c r="J137" i="31"/>
  <c r="B138" i="31"/>
  <c r="AA137" i="31" l="1"/>
  <c r="J138" i="31"/>
  <c r="B139" i="31"/>
  <c r="AA138" i="31" l="1"/>
  <c r="J139" i="31"/>
  <c r="B140" i="31"/>
  <c r="AA139" i="31" l="1"/>
  <c r="J140" i="31"/>
  <c r="B141" i="31"/>
  <c r="AA140" i="31" l="1"/>
  <c r="J141" i="31"/>
  <c r="B142" i="31"/>
  <c r="AA141" i="31" l="1"/>
  <c r="J142" i="31"/>
  <c r="B143" i="31"/>
  <c r="AA142" i="31" l="1"/>
  <c r="J143" i="31"/>
  <c r="B144" i="31"/>
  <c r="AA143" i="31" l="1"/>
  <c r="J144" i="31"/>
  <c r="B145" i="31"/>
  <c r="AA144" i="31" l="1"/>
  <c r="B146" i="31"/>
  <c r="J145" i="31"/>
  <c r="AA145" i="31" l="1"/>
  <c r="J146" i="31"/>
  <c r="B147" i="31"/>
  <c r="AA146" i="31" l="1"/>
  <c r="J147" i="31"/>
  <c r="B148" i="31"/>
  <c r="AA147" i="31" l="1"/>
  <c r="B149" i="31"/>
  <c r="J148" i="31"/>
  <c r="AA148" i="31" l="1"/>
  <c r="B150" i="31"/>
  <c r="J149" i="31"/>
  <c r="AA149" i="31" l="1"/>
  <c r="J150" i="31"/>
  <c r="B151" i="31"/>
  <c r="AA150" i="31" l="1"/>
  <c r="J151" i="31"/>
  <c r="B152" i="31"/>
  <c r="AA151" i="31" l="1"/>
  <c r="J152" i="31"/>
  <c r="B153" i="31"/>
  <c r="AA152" i="31" l="1"/>
  <c r="J153" i="31"/>
  <c r="B154" i="31"/>
  <c r="AA153" i="31" l="1"/>
  <c r="J154" i="31"/>
  <c r="B155" i="31"/>
  <c r="AA154" i="31" l="1"/>
  <c r="J155" i="31"/>
  <c r="B156" i="31"/>
  <c r="AA155" i="31" l="1"/>
  <c r="J156" i="31"/>
  <c r="B157" i="31"/>
  <c r="AA156" i="31" l="1"/>
  <c r="J157" i="31"/>
  <c r="B158" i="31"/>
  <c r="AA157" i="31" l="1"/>
  <c r="J158" i="31"/>
  <c r="B159" i="31"/>
  <c r="AA158" i="31" l="1"/>
  <c r="J159" i="31"/>
  <c r="B160" i="31"/>
  <c r="AA159" i="31" l="1"/>
  <c r="J160" i="31"/>
  <c r="B161" i="31"/>
  <c r="AA160" i="31" l="1"/>
  <c r="B162" i="31"/>
  <c r="J161" i="31"/>
  <c r="AA161" i="31" l="1"/>
  <c r="J162" i="31"/>
  <c r="B163" i="31"/>
  <c r="AA162" i="31" l="1"/>
  <c r="B164" i="31"/>
  <c r="J163" i="31"/>
  <c r="AA163" i="31" l="1"/>
  <c r="J164" i="31"/>
  <c r="B165" i="31"/>
  <c r="AA164" i="31" l="1"/>
  <c r="J165" i="31"/>
  <c r="B166" i="31"/>
  <c r="AA165" i="31" l="1"/>
  <c r="J166" i="31"/>
  <c r="B167" i="31"/>
  <c r="AA166" i="31" l="1"/>
  <c r="B168" i="31"/>
  <c r="J167" i="31"/>
  <c r="AA167" i="31" l="1"/>
  <c r="J168" i="31"/>
  <c r="B169" i="31"/>
  <c r="AA168" i="31" l="1"/>
  <c r="J169" i="31"/>
  <c r="B170" i="31"/>
  <c r="AA169" i="31" l="1"/>
  <c r="B171" i="31"/>
  <c r="J170" i="31"/>
  <c r="AA170" i="31" l="1"/>
  <c r="J171" i="31"/>
  <c r="B172" i="31"/>
  <c r="AA171" i="31" l="1"/>
  <c r="B173" i="31"/>
  <c r="J172" i="31"/>
  <c r="AA172" i="31" l="1"/>
  <c r="J173" i="31"/>
  <c r="B174" i="31"/>
  <c r="AA173" i="31" l="1"/>
  <c r="J174" i="31"/>
  <c r="B175" i="31"/>
  <c r="AA174" i="31" l="1"/>
  <c r="J175" i="31"/>
  <c r="B176" i="31"/>
  <c r="AA175" i="31" l="1"/>
  <c r="J176" i="31"/>
  <c r="B177" i="31"/>
  <c r="AA176" i="31" l="1"/>
  <c r="J177" i="31"/>
  <c r="B178" i="31"/>
  <c r="AA177" i="31" l="1"/>
  <c r="J178" i="31"/>
  <c r="B179" i="31"/>
  <c r="AA178" i="31" l="1"/>
  <c r="J179" i="31"/>
  <c r="B180" i="31"/>
  <c r="AA179" i="31" l="1"/>
  <c r="J180" i="31"/>
  <c r="B181" i="31"/>
  <c r="AA180" i="31" l="1"/>
  <c r="J181" i="31"/>
  <c r="B182" i="31"/>
  <c r="AA181" i="31" l="1"/>
  <c r="J182" i="31"/>
  <c r="B183" i="31"/>
  <c r="AA182" i="31" l="1"/>
  <c r="B184" i="31"/>
  <c r="J183" i="31"/>
  <c r="AA183" i="31" l="1"/>
  <c r="J184" i="31"/>
  <c r="B185" i="31"/>
  <c r="AA184" i="31" l="1"/>
  <c r="B186" i="31"/>
  <c r="J185" i="31"/>
  <c r="AA185" i="31" l="1"/>
  <c r="J186" i="31"/>
  <c r="B187" i="31"/>
  <c r="AA186" i="31" l="1"/>
  <c r="J187" i="31"/>
  <c r="B188" i="31"/>
  <c r="AA187" i="31" l="1"/>
  <c r="B189" i="31"/>
  <c r="J188" i="31"/>
  <c r="AA188" i="31" l="1"/>
  <c r="J189" i="31"/>
  <c r="B190" i="31"/>
  <c r="AA189" i="31" l="1"/>
  <c r="J190" i="31"/>
  <c r="B191" i="31"/>
  <c r="AA190" i="31" l="1"/>
  <c r="B192" i="31"/>
  <c r="J191" i="31"/>
  <c r="AA191" i="31" l="1"/>
  <c r="B193" i="31"/>
  <c r="J192" i="31"/>
  <c r="AA192" i="31" l="1"/>
  <c r="B194" i="31"/>
  <c r="J193" i="31"/>
  <c r="AA193" i="31" l="1"/>
  <c r="B195" i="31"/>
  <c r="J194" i="31"/>
  <c r="AA194" i="31" l="1"/>
  <c r="J195" i="31"/>
  <c r="B196" i="31"/>
  <c r="AA195" i="31" l="1"/>
  <c r="J196" i="31"/>
  <c r="B197" i="31"/>
  <c r="AA196" i="31" l="1"/>
  <c r="J197" i="31"/>
  <c r="B198" i="31"/>
  <c r="AA197" i="31" l="1"/>
  <c r="J198" i="31"/>
  <c r="B199" i="31"/>
  <c r="AA198" i="31" l="1"/>
  <c r="J199" i="31"/>
  <c r="B200" i="31"/>
  <c r="AA199" i="31" l="1"/>
  <c r="J200" i="31"/>
  <c r="B201" i="31"/>
  <c r="AA200" i="31" l="1"/>
  <c r="B202" i="31"/>
  <c r="J201" i="31"/>
  <c r="AA201" i="31" l="1"/>
  <c r="B203" i="31"/>
  <c r="J202" i="31"/>
  <c r="AA202" i="31" l="1"/>
  <c r="B204" i="31"/>
  <c r="J203" i="31"/>
  <c r="AA203" i="31" l="1"/>
  <c r="J204" i="31"/>
  <c r="B205" i="31"/>
  <c r="AA204" i="31" l="1"/>
  <c r="J205" i="31"/>
  <c r="B206" i="31"/>
  <c r="AA205" i="31" l="1"/>
  <c r="J206" i="31"/>
  <c r="B207" i="31"/>
  <c r="AA206" i="31" l="1"/>
  <c r="B208" i="31"/>
  <c r="J207" i="31"/>
  <c r="AA207" i="31" l="1"/>
  <c r="J208" i="31"/>
  <c r="B209" i="31"/>
  <c r="AA208" i="31" l="1"/>
  <c r="J209" i="31"/>
  <c r="B210" i="31"/>
  <c r="AA209" i="31" l="1"/>
  <c r="B211" i="31"/>
  <c r="J210" i="31"/>
  <c r="AA210" i="31" l="1"/>
  <c r="B212" i="31"/>
  <c r="J211" i="31"/>
  <c r="AA211" i="31" l="1"/>
  <c r="J212" i="31"/>
  <c r="B213" i="31"/>
  <c r="AA212" i="31" l="1"/>
  <c r="J213" i="31"/>
  <c r="B214" i="31"/>
  <c r="AA213" i="31" l="1"/>
  <c r="B215" i="31"/>
  <c r="J214" i="31"/>
  <c r="AA214" i="31" l="1"/>
  <c r="B216" i="31"/>
  <c r="J215" i="31"/>
  <c r="AA215" i="31" l="1"/>
  <c r="B217" i="31"/>
  <c r="J216" i="31"/>
  <c r="AA216" i="31" l="1"/>
  <c r="B218" i="31"/>
  <c r="J217" i="31"/>
  <c r="AA217" i="31" l="1"/>
  <c r="B219" i="31"/>
  <c r="J218" i="31"/>
  <c r="AA218" i="31" l="1"/>
  <c r="B220" i="31"/>
  <c r="J219" i="31"/>
  <c r="AA219" i="31" l="1"/>
  <c r="B221" i="31"/>
  <c r="J220" i="31"/>
  <c r="AA220" i="31" l="1"/>
  <c r="B222" i="31"/>
  <c r="J221" i="31"/>
  <c r="AA221" i="31" l="1"/>
  <c r="B223" i="31"/>
  <c r="J222" i="31"/>
  <c r="AA222" i="31" l="1"/>
  <c r="B224" i="31"/>
  <c r="J223" i="31"/>
  <c r="AA223" i="31" l="1"/>
  <c r="B225" i="31"/>
  <c r="J224" i="31"/>
  <c r="AA224" i="31" l="1"/>
  <c r="B226" i="31"/>
  <c r="J225" i="31"/>
  <c r="AA225" i="31" l="1"/>
  <c r="B227" i="31"/>
  <c r="J226" i="31"/>
  <c r="AA226" i="31" l="1"/>
  <c r="B228" i="31"/>
  <c r="J227" i="31"/>
  <c r="AA227" i="31" l="1"/>
  <c r="B229" i="31"/>
  <c r="J228" i="31"/>
  <c r="AA228" i="31" l="1"/>
  <c r="B230" i="31"/>
  <c r="J229" i="31"/>
  <c r="AA229" i="31" l="1"/>
  <c r="B231" i="31"/>
  <c r="J230" i="31"/>
  <c r="AA230" i="31" l="1"/>
  <c r="B232" i="31"/>
  <c r="J231" i="31"/>
  <c r="AA231" i="31" l="1"/>
  <c r="B233" i="31"/>
  <c r="J232" i="31"/>
  <c r="AA232" i="31" l="1"/>
  <c r="B234" i="31"/>
  <c r="J233" i="31"/>
  <c r="AA233" i="31" l="1"/>
  <c r="B235" i="31"/>
  <c r="J234" i="31"/>
  <c r="AA234" i="31" l="1"/>
  <c r="B236" i="31"/>
  <c r="J235" i="31"/>
  <c r="AA235" i="31" l="1"/>
  <c r="B237" i="31"/>
  <c r="J236" i="31"/>
  <c r="AA236" i="31" l="1"/>
  <c r="B238" i="31"/>
  <c r="J237" i="31"/>
  <c r="AA237" i="31" l="1"/>
  <c r="B239" i="31"/>
  <c r="J238" i="31"/>
  <c r="AA238" i="31" l="1"/>
  <c r="B240" i="31"/>
  <c r="J239" i="31"/>
  <c r="AA239" i="31" l="1"/>
  <c r="B241" i="31"/>
  <c r="J240" i="31"/>
  <c r="AA240" i="31" l="1"/>
  <c r="J241" i="31"/>
  <c r="B242" i="31"/>
  <c r="AA241" i="31" l="1"/>
  <c r="J242" i="31"/>
  <c r="B243" i="31"/>
  <c r="AA242" i="31" l="1"/>
  <c r="J243" i="31"/>
  <c r="B244" i="31"/>
  <c r="AA243" i="31" l="1"/>
  <c r="J244" i="31"/>
  <c r="B245" i="31"/>
  <c r="AA244" i="31" l="1"/>
  <c r="J245" i="31"/>
  <c r="B246" i="31"/>
  <c r="AA245" i="31" l="1"/>
  <c r="J246" i="31"/>
  <c r="B247" i="31"/>
  <c r="AA246" i="31" l="1"/>
  <c r="J247" i="31"/>
  <c r="B248" i="31"/>
  <c r="AA247" i="31" l="1"/>
  <c r="J248" i="31"/>
  <c r="B249" i="31"/>
  <c r="AA248" i="31" l="1"/>
  <c r="J249" i="31"/>
  <c r="B250" i="31"/>
  <c r="AA249" i="31" l="1"/>
  <c r="J250" i="31"/>
  <c r="B251" i="31"/>
  <c r="AA250" i="31" l="1"/>
  <c r="J251" i="31"/>
  <c r="B252" i="31"/>
  <c r="AA251" i="31" l="1"/>
  <c r="J252" i="31"/>
  <c r="B253" i="31"/>
  <c r="AA252" i="31" l="1"/>
  <c r="J253" i="31"/>
  <c r="B254" i="31"/>
  <c r="AA253" i="31" l="1"/>
  <c r="J254" i="31"/>
  <c r="B255" i="31"/>
  <c r="AA254" i="31" l="1"/>
  <c r="J255" i="31"/>
  <c r="B256" i="31"/>
  <c r="AA255" i="31" l="1"/>
  <c r="J256" i="31"/>
  <c r="B257" i="31"/>
  <c r="AA256" i="31" l="1"/>
  <c r="J257" i="31"/>
  <c r="B258" i="31"/>
  <c r="AA257" i="31" l="1"/>
  <c r="J258" i="31"/>
  <c r="B259" i="31"/>
  <c r="AA258" i="31" l="1"/>
  <c r="J259" i="31"/>
  <c r="B260" i="31"/>
  <c r="AA259" i="31" l="1"/>
  <c r="J260" i="31"/>
  <c r="B261" i="31"/>
  <c r="AA260" i="31" l="1"/>
  <c r="J261" i="31"/>
  <c r="B262" i="31"/>
  <c r="AA261" i="31" l="1"/>
  <c r="J262" i="31"/>
  <c r="B263" i="31"/>
  <c r="AA262" i="31" l="1"/>
  <c r="J263" i="31"/>
  <c r="B264" i="31"/>
  <c r="AA263" i="31" l="1"/>
  <c r="J264" i="31"/>
  <c r="B265" i="31"/>
  <c r="AA264" i="31" l="1"/>
  <c r="J265" i="31"/>
  <c r="B266" i="31"/>
  <c r="AA265" i="31" l="1"/>
  <c r="B267" i="31"/>
  <c r="J266" i="31"/>
  <c r="AA266" i="31" l="1"/>
  <c r="B268" i="31"/>
  <c r="J267" i="31"/>
  <c r="AA267" i="31" l="1"/>
  <c r="J268" i="31"/>
  <c r="B269" i="31"/>
  <c r="AA268" i="31" l="1"/>
  <c r="J269" i="31"/>
  <c r="B270" i="31"/>
  <c r="AA269" i="31" l="1"/>
  <c r="B271" i="31"/>
  <c r="J270" i="31"/>
  <c r="AA270" i="31" l="1"/>
  <c r="B272" i="31"/>
  <c r="J271" i="31"/>
  <c r="AA271" i="31" l="1"/>
  <c r="B273" i="31"/>
  <c r="J272" i="31"/>
  <c r="AA272" i="31" l="1"/>
  <c r="J273" i="31"/>
  <c r="B274" i="31"/>
  <c r="AA273" i="31" l="1"/>
  <c r="J274" i="31"/>
  <c r="B275" i="31"/>
  <c r="AA274" i="31" l="1"/>
  <c r="J275" i="31"/>
  <c r="B276" i="31"/>
  <c r="B277" i="31" s="1"/>
  <c r="J277" i="31" l="1"/>
  <c r="B278" i="31"/>
  <c r="AA275" i="31"/>
  <c r="J276" i="31"/>
  <c r="B279" i="31" l="1"/>
  <c r="J278" i="31"/>
  <c r="AA276" i="31"/>
  <c r="U40" i="31"/>
  <c r="U39" i="31"/>
  <c r="U41" i="31"/>
  <c r="O277" i="31" l="1"/>
  <c r="K277" i="31"/>
  <c r="V277" i="31" s="1"/>
  <c r="J279" i="31"/>
  <c r="B280" i="31"/>
  <c r="U38" i="31"/>
  <c r="O278" i="31" l="1"/>
  <c r="K278" i="31"/>
  <c r="V278" i="31" s="1"/>
  <c r="B281" i="31"/>
  <c r="J280" i="31"/>
  <c r="EO31" i="25"/>
  <c r="EO18" i="25"/>
  <c r="EO24" i="25"/>
  <c r="EO22" i="25"/>
  <c r="EO13" i="25"/>
  <c r="EO14" i="25"/>
  <c r="EO15" i="25"/>
  <c r="EO16" i="25"/>
  <c r="EO17" i="25"/>
  <c r="EO19" i="25"/>
  <c r="EO20" i="25"/>
  <c r="EO21" i="25"/>
  <c r="EO23" i="25"/>
  <c r="EO26" i="25"/>
  <c r="EO29" i="25"/>
  <c r="EO32" i="25"/>
  <c r="EO34" i="25"/>
  <c r="EO30" i="25"/>
  <c r="EO28" i="25"/>
  <c r="EO25" i="25"/>
  <c r="EO27" i="25"/>
  <c r="J281" i="31" l="1"/>
  <c r="B282" i="31"/>
  <c r="O279" i="31"/>
  <c r="K279" i="31"/>
  <c r="V279" i="31" s="1"/>
  <c r="ED13" i="25"/>
  <c r="ED14" i="25"/>
  <c r="K280" i="31" l="1"/>
  <c r="V280" i="31" s="1"/>
  <c r="O280" i="31"/>
  <c r="J282" i="31"/>
  <c r="B283" i="31"/>
  <c r="EN13" i="25"/>
  <c r="EN14" i="25"/>
  <c r="O281" i="31" l="1"/>
  <c r="K281" i="31"/>
  <c r="V281" i="31" s="1"/>
  <c r="B284" i="31"/>
  <c r="J283" i="31"/>
  <c r="EG13" i="25"/>
  <c r="EI13" i="25"/>
  <c r="EI14" i="25"/>
  <c r="O282" i="31" l="1"/>
  <c r="K282" i="31"/>
  <c r="V282" i="31" s="1"/>
  <c r="B285" i="31"/>
  <c r="J284" i="31"/>
  <c r="EG14" i="25"/>
  <c r="EM13" i="25"/>
  <c r="ED15" i="25"/>
  <c r="J285" i="31" l="1"/>
  <c r="B286" i="31"/>
  <c r="O283" i="31"/>
  <c r="K283" i="31"/>
  <c r="V283" i="31" s="1"/>
  <c r="EF13" i="25"/>
  <c r="J286" i="31" l="1"/>
  <c r="B287" i="31"/>
  <c r="K284" i="31"/>
  <c r="V284" i="31" s="1"/>
  <c r="O284" i="31"/>
  <c r="EK13" i="25"/>
  <c r="EM14" i="25"/>
  <c r="EN15" i="25"/>
  <c r="O285" i="31" l="1"/>
  <c r="K285" i="31"/>
  <c r="V285" i="31" s="1"/>
  <c r="J287" i="31"/>
  <c r="B288" i="31"/>
  <c r="EF14" i="25"/>
  <c r="EE13" i="25"/>
  <c r="EI15" i="25"/>
  <c r="K286" i="31" l="1"/>
  <c r="V286" i="31" s="1"/>
  <c r="O286" i="31"/>
  <c r="J288" i="31"/>
  <c r="B289" i="31"/>
  <c r="EK14" i="25"/>
  <c r="EL13" i="25"/>
  <c r="EG15" i="25"/>
  <c r="O287" i="31" l="1"/>
  <c r="K287" i="31"/>
  <c r="V287" i="31" s="1"/>
  <c r="J289" i="31"/>
  <c r="B290" i="31"/>
  <c r="EE14" i="25"/>
  <c r="J290" i="31" l="1"/>
  <c r="B291" i="31"/>
  <c r="O288" i="31"/>
  <c r="K288" i="31"/>
  <c r="V288" i="31" s="1"/>
  <c r="EL14" i="25"/>
  <c r="EM15" i="25"/>
  <c r="K289" i="31" l="1"/>
  <c r="V289" i="31" s="1"/>
  <c r="O289" i="31"/>
  <c r="B292" i="31"/>
  <c r="J291" i="31"/>
  <c r="EF15" i="25"/>
  <c r="K290" i="31" l="1"/>
  <c r="V290" i="31" s="1"/>
  <c r="O290" i="31"/>
  <c r="J292" i="31"/>
  <c r="B293" i="31"/>
  <c r="EK15" i="25"/>
  <c r="B294" i="31" l="1"/>
  <c r="J293" i="31"/>
  <c r="K291" i="31"/>
  <c r="V291" i="31" s="1"/>
  <c r="O291" i="31"/>
  <c r="EE15" i="25"/>
  <c r="B295" i="31" l="1"/>
  <c r="J294" i="31"/>
  <c r="K292" i="31"/>
  <c r="V292" i="31" s="1"/>
  <c r="O292" i="31"/>
  <c r="EL15" i="25"/>
  <c r="B296" i="31" l="1"/>
  <c r="J295" i="31"/>
  <c r="K293" i="31"/>
  <c r="V293" i="31" s="1"/>
  <c r="O293" i="31"/>
  <c r="ED26" i="25"/>
  <c r="ED18" i="25"/>
  <c r="O294" i="31" l="1"/>
  <c r="K294" i="31"/>
  <c r="V294" i="31" s="1"/>
  <c r="J296" i="31"/>
  <c r="B297" i="31"/>
  <c r="ED16" i="25"/>
  <c r="ED25" i="25"/>
  <c r="ED19" i="25"/>
  <c r="ED17" i="25"/>
  <c r="ED24" i="25"/>
  <c r="ED23" i="25"/>
  <c r="ED22" i="25"/>
  <c r="ED21" i="25"/>
  <c r="ED30" i="25"/>
  <c r="ED29" i="25"/>
  <c r="ED28" i="25"/>
  <c r="ED20" i="25"/>
  <c r="ED27" i="25"/>
  <c r="J297" i="31" l="1"/>
  <c r="B298" i="31"/>
  <c r="K295" i="31"/>
  <c r="V295" i="31" s="1"/>
  <c r="O295" i="31"/>
  <c r="EN28" i="25"/>
  <c r="EN30" i="25"/>
  <c r="EN16" i="25"/>
  <c r="EN18" i="25"/>
  <c r="EN17" i="25"/>
  <c r="EN21" i="25"/>
  <c r="EN20" i="25"/>
  <c r="EN19" i="25"/>
  <c r="EN22" i="25"/>
  <c r="EN23" i="25"/>
  <c r="EN24" i="25"/>
  <c r="EN26" i="25"/>
  <c r="EN25" i="25"/>
  <c r="EN29" i="25"/>
  <c r="EN27" i="25"/>
  <c r="J298" i="31" l="1"/>
  <c r="B299" i="31"/>
  <c r="O296" i="31"/>
  <c r="K296" i="31"/>
  <c r="V296" i="31" s="1"/>
  <c r="EI16" i="25"/>
  <c r="EI18" i="25"/>
  <c r="EI20" i="25"/>
  <c r="EI21" i="25"/>
  <c r="EI22" i="25"/>
  <c r="EI23" i="25"/>
  <c r="EI24" i="25"/>
  <c r="EI26" i="25"/>
  <c r="EI25" i="25"/>
  <c r="EI27" i="25"/>
  <c r="EI29" i="25"/>
  <c r="EI28" i="25"/>
  <c r="EI19" i="25"/>
  <c r="EI30" i="25"/>
  <c r="EI17" i="25"/>
  <c r="O297" i="31" l="1"/>
  <c r="K297" i="31"/>
  <c r="V297" i="31" s="1"/>
  <c r="J299" i="31"/>
  <c r="B300" i="31"/>
  <c r="EG21" i="25"/>
  <c r="EG20" i="25"/>
  <c r="EG19" i="25"/>
  <c r="EG22" i="25"/>
  <c r="EG23" i="25"/>
  <c r="EG24" i="25"/>
  <c r="EG25" i="25"/>
  <c r="EG27" i="25"/>
  <c r="EG26" i="25"/>
  <c r="EG28" i="25"/>
  <c r="EG29" i="25"/>
  <c r="EG30" i="25"/>
  <c r="EG17" i="25"/>
  <c r="EG16" i="25"/>
  <c r="EG18" i="25"/>
  <c r="K298" i="31" l="1"/>
  <c r="V298" i="31" s="1"/>
  <c r="O298" i="31"/>
  <c r="J300" i="31"/>
  <c r="B301" i="31"/>
  <c r="EM21" i="25"/>
  <c r="EM22" i="25"/>
  <c r="EM23" i="25"/>
  <c r="EM24" i="25"/>
  <c r="EM25" i="25"/>
  <c r="EM27" i="25"/>
  <c r="EM26" i="25"/>
  <c r="EM28" i="25"/>
  <c r="EM29" i="25"/>
  <c r="EM30" i="25"/>
  <c r="EM16" i="25"/>
  <c r="EM18" i="25"/>
  <c r="EM17" i="25"/>
  <c r="EM19" i="25"/>
  <c r="EM20" i="25"/>
  <c r="EF16" i="25"/>
  <c r="EF17" i="25"/>
  <c r="EF18" i="25"/>
  <c r="EF20" i="25"/>
  <c r="EF21" i="25"/>
  <c r="EF19" i="25"/>
  <c r="EF22" i="25"/>
  <c r="EF23" i="25"/>
  <c r="EF24" i="25"/>
  <c r="EF25" i="25"/>
  <c r="EF27" i="25"/>
  <c r="EF26" i="25"/>
  <c r="EF28" i="25"/>
  <c r="EF29" i="25"/>
  <c r="EF30" i="25"/>
  <c r="O299" i="31" l="1"/>
  <c r="K299" i="31"/>
  <c r="V299" i="31" s="1"/>
  <c r="B302" i="31"/>
  <c r="J301" i="31"/>
  <c r="EK21" i="25"/>
  <c r="EK20" i="25"/>
  <c r="EK22" i="25"/>
  <c r="EK23" i="25"/>
  <c r="EK24" i="25"/>
  <c r="EK25" i="25"/>
  <c r="EK27" i="25"/>
  <c r="EK26" i="25"/>
  <c r="EK28" i="25"/>
  <c r="EK29" i="25"/>
  <c r="EK30" i="25"/>
  <c r="EK16" i="25"/>
  <c r="EK17" i="25"/>
  <c r="EK18" i="25"/>
  <c r="EK19" i="25"/>
  <c r="J302" i="31" l="1"/>
  <c r="B303" i="31"/>
  <c r="O300" i="31"/>
  <c r="K300" i="31"/>
  <c r="V300" i="31" s="1"/>
  <c r="EE22" i="25"/>
  <c r="EE24" i="25"/>
  <c r="EE25" i="25"/>
  <c r="EE19" i="25"/>
  <c r="EE27" i="25"/>
  <c r="EE21" i="25"/>
  <c r="EE17" i="25"/>
  <c r="EE30" i="25"/>
  <c r="EE29" i="25"/>
  <c r="EE28" i="25"/>
  <c r="EE26" i="25"/>
  <c r="EE23" i="25"/>
  <c r="EE18" i="25"/>
  <c r="EE20" i="25"/>
  <c r="EE16" i="25"/>
  <c r="EL23" i="25"/>
  <c r="EL24" i="25"/>
  <c r="EL27" i="25"/>
  <c r="EL25" i="25"/>
  <c r="EL26" i="25"/>
  <c r="EL28" i="25"/>
  <c r="EL29" i="25"/>
  <c r="EL30" i="25"/>
  <c r="EL16" i="25"/>
  <c r="EL17" i="25"/>
  <c r="EL18" i="25"/>
  <c r="EL19" i="25"/>
  <c r="EL21" i="25"/>
  <c r="EL20" i="25"/>
  <c r="EL22" i="25"/>
  <c r="O301" i="31" l="1"/>
  <c r="K301" i="31"/>
  <c r="V301" i="31" s="1"/>
  <c r="J303" i="31"/>
  <c r="B304" i="31"/>
  <c r="ED31" i="25"/>
  <c r="ED32" i="25"/>
  <c r="ED34" i="25"/>
  <c r="O302" i="31" l="1"/>
  <c r="K302" i="31"/>
  <c r="V302" i="31" s="1"/>
  <c r="B305" i="31"/>
  <c r="J304" i="31"/>
  <c r="EI31" i="25"/>
  <c r="EI32" i="25"/>
  <c r="EI34" i="25"/>
  <c r="EN34" i="25"/>
  <c r="EN31" i="25"/>
  <c r="EN32" i="25"/>
  <c r="J305" i="31" l="1"/>
  <c r="B306" i="31"/>
  <c r="K303" i="31"/>
  <c r="V303" i="31" s="1"/>
  <c r="O303" i="31"/>
  <c r="EK34" i="25"/>
  <c r="EK31" i="25"/>
  <c r="EK32" i="25"/>
  <c r="EM31" i="25"/>
  <c r="EM34" i="25"/>
  <c r="EM32" i="25"/>
  <c r="EF34" i="25"/>
  <c r="EF31" i="25"/>
  <c r="EF32" i="25"/>
  <c r="EG34" i="25"/>
  <c r="EG32" i="25"/>
  <c r="EG31" i="25"/>
  <c r="O304" i="31" l="1"/>
  <c r="K304" i="31"/>
  <c r="V304" i="31" s="1"/>
  <c r="J306" i="31"/>
  <c r="B307" i="31"/>
  <c r="EE34" i="25"/>
  <c r="EE32" i="25"/>
  <c r="EE31" i="25"/>
  <c r="K305" i="31" l="1"/>
  <c r="V305" i="31" s="1"/>
  <c r="O305" i="31"/>
  <c r="J307" i="31"/>
  <c r="B308" i="31"/>
  <c r="EL34" i="25"/>
  <c r="EL32" i="25"/>
  <c r="EL31" i="25"/>
  <c r="J308" i="31" l="1"/>
  <c r="B309" i="31"/>
  <c r="K306" i="31"/>
  <c r="V306" i="31" s="1"/>
  <c r="O306" i="31"/>
  <c r="FE13" i="25"/>
  <c r="FE14" i="25"/>
  <c r="FE15" i="25"/>
  <c r="FE16" i="25"/>
  <c r="FE17" i="25"/>
  <c r="FE18" i="25"/>
  <c r="FE19" i="25"/>
  <c r="O307" i="31" l="1"/>
  <c r="K307" i="31"/>
  <c r="V307" i="31" s="1"/>
  <c r="J309" i="31"/>
  <c r="B310" i="31"/>
  <c r="EH15" i="25"/>
  <c r="K308" i="31" l="1"/>
  <c r="V308" i="31" s="1"/>
  <c r="O308" i="31"/>
  <c r="B311" i="31"/>
  <c r="J310" i="31"/>
  <c r="EH13" i="25"/>
  <c r="EH14" i="25"/>
  <c r="EH16" i="25"/>
  <c r="EH17" i="25"/>
  <c r="EH18" i="25"/>
  <c r="EH19" i="25"/>
  <c r="EH20" i="25"/>
  <c r="EH21" i="25"/>
  <c r="EH22" i="25"/>
  <c r="O309" i="31" l="1"/>
  <c r="K309" i="31"/>
  <c r="V309" i="31" s="1"/>
  <c r="B312" i="31"/>
  <c r="J311" i="31"/>
  <c r="EH23" i="25"/>
  <c r="S41" i="31" l="1"/>
  <c r="J312" i="31"/>
  <c r="B313" i="31"/>
  <c r="O310" i="31"/>
  <c r="K310" i="31"/>
  <c r="V310" i="31" s="1"/>
  <c r="EH24" i="25"/>
  <c r="EH25" i="25"/>
  <c r="EH26" i="25"/>
  <c r="B314" i="31" l="1"/>
  <c r="J313" i="31"/>
  <c r="K311" i="31"/>
  <c r="V311" i="31" s="1"/>
  <c r="O311" i="31"/>
  <c r="EJ14" i="25"/>
  <c r="EJ13" i="25"/>
  <c r="EJ16" i="25"/>
  <c r="EJ17" i="25"/>
  <c r="EJ18" i="25"/>
  <c r="EJ21" i="25"/>
  <c r="EJ20" i="25"/>
  <c r="EJ22" i="25"/>
  <c r="EJ24" i="25"/>
  <c r="EJ26" i="25"/>
  <c r="EJ19" i="25"/>
  <c r="EJ23" i="25"/>
  <c r="EJ25" i="25"/>
  <c r="EJ15" i="25"/>
  <c r="J314" i="31" l="1"/>
  <c r="B315" i="31"/>
  <c r="K312" i="31"/>
  <c r="V312" i="31" s="1"/>
  <c r="O312" i="31"/>
  <c r="EH27" i="25"/>
  <c r="EH28" i="25"/>
  <c r="EJ28" i="25"/>
  <c r="EJ27" i="25"/>
  <c r="B316" i="31" l="1"/>
  <c r="J315" i="31"/>
  <c r="K313" i="31"/>
  <c r="V313" i="31" s="1"/>
  <c r="O313" i="31"/>
  <c r="EH29" i="25"/>
  <c r="O314" i="31" l="1"/>
  <c r="K314" i="31"/>
  <c r="V314" i="31" s="1"/>
  <c r="J316" i="31"/>
  <c r="B317" i="31"/>
  <c r="EJ29" i="25"/>
  <c r="B318" i="31" l="1"/>
  <c r="J317" i="31"/>
  <c r="K315" i="31"/>
  <c r="V315" i="31" s="1"/>
  <c r="O315" i="31"/>
  <c r="EH30" i="25"/>
  <c r="O316" i="31" l="1"/>
  <c r="K316" i="31"/>
  <c r="V316" i="31" s="1"/>
  <c r="J318" i="31"/>
  <c r="B319" i="31"/>
  <c r="EH31" i="25"/>
  <c r="EJ30" i="25"/>
  <c r="EJ34" i="25"/>
  <c r="EJ31" i="25"/>
  <c r="EJ32" i="25"/>
  <c r="K317" i="31" l="1"/>
  <c r="V317" i="31" s="1"/>
  <c r="O317" i="31"/>
  <c r="J319" i="31"/>
  <c r="B320" i="31"/>
  <c r="EH34" i="25"/>
  <c r="EH32" i="25"/>
  <c r="J320" i="31" l="1"/>
  <c r="B321" i="31"/>
  <c r="O318" i="31"/>
  <c r="K318" i="31"/>
  <c r="V318" i="31" s="1"/>
  <c r="J321" i="31" l="1"/>
  <c r="B322" i="31"/>
  <c r="K319" i="31"/>
  <c r="V319" i="31" s="1"/>
  <c r="O319" i="31"/>
  <c r="A54" i="25"/>
  <c r="K320" i="31" l="1"/>
  <c r="V320" i="31" s="1"/>
  <c r="O320" i="31"/>
  <c r="B323" i="31"/>
  <c r="J322" i="31"/>
  <c r="DR35" i="25"/>
  <c r="DR36" i="25"/>
  <c r="DR37" i="25"/>
  <c r="DR38" i="25"/>
  <c r="DR21" i="25"/>
  <c r="DR34" i="25"/>
  <c r="DR26" i="25"/>
  <c r="DR31" i="25"/>
  <c r="DR16" i="25"/>
  <c r="DR22" i="25"/>
  <c r="DR23" i="25"/>
  <c r="DR20" i="25"/>
  <c r="DR29" i="25"/>
  <c r="DR24" i="25"/>
  <c r="DR28" i="25"/>
  <c r="DR30" i="25"/>
  <c r="DR27" i="25"/>
  <c r="DR19" i="25"/>
  <c r="DR14" i="25"/>
  <c r="DR18" i="25"/>
  <c r="DR13" i="25"/>
  <c r="DR15" i="25"/>
  <c r="DR33" i="25"/>
  <c r="DR17" i="25"/>
  <c r="DR32" i="25"/>
  <c r="DR25" i="25"/>
  <c r="J323" i="31" l="1"/>
  <c r="B324" i="31"/>
  <c r="J324" i="31" s="1"/>
  <c r="K321" i="31"/>
  <c r="V321" i="31" s="1"/>
  <c r="O321" i="31"/>
  <c r="AE38" i="31" l="1"/>
  <c r="AE39" i="31"/>
  <c r="AE40" i="31"/>
  <c r="K322" i="31"/>
  <c r="V322" i="31" s="1"/>
  <c r="O322" i="31"/>
  <c r="M41" i="31" l="1"/>
  <c r="K323" i="31"/>
  <c r="V323" i="31" s="1"/>
  <c r="AE41" i="31" s="1"/>
  <c r="O323" i="31"/>
  <c r="O324" i="31"/>
  <c r="K324" i="31"/>
  <c r="V324" i="31" s="1"/>
  <c r="O41" i="31"/>
  <c r="O39" i="31"/>
  <c r="O38" i="31"/>
  <c r="Y17" i="31" l="1"/>
  <c r="Y16" i="31"/>
  <c r="Y18" i="31"/>
  <c r="Y19" i="31"/>
  <c r="Y20" i="31"/>
  <c r="Y21" i="31"/>
  <c r="Y22" i="31"/>
  <c r="Y23" i="31"/>
  <c r="Y24" i="31"/>
  <c r="Y25" i="31"/>
  <c r="Y26" i="31"/>
  <c r="Y27" i="31"/>
  <c r="Y28" i="31"/>
  <c r="Y29" i="31"/>
  <c r="Y30" i="31"/>
  <c r="Y31" i="31"/>
  <c r="Y32" i="31"/>
  <c r="Y33" i="31"/>
  <c r="Y34" i="31"/>
  <c r="Y35" i="31"/>
  <c r="Y36" i="31"/>
  <c r="Y37" i="31"/>
  <c r="Y38" i="31"/>
  <c r="Y39" i="31"/>
  <c r="Y40" i="31"/>
  <c r="Y41" i="31"/>
  <c r="Q41" i="31"/>
  <c r="O40" i="31"/>
  <c r="M38" i="31" l="1"/>
  <c r="S38" i="31"/>
  <c r="M39" i="31" l="1"/>
  <c r="Q38" i="31"/>
  <c r="S39" i="31"/>
  <c r="S40" i="31" l="1"/>
  <c r="Q39" i="31"/>
  <c r="M40" i="31"/>
  <c r="Q40" i="31" l="1"/>
  <c r="BB38" i="25" l="1"/>
  <c r="BB36" i="25"/>
  <c r="BB35" i="25"/>
  <c r="BB37" i="25"/>
  <c r="BC38" i="25" l="1"/>
  <c r="BC36" i="25"/>
  <c r="BC37" i="25"/>
  <c r="BC35" i="25"/>
  <c r="BD35" i="25"/>
  <c r="BD38" i="25"/>
  <c r="BD37" i="25"/>
  <c r="BD36" i="25"/>
  <c r="BE37" i="25"/>
  <c r="BE38" i="25"/>
  <c r="BE36" i="25"/>
  <c r="BE35" i="25"/>
  <c r="BF38" i="25"/>
  <c r="BF37" i="25"/>
  <c r="BF35" i="25"/>
  <c r="BF36" i="25"/>
  <c r="BG38" i="25"/>
  <c r="BG36" i="25"/>
  <c r="BG35" i="25"/>
  <c r="BG37" i="25"/>
  <c r="K58" i="31" l="1"/>
  <c r="V58" i="31" s="1"/>
  <c r="K86" i="31"/>
  <c r="V86" i="31" s="1"/>
  <c r="K77" i="31"/>
  <c r="V77" i="31" s="1"/>
  <c r="K27" i="31"/>
  <c r="V27" i="31" s="1"/>
  <c r="K109" i="31"/>
  <c r="V109" i="31" s="1"/>
  <c r="K136" i="31"/>
  <c r="V136" i="31" s="1"/>
  <c r="K62" i="31"/>
  <c r="V62" i="31" s="1"/>
  <c r="K55" i="31"/>
  <c r="V55" i="31" s="1"/>
  <c r="K90" i="31"/>
  <c r="V90" i="31" s="1"/>
  <c r="K70" i="31"/>
  <c r="V70" i="31" s="1"/>
  <c r="K29" i="31"/>
  <c r="V29" i="31" s="1"/>
  <c r="K157" i="31"/>
  <c r="V157" i="31" s="1"/>
  <c r="K46" i="31"/>
  <c r="V46" i="31" s="1"/>
  <c r="K69" i="31"/>
  <c r="V69" i="31" s="1"/>
  <c r="K49" i="31"/>
  <c r="V49" i="31" s="1"/>
  <c r="O19" i="31"/>
  <c r="K31" i="31"/>
  <c r="V31" i="31" s="1"/>
  <c r="K115" i="31"/>
  <c r="V115" i="31" s="1"/>
  <c r="K89" i="31"/>
  <c r="V89" i="31" s="1"/>
  <c r="K104" i="31"/>
  <c r="V104" i="31" s="1"/>
  <c r="K28" i="31"/>
  <c r="V28" i="31" s="1"/>
  <c r="K66" i="31"/>
  <c r="V66" i="31" s="1"/>
  <c r="K114" i="31"/>
  <c r="V114" i="31" s="1"/>
  <c r="K51" i="31"/>
  <c r="V51" i="31" s="1"/>
  <c r="K88" i="31"/>
  <c r="V88" i="31" s="1"/>
  <c r="K68" i="31"/>
  <c r="V68" i="31" s="1"/>
  <c r="K181" i="31"/>
  <c r="V181" i="31" s="1"/>
  <c r="K146" i="31"/>
  <c r="V146" i="31" s="1"/>
  <c r="K85" i="31"/>
  <c r="V85" i="31" s="1"/>
  <c r="K133" i="31"/>
  <c r="V133" i="31" s="1"/>
  <c r="K21" i="31"/>
  <c r="V21" i="31" s="1"/>
  <c r="K98" i="31"/>
  <c r="V98" i="31" s="1"/>
  <c r="K81" i="31"/>
  <c r="V81" i="31" s="1"/>
  <c r="K111" i="31"/>
  <c r="V111" i="31" s="1"/>
  <c r="K22" i="31"/>
  <c r="V22" i="31" s="1"/>
  <c r="K44" i="31"/>
  <c r="V44" i="31" s="1"/>
  <c r="K14" i="31"/>
  <c r="V14" i="31" s="1"/>
  <c r="K59" i="31"/>
  <c r="V59" i="31" s="1"/>
  <c r="K123" i="31"/>
  <c r="V123" i="31" s="1"/>
  <c r="K30" i="31"/>
  <c r="V30" i="31" s="1"/>
  <c r="K125" i="31"/>
  <c r="V125" i="31" s="1"/>
  <c r="K135" i="31"/>
  <c r="V135" i="31" s="1"/>
  <c r="K78" i="31"/>
  <c r="V78" i="31" s="1"/>
  <c r="K82" i="31"/>
  <c r="V82" i="31" s="1"/>
  <c r="K50" i="31"/>
  <c r="V50" i="31" s="1"/>
  <c r="K32" i="31"/>
  <c r="V32" i="31" s="1"/>
  <c r="K99" i="31"/>
  <c r="V99" i="31" s="1"/>
  <c r="K56" i="31"/>
  <c r="V56" i="31" s="1"/>
  <c r="K170" i="31"/>
  <c r="V170" i="31" s="1"/>
  <c r="K73" i="31"/>
  <c r="V73" i="31" s="1"/>
  <c r="K110" i="31"/>
  <c r="V110" i="31" s="1"/>
  <c r="K17" i="31"/>
  <c r="V17" i="31" s="1"/>
  <c r="K53" i="31"/>
  <c r="V53" i="31" s="1"/>
  <c r="K113" i="31"/>
  <c r="V113" i="31" s="1"/>
  <c r="K75" i="31"/>
  <c r="V75" i="31" s="1"/>
  <c r="K74" i="31"/>
  <c r="V74" i="31" s="1"/>
  <c r="K80" i="31"/>
  <c r="V80" i="31" s="1"/>
  <c r="K57" i="31"/>
  <c r="V57" i="31" s="1"/>
  <c r="K40" i="31"/>
  <c r="V40" i="31" s="1"/>
  <c r="K121" i="31"/>
  <c r="V121" i="31" s="1"/>
  <c r="K101" i="31"/>
  <c r="V101" i="31" s="1"/>
  <c r="K158" i="31"/>
  <c r="V158" i="31" s="1"/>
  <c r="K13" i="31"/>
  <c r="V13" i="31" s="1"/>
  <c r="AE16" i="31" s="1"/>
  <c r="O16" i="31"/>
  <c r="K100" i="31"/>
  <c r="V100" i="31" s="1"/>
  <c r="K19" i="31"/>
  <c r="V19" i="31" s="1"/>
  <c r="K64" i="31"/>
  <c r="V64" i="31" s="1"/>
  <c r="K71" i="31"/>
  <c r="V71" i="31" s="1"/>
  <c r="K124" i="31"/>
  <c r="V124" i="31" s="1"/>
  <c r="K16" i="31"/>
  <c r="V16" i="31" s="1"/>
  <c r="K97" i="31"/>
  <c r="V97" i="31" s="1"/>
  <c r="K63" i="31"/>
  <c r="V63" i="31" s="1"/>
  <c r="K169" i="31"/>
  <c r="V169" i="31" s="1"/>
  <c r="K35" i="31"/>
  <c r="V35" i="31" s="1"/>
  <c r="K159" i="31"/>
  <c r="V159" i="31" s="1"/>
  <c r="K23" i="31"/>
  <c r="V23" i="31" s="1"/>
  <c r="K37" i="31"/>
  <c r="V37" i="31" s="1"/>
  <c r="O18" i="31"/>
  <c r="K145" i="31"/>
  <c r="V145" i="31" s="1"/>
  <c r="K18" i="31"/>
  <c r="V18" i="31" s="1"/>
  <c r="K45" i="31"/>
  <c r="V45" i="31" s="1"/>
  <c r="K26" i="31"/>
  <c r="V26" i="31" s="1"/>
  <c r="K65" i="31"/>
  <c r="V65" i="31" s="1"/>
  <c r="K47" i="31"/>
  <c r="V47" i="31" s="1"/>
  <c r="K60" i="31"/>
  <c r="V60" i="31" s="1"/>
  <c r="K24" i="31"/>
  <c r="V24" i="31" s="1"/>
  <c r="K42" i="31"/>
  <c r="V42" i="31" s="1"/>
  <c r="K137" i="31"/>
  <c r="V137" i="31" s="1"/>
  <c r="K79" i="31"/>
  <c r="V79" i="31" s="1"/>
  <c r="K147" i="31"/>
  <c r="V147" i="31" s="1"/>
  <c r="K52" i="31"/>
  <c r="V52" i="31" s="1"/>
  <c r="K148" i="31"/>
  <c r="V148" i="31" s="1"/>
  <c r="K76" i="31"/>
  <c r="V76" i="31" s="1"/>
  <c r="K134" i="31"/>
  <c r="V134" i="31" s="1"/>
  <c r="K25" i="31"/>
  <c r="V25" i="31" s="1"/>
  <c r="O17" i="31"/>
  <c r="K34" i="31"/>
  <c r="V34" i="31" s="1"/>
  <c r="K38" i="31"/>
  <c r="V38" i="31" s="1"/>
  <c r="K43" i="31"/>
  <c r="V43" i="31" s="1"/>
  <c r="K122" i="31"/>
  <c r="V122" i="31" s="1"/>
  <c r="K48" i="31"/>
  <c r="V48" i="31" s="1"/>
  <c r="K92" i="31"/>
  <c r="V92" i="31" s="1"/>
  <c r="K91" i="31"/>
  <c r="V91" i="31" s="1"/>
  <c r="K15" i="31"/>
  <c r="V15" i="31" s="1"/>
  <c r="K41" i="31"/>
  <c r="V41" i="31" s="1"/>
  <c r="K103" i="31"/>
  <c r="V103" i="31" s="1"/>
  <c r="K54" i="31"/>
  <c r="V54" i="31" s="1"/>
  <c r="K20" i="31"/>
  <c r="V20" i="31" s="1"/>
  <c r="K87" i="31"/>
  <c r="V87" i="31" s="1"/>
  <c r="K112" i="31"/>
  <c r="V112" i="31" s="1"/>
  <c r="K126" i="31"/>
  <c r="V126" i="31" s="1"/>
  <c r="K39" i="31"/>
  <c r="V39" i="31" s="1"/>
  <c r="K33" i="31"/>
  <c r="V33" i="31" s="1"/>
  <c r="K67" i="31"/>
  <c r="V67" i="31" s="1"/>
  <c r="K93" i="31"/>
  <c r="V93" i="31" s="1"/>
  <c r="K61" i="31"/>
  <c r="V61" i="31" s="1"/>
  <c r="K102" i="31"/>
  <c r="V102" i="31" s="1"/>
  <c r="O20" i="31"/>
  <c r="AE19" i="31" l="1"/>
  <c r="AE18" i="31"/>
  <c r="G12" i="31"/>
  <c r="S19" i="31"/>
  <c r="K182" i="31"/>
  <c r="V182" i="31" s="1"/>
  <c r="K193" i="31"/>
  <c r="V193" i="31" s="1"/>
  <c r="K94" i="31"/>
  <c r="V94" i="31" s="1"/>
  <c r="M19" i="31"/>
  <c r="K160" i="31"/>
  <c r="V160" i="31" s="1"/>
  <c r="K4" i="31"/>
  <c r="K5" i="31"/>
  <c r="K6" i="31" s="1"/>
  <c r="M20" i="31"/>
  <c r="K72" i="31"/>
  <c r="V72" i="31" s="1"/>
  <c r="AE20" i="31" s="1"/>
  <c r="S18" i="31"/>
  <c r="M16" i="31"/>
  <c r="K83" i="31"/>
  <c r="V83" i="31" s="1"/>
  <c r="M18" i="31"/>
  <c r="S16" i="31"/>
  <c r="K138" i="31"/>
  <c r="V138" i="31" s="1"/>
  <c r="K105" i="31"/>
  <c r="V105" i="31" s="1"/>
  <c r="K116" i="31"/>
  <c r="V116" i="31" s="1"/>
  <c r="K127" i="31"/>
  <c r="V127" i="31" s="1"/>
  <c r="K149" i="31"/>
  <c r="V149" i="31" s="1"/>
  <c r="K171" i="31"/>
  <c r="V171" i="31" s="1"/>
  <c r="M17" i="31"/>
  <c r="K36" i="31"/>
  <c r="V36" i="31" l="1"/>
  <c r="AE17" i="31" s="1"/>
  <c r="S20" i="31"/>
  <c r="K194" i="31"/>
  <c r="V194" i="31" s="1"/>
  <c r="Q19" i="31"/>
  <c r="K172" i="31"/>
  <c r="V172" i="31" s="1"/>
  <c r="K150" i="31"/>
  <c r="V150" i="31" s="1"/>
  <c r="K117" i="31"/>
  <c r="V117" i="31" s="1"/>
  <c r="Q16" i="31"/>
  <c r="Q17" i="31"/>
  <c r="K139" i="31"/>
  <c r="V139" i="31" s="1"/>
  <c r="Q18" i="31"/>
  <c r="O205" i="31"/>
  <c r="K205" i="31"/>
  <c r="V205" i="31" s="1"/>
  <c r="K183" i="31"/>
  <c r="V183" i="31" s="1"/>
  <c r="K161" i="31"/>
  <c r="V161" i="31" s="1"/>
  <c r="K95" i="31"/>
  <c r="V95" i="31" s="1"/>
  <c r="K128" i="31"/>
  <c r="V128" i="31" s="1"/>
  <c r="K106" i="31"/>
  <c r="V106" i="31" s="1"/>
  <c r="Q20" i="31"/>
  <c r="B5" i="31"/>
  <c r="K3" i="25"/>
  <c r="M8" i="31"/>
  <c r="O22" i="31"/>
  <c r="S17" i="31" l="1"/>
  <c r="G9" i="25"/>
  <c r="B5" i="25"/>
  <c r="K129" i="31"/>
  <c r="V129" i="31" s="1"/>
  <c r="M22" i="31"/>
  <c r="K96" i="31"/>
  <c r="K162" i="31"/>
  <c r="V162" i="31" s="1"/>
  <c r="K184" i="31"/>
  <c r="V184" i="31" s="1"/>
  <c r="K206" i="31"/>
  <c r="V206" i="31" s="1"/>
  <c r="O206" i="31"/>
  <c r="K140" i="31"/>
  <c r="V140" i="31" s="1"/>
  <c r="K118" i="31"/>
  <c r="V118" i="31" s="1"/>
  <c r="K107" i="31"/>
  <c r="V107" i="31" s="1"/>
  <c r="K151" i="31"/>
  <c r="V151" i="31" s="1"/>
  <c r="K173" i="31"/>
  <c r="V173" i="31" s="1"/>
  <c r="K195" i="31"/>
  <c r="V195" i="31" s="1"/>
  <c r="K217" i="31"/>
  <c r="V217" i="31" s="1"/>
  <c r="O217" i="31"/>
  <c r="E37" i="25"/>
  <c r="E19" i="25"/>
  <c r="E13" i="25"/>
  <c r="E36" i="25"/>
  <c r="E35" i="25"/>
  <c r="E14" i="25"/>
  <c r="E17" i="25"/>
  <c r="E15" i="25"/>
  <c r="E38" i="25"/>
  <c r="E16" i="25"/>
  <c r="V96" i="31" l="1"/>
  <c r="S22" i="31" s="1"/>
  <c r="Q22" i="31"/>
  <c r="O21" i="31"/>
  <c r="K141" i="31"/>
  <c r="V141" i="31" s="1"/>
  <c r="K108" i="31"/>
  <c r="V108" i="31" s="1"/>
  <c r="O229" i="31"/>
  <c r="K229" i="31"/>
  <c r="V229" i="31" s="1"/>
  <c r="K207" i="31"/>
  <c r="V207" i="31" s="1"/>
  <c r="O207" i="31"/>
  <c r="K84" i="31"/>
  <c r="V84" i="31" s="1"/>
  <c r="AE21" i="31" s="1"/>
  <c r="K185" i="31"/>
  <c r="V185" i="31" s="1"/>
  <c r="K163" i="31"/>
  <c r="V163" i="31" s="1"/>
  <c r="K130" i="31"/>
  <c r="V130" i="31" s="1"/>
  <c r="B5" i="28"/>
  <c r="B4" i="31"/>
  <c r="B5" i="66"/>
  <c r="K119" i="31"/>
  <c r="V119" i="31" s="1"/>
  <c r="O218" i="31"/>
  <c r="K218" i="31"/>
  <c r="V218" i="31" s="1"/>
  <c r="K196" i="31"/>
  <c r="V196" i="31" s="1"/>
  <c r="K174" i="31"/>
  <c r="V174" i="31" s="1"/>
  <c r="K152" i="31"/>
  <c r="V152" i="31" s="1"/>
  <c r="E18" i="25"/>
  <c r="E20" i="25"/>
  <c r="M21" i="31" l="1"/>
  <c r="M23" i="31"/>
  <c r="K208" i="31"/>
  <c r="V208" i="31" s="1"/>
  <c r="O208" i="31"/>
  <c r="O230" i="31"/>
  <c r="K230" i="31"/>
  <c r="V230" i="31" s="1"/>
  <c r="K131" i="31"/>
  <c r="V131" i="31" s="1"/>
  <c r="K120" i="31"/>
  <c r="V120" i="31" s="1"/>
  <c r="K153" i="31"/>
  <c r="V153" i="31" s="1"/>
  <c r="K175" i="31"/>
  <c r="V175" i="31" s="1"/>
  <c r="K197" i="31"/>
  <c r="V197" i="31" s="1"/>
  <c r="O219" i="31"/>
  <c r="K219" i="31"/>
  <c r="V219" i="31" s="1"/>
  <c r="S21" i="31"/>
  <c r="K241" i="31"/>
  <c r="V241" i="31" s="1"/>
  <c r="K142" i="31"/>
  <c r="V142" i="31" s="1"/>
  <c r="K164" i="31"/>
  <c r="V164" i="31" s="1"/>
  <c r="K186" i="31"/>
  <c r="V186" i="31" s="1"/>
  <c r="E21" i="25"/>
  <c r="Q21" i="31" l="1"/>
  <c r="O209" i="31"/>
  <c r="K209" i="31"/>
  <c r="V209" i="31" s="1"/>
  <c r="K187" i="31"/>
  <c r="V187" i="31" s="1"/>
  <c r="K165" i="31"/>
  <c r="V165" i="31" s="1"/>
  <c r="K253" i="31"/>
  <c r="V253" i="31" s="1"/>
  <c r="O253" i="31"/>
  <c r="K143" i="31"/>
  <c r="V143" i="31" s="1"/>
  <c r="O220" i="31"/>
  <c r="K220" i="31"/>
  <c r="V220" i="31" s="1"/>
  <c r="K242" i="31"/>
  <c r="V242" i="31" s="1"/>
  <c r="K198" i="31"/>
  <c r="V198" i="31" s="1"/>
  <c r="K176" i="31"/>
  <c r="V176" i="31" s="1"/>
  <c r="K132" i="31"/>
  <c r="V132" i="31" s="1"/>
  <c r="K154" i="31"/>
  <c r="V154" i="31" s="1"/>
  <c r="O231" i="31"/>
  <c r="K231" i="31"/>
  <c r="V231" i="31" s="1"/>
  <c r="E22" i="25"/>
  <c r="K210" i="31" l="1"/>
  <c r="V210" i="31" s="1"/>
  <c r="O210" i="31"/>
  <c r="O254" i="31"/>
  <c r="K254" i="31"/>
  <c r="V254" i="31" s="1"/>
  <c r="K232" i="31"/>
  <c r="V232" i="31" s="1"/>
  <c r="O232" i="31"/>
  <c r="K155" i="31"/>
  <c r="V155" i="31" s="1"/>
  <c r="K265" i="31"/>
  <c r="V265" i="31" s="1"/>
  <c r="O265" i="31"/>
  <c r="K144" i="31"/>
  <c r="V144" i="31" s="1"/>
  <c r="K243" i="31"/>
  <c r="V243" i="31" s="1"/>
  <c r="K177" i="31"/>
  <c r="V177" i="31" s="1"/>
  <c r="K199" i="31"/>
  <c r="V199" i="31" s="1"/>
  <c r="K221" i="31"/>
  <c r="V221" i="31" s="1"/>
  <c r="O221" i="31"/>
  <c r="K166" i="31"/>
  <c r="V166" i="31" s="1"/>
  <c r="K188" i="31"/>
  <c r="V188" i="31" s="1"/>
  <c r="E23" i="25"/>
  <c r="K189" i="31" l="1"/>
  <c r="V189" i="31" s="1"/>
  <c r="K167" i="31"/>
  <c r="V167" i="31" s="1"/>
  <c r="O255" i="31"/>
  <c r="K255" i="31"/>
  <c r="V255" i="31" s="1"/>
  <c r="K222" i="31"/>
  <c r="V222" i="31" s="1"/>
  <c r="O222" i="31"/>
  <c r="K244" i="31"/>
  <c r="V244" i="31" s="1"/>
  <c r="K156" i="31"/>
  <c r="V156" i="31" s="1"/>
  <c r="K178" i="31"/>
  <c r="V178" i="31" s="1"/>
  <c r="K200" i="31"/>
  <c r="V200" i="31" s="1"/>
  <c r="O266" i="31"/>
  <c r="K266" i="31"/>
  <c r="V266" i="31" s="1"/>
  <c r="O233" i="31"/>
  <c r="K233" i="31"/>
  <c r="V233" i="31" s="1"/>
  <c r="K211" i="31"/>
  <c r="V211" i="31" s="1"/>
  <c r="O211" i="31"/>
  <c r="E24" i="25"/>
  <c r="K168" i="31" l="1"/>
  <c r="V168" i="31" s="1"/>
  <c r="O234" i="31"/>
  <c r="K234" i="31"/>
  <c r="V234" i="31" s="1"/>
  <c r="K190" i="31"/>
  <c r="V190" i="31" s="1"/>
  <c r="K267" i="31"/>
  <c r="V267" i="31" s="1"/>
  <c r="O267" i="31"/>
  <c r="O212" i="31"/>
  <c r="K212" i="31"/>
  <c r="V212" i="31" s="1"/>
  <c r="K179" i="31"/>
  <c r="V179" i="31" s="1"/>
  <c r="K245" i="31"/>
  <c r="V245" i="31" s="1"/>
  <c r="O256" i="31"/>
  <c r="K256" i="31"/>
  <c r="V256" i="31" s="1"/>
  <c r="K201" i="31"/>
  <c r="V201" i="31" s="1"/>
  <c r="K223" i="31"/>
  <c r="V223" i="31" s="1"/>
  <c r="O223" i="31"/>
  <c r="E25" i="25"/>
  <c r="O224" i="31" l="1"/>
  <c r="K224" i="31"/>
  <c r="V224" i="31" s="1"/>
  <c r="K202" i="31"/>
  <c r="V202" i="31" s="1"/>
  <c r="K268" i="31"/>
  <c r="V268" i="31" s="1"/>
  <c r="O268" i="31"/>
  <c r="K191" i="31"/>
  <c r="V191" i="31" s="1"/>
  <c r="K246" i="31"/>
  <c r="V246" i="31" s="1"/>
  <c r="O257" i="31"/>
  <c r="K257" i="31"/>
  <c r="V257" i="31" s="1"/>
  <c r="O235" i="31"/>
  <c r="K235" i="31"/>
  <c r="V235" i="31" s="1"/>
  <c r="K180" i="31"/>
  <c r="V180" i="31" s="1"/>
  <c r="K213" i="31"/>
  <c r="V213" i="31" s="1"/>
  <c r="O213" i="31"/>
  <c r="E26" i="25"/>
  <c r="F10" i="31"/>
  <c r="K247" i="31" l="1"/>
  <c r="V247" i="31" s="1"/>
  <c r="K258" i="31"/>
  <c r="V258" i="31" s="1"/>
  <c r="O258" i="31"/>
  <c r="K192" i="31"/>
  <c r="V192" i="31" s="1"/>
  <c r="K203" i="31"/>
  <c r="V203" i="31" s="1"/>
  <c r="O225" i="31"/>
  <c r="K225" i="31"/>
  <c r="V225" i="31" s="1"/>
  <c r="K214" i="31"/>
  <c r="V214" i="31" s="1"/>
  <c r="O214" i="31"/>
  <c r="O236" i="31"/>
  <c r="K236" i="31"/>
  <c r="V236" i="31" s="1"/>
  <c r="K269" i="31"/>
  <c r="V269" i="31" s="1"/>
  <c r="O269" i="31"/>
  <c r="C10" i="31"/>
  <c r="E27" i="25"/>
  <c r="F8" i="31"/>
  <c r="E57" i="25" l="1"/>
  <c r="K215" i="31"/>
  <c r="V215" i="31" s="1"/>
  <c r="O215" i="31"/>
  <c r="O270" i="31"/>
  <c r="K270" i="31"/>
  <c r="V270" i="31" s="1"/>
  <c r="O226" i="31"/>
  <c r="K226" i="31"/>
  <c r="V226" i="31" s="1"/>
  <c r="O237" i="31"/>
  <c r="K237" i="31"/>
  <c r="V237" i="31" s="1"/>
  <c r="K259" i="31"/>
  <c r="V259" i="31" s="1"/>
  <c r="O259" i="31"/>
  <c r="K248" i="31"/>
  <c r="V248" i="31" s="1"/>
  <c r="K204" i="31"/>
  <c r="V204" i="31" s="1"/>
  <c r="E28" i="25"/>
  <c r="C8" i="31"/>
  <c r="F7" i="31"/>
  <c r="E61" i="25" l="1"/>
  <c r="K271" i="31"/>
  <c r="V271" i="31" s="1"/>
  <c r="O271" i="31"/>
  <c r="O238" i="31"/>
  <c r="K238" i="31"/>
  <c r="V238" i="31" s="1"/>
  <c r="K249" i="31"/>
  <c r="V249" i="31" s="1"/>
  <c r="O227" i="31"/>
  <c r="K227" i="31"/>
  <c r="V227" i="31" s="1"/>
  <c r="O260" i="31"/>
  <c r="K260" i="31"/>
  <c r="V260" i="31" s="1"/>
  <c r="K216" i="31"/>
  <c r="V216" i="31" s="1"/>
  <c r="O216" i="31"/>
  <c r="E29" i="25"/>
  <c r="C7" i="31"/>
  <c r="E67" i="25" l="1"/>
  <c r="K272" i="31"/>
  <c r="V272" i="31" s="1"/>
  <c r="O272" i="31"/>
  <c r="K240" i="31"/>
  <c r="V240" i="31" s="1"/>
  <c r="K250" i="31"/>
  <c r="V250" i="31" s="1"/>
  <c r="O239" i="31"/>
  <c r="K239" i="31"/>
  <c r="V239" i="31" s="1"/>
  <c r="O261" i="31"/>
  <c r="K261" i="31"/>
  <c r="V261" i="31" s="1"/>
  <c r="E31" i="25"/>
  <c r="M25" i="31" l="1"/>
  <c r="M26" i="31"/>
  <c r="M30" i="31"/>
  <c r="M28" i="31"/>
  <c r="M24" i="31"/>
  <c r="M29" i="31"/>
  <c r="M27" i="31"/>
  <c r="M31" i="31"/>
  <c r="M32" i="31"/>
  <c r="M34" i="31"/>
  <c r="O262" i="31"/>
  <c r="K262" i="31"/>
  <c r="V262" i="31" s="1"/>
  <c r="K273" i="31"/>
  <c r="V273" i="31" s="1"/>
  <c r="O273" i="31"/>
  <c r="K252" i="31"/>
  <c r="V252" i="31" s="1"/>
  <c r="K251" i="31"/>
  <c r="V251" i="31" s="1"/>
  <c r="E32" i="25"/>
  <c r="M36" i="31" l="1"/>
  <c r="O264" i="31"/>
  <c r="K264" i="31"/>
  <c r="V264" i="31" s="1"/>
  <c r="O228" i="31"/>
  <c r="K228" i="31"/>
  <c r="V228" i="31" s="1"/>
  <c r="O240" i="31"/>
  <c r="O263" i="31"/>
  <c r="K263" i="31"/>
  <c r="V263" i="31" s="1"/>
  <c r="K274" i="31"/>
  <c r="V274" i="31" s="1"/>
  <c r="O274" i="31"/>
  <c r="E33" i="25"/>
  <c r="E30" i="25"/>
  <c r="M33" i="31" l="1"/>
  <c r="M37" i="31"/>
  <c r="O25" i="31"/>
  <c r="Q25" i="31" s="1"/>
  <c r="O28" i="31"/>
  <c r="Q28" i="31" s="1"/>
  <c r="O30" i="31"/>
  <c r="Q30" i="31" s="1"/>
  <c r="O26" i="31"/>
  <c r="Q26" i="31" s="1"/>
  <c r="O24" i="31"/>
  <c r="O23" i="31"/>
  <c r="O29" i="31"/>
  <c r="Q29" i="31" s="1"/>
  <c r="O31" i="31"/>
  <c r="Q31" i="31" s="1"/>
  <c r="O27" i="31"/>
  <c r="Q27" i="31" s="1"/>
  <c r="O32" i="31"/>
  <c r="Q32" i="31" s="1"/>
  <c r="O33" i="31"/>
  <c r="O34" i="31"/>
  <c r="Q34" i="31" s="1"/>
  <c r="O35" i="31"/>
  <c r="O36" i="31"/>
  <c r="Q36" i="31" s="1"/>
  <c r="O37" i="31"/>
  <c r="O275" i="31"/>
  <c r="K275" i="31"/>
  <c r="V275" i="31" s="1"/>
  <c r="K276" i="31"/>
  <c r="V276" i="31" s="1"/>
  <c r="O276" i="31"/>
  <c r="E34" i="25"/>
  <c r="AE28" i="31" l="1"/>
  <c r="AE23" i="31"/>
  <c r="AE25" i="31"/>
  <c r="AE27" i="31"/>
  <c r="AE22" i="31"/>
  <c r="AE29" i="31"/>
  <c r="AE24" i="31"/>
  <c r="AE26" i="31"/>
  <c r="AE30" i="31"/>
  <c r="AE32" i="31"/>
  <c r="AE31" i="31"/>
  <c r="AE33" i="31"/>
  <c r="AE34" i="31"/>
  <c r="AE35" i="31"/>
  <c r="AE36" i="31"/>
  <c r="AE37" i="31"/>
  <c r="Q23" i="31"/>
  <c r="Q24" i="31"/>
  <c r="Q37" i="31"/>
  <c r="Q33" i="31"/>
  <c r="M35" i="31"/>
  <c r="S23" i="31"/>
  <c r="S25" i="31"/>
  <c r="S29" i="31"/>
  <c r="S28" i="31"/>
  <c r="S27" i="31"/>
  <c r="S26" i="31"/>
  <c r="S24" i="31"/>
  <c r="S31" i="31"/>
  <c r="S30" i="31"/>
  <c r="S32" i="31"/>
  <c r="S33" i="31"/>
  <c r="S34" i="31"/>
  <c r="S35" i="31"/>
  <c r="S36" i="31"/>
  <c r="S37" i="31"/>
  <c r="Q35" i="31" l="1"/>
  <c r="AZ18" i="25"/>
  <c r="AZ23" i="25"/>
  <c r="AZ25" i="25"/>
  <c r="AZ28" i="25"/>
  <c r="AZ33" i="25"/>
  <c r="AZ34" i="25"/>
  <c r="AZ37" i="25"/>
  <c r="AZ38" i="25"/>
  <c r="AY13" i="25"/>
  <c r="AY14" i="25"/>
  <c r="AY16" i="25"/>
  <c r="AY18" i="25"/>
  <c r="AY24" i="25"/>
  <c r="AY27" i="25"/>
  <c r="AY28" i="25"/>
  <c r="AY29" i="25"/>
  <c r="AY33" i="25"/>
  <c r="AY32" i="25"/>
  <c r="AY34" i="25"/>
  <c r="BA13" i="25"/>
  <c r="BA15" i="25"/>
  <c r="BA16" i="25"/>
  <c r="BA17" i="25"/>
  <c r="BA18" i="25"/>
  <c r="BA19" i="25"/>
  <c r="BA20" i="25"/>
  <c r="BA21" i="25"/>
  <c r="BA22" i="25"/>
  <c r="BA23" i="25"/>
  <c r="BA24" i="25"/>
  <c r="BA28" i="25"/>
  <c r="BA30" i="25"/>
  <c r="BA35" i="25"/>
  <c r="BA36" i="25"/>
  <c r="BA37" i="25"/>
  <c r="BA38" i="25"/>
  <c r="BA25" i="25"/>
  <c r="BA27" i="25"/>
  <c r="BA31" i="25"/>
  <c r="BA14" i="25"/>
  <c r="BA29" i="25"/>
  <c r="BA32" i="25"/>
  <c r="BA26" i="25"/>
  <c r="AZ30" i="25"/>
  <c r="AZ22" i="25"/>
  <c r="AZ17" i="25"/>
  <c r="AZ14" i="25"/>
  <c r="AZ32" i="25"/>
  <c r="AZ16" i="25"/>
  <c r="AZ20" i="25"/>
  <c r="AZ27" i="25"/>
  <c r="AZ19" i="25"/>
  <c r="AZ31" i="25"/>
  <c r="AZ24" i="25"/>
  <c r="AZ35" i="25"/>
  <c r="AZ15" i="25"/>
  <c r="AZ29" i="25"/>
  <c r="AZ26" i="25"/>
  <c r="AZ13" i="25"/>
  <c r="AZ36" i="25"/>
  <c r="AZ21" i="25"/>
  <c r="AY20" i="25"/>
  <c r="AY38" i="25"/>
  <c r="AY22" i="25"/>
  <c r="AY36" i="25"/>
  <c r="AY25" i="25"/>
  <c r="AY23" i="25"/>
  <c r="AY37" i="25"/>
  <c r="AY31" i="25"/>
  <c r="AY17" i="25"/>
  <c r="AY30" i="25"/>
  <c r="AY26" i="25"/>
  <c r="AY15" i="25"/>
  <c r="AY21" i="25"/>
  <c r="AY19" i="25"/>
  <c r="AY35" i="25"/>
  <c r="DS21" i="25" l="1"/>
  <c r="DS30" i="25"/>
  <c r="DS25" i="25"/>
  <c r="DS20" i="25"/>
  <c r="DS24" i="25"/>
  <c r="DS34" i="25"/>
  <c r="DS23" i="25"/>
  <c r="DS26" i="25"/>
  <c r="DS38" i="25"/>
  <c r="DS33" i="25"/>
  <c r="DS29" i="25"/>
  <c r="DS27" i="25"/>
  <c r="DS32" i="25"/>
  <c r="DS31" i="25"/>
  <c r="DS36" i="25"/>
  <c r="DS28" i="25"/>
  <c r="DS13" i="25"/>
  <c r="DS22" i="25"/>
  <c r="DS35" i="25"/>
  <c r="DS16" i="25"/>
  <c r="DS15" i="25"/>
  <c r="DS19" i="25"/>
  <c r="DS18" i="25"/>
  <c r="DS37" i="25"/>
  <c r="DS14" i="25"/>
  <c r="DS17" i="25"/>
  <c r="DU20" i="25"/>
  <c r="DU24" i="25"/>
  <c r="DU32" i="25"/>
  <c r="DU25" i="25"/>
  <c r="DU34" i="25"/>
  <c r="DU35" i="25"/>
  <c r="DU30" i="25"/>
  <c r="DU21" i="25"/>
  <c r="DU16" i="25"/>
  <c r="DU31" i="25"/>
  <c r="DU26" i="25"/>
  <c r="DU38" i="25"/>
  <c r="DU22" i="25"/>
  <c r="DU14" i="25"/>
  <c r="DU36" i="25"/>
  <c r="DU37" i="25"/>
  <c r="DU29" i="25"/>
  <c r="DU18" i="25"/>
  <c r="DU33" i="25"/>
  <c r="DU23" i="25"/>
  <c r="DU19" i="25"/>
  <c r="DU28" i="25"/>
  <c r="DU15" i="25"/>
  <c r="DU17" i="25"/>
  <c r="DU13" i="25"/>
  <c r="DU27" i="25"/>
  <c r="DT20" i="25"/>
  <c r="DT15" i="25"/>
  <c r="DT35" i="25"/>
  <c r="DT16" i="25"/>
  <c r="DT19" i="25"/>
  <c r="DT38" i="25"/>
  <c r="DT18" i="25"/>
  <c r="DT17" i="25"/>
  <c r="DT13" i="25"/>
  <c r="DT14" i="25"/>
  <c r="DT21" i="25"/>
  <c r="DT22" i="25"/>
  <c r="DT34" i="25"/>
  <c r="DT36" i="25"/>
  <c r="DT25" i="25"/>
  <c r="DT23" i="25"/>
  <c r="DT33" i="25"/>
  <c r="DT37" i="25"/>
  <c r="DT31" i="25"/>
  <c r="DT30" i="25"/>
  <c r="DT28" i="25"/>
  <c r="DT27" i="25"/>
  <c r="DT32" i="25"/>
  <c r="DT26" i="25"/>
  <c r="DT29" i="25"/>
  <c r="DT24" i="25"/>
  <c r="FA36" i="25" l="1"/>
  <c r="C36" i="25" s="1"/>
  <c r="FA27" i="25"/>
  <c r="C27" i="25" s="1"/>
  <c r="FA32" i="25"/>
  <c r="C32" i="25" s="1"/>
  <c r="FA18" i="25"/>
  <c r="C18" i="25" s="1"/>
  <c r="FA17" i="25"/>
  <c r="C17" i="25" s="1"/>
  <c r="FA38" i="25"/>
  <c r="C38" i="25" s="1"/>
  <c r="FA37" i="25"/>
  <c r="C37" i="25" s="1"/>
  <c r="FA35" i="25"/>
  <c r="C35" i="25" s="1"/>
  <c r="FA31" i="25"/>
  <c r="C31" i="25" s="1"/>
  <c r="FA14" i="25"/>
  <c r="C14" i="25" s="1"/>
  <c r="FA29" i="25"/>
  <c r="C29" i="25" s="1"/>
  <c r="FA33" i="25"/>
  <c r="C33" i="25" s="1"/>
  <c r="FA19" i="25"/>
  <c r="C19" i="25" s="1"/>
  <c r="FA26" i="25"/>
  <c r="C26" i="25" s="1"/>
  <c r="FA23" i="25"/>
  <c r="C23" i="25" s="1"/>
  <c r="FA34" i="25"/>
  <c r="C34" i="25" s="1"/>
  <c r="FA15" i="25"/>
  <c r="C15" i="25" s="1"/>
  <c r="FA24" i="25"/>
  <c r="C24" i="25" s="1"/>
  <c r="FA16" i="25"/>
  <c r="C16" i="25" s="1"/>
  <c r="FA20" i="25"/>
  <c r="C20" i="25" s="1"/>
  <c r="FA22" i="25"/>
  <c r="C22" i="25" s="1"/>
  <c r="FA25" i="25"/>
  <c r="C25" i="25" s="1"/>
  <c r="FA13" i="25"/>
  <c r="C13" i="25" s="1"/>
  <c r="FA30" i="25"/>
  <c r="C30" i="25" s="1"/>
  <c r="FA28" i="25"/>
  <c r="C28" i="25" s="1"/>
  <c r="FA21" i="25"/>
  <c r="C21" i="25" s="1"/>
  <c r="D14" i="31" l="1"/>
  <c r="E14" i="31" s="1"/>
  <c r="G14" i="31" s="1"/>
  <c r="D17" i="31"/>
  <c r="E17" i="31" s="1"/>
  <c r="G17" i="31" s="1"/>
  <c r="D13" i="31"/>
  <c r="E13" i="31" s="1"/>
  <c r="G13" i="31" s="1"/>
  <c r="D16" i="31"/>
  <c r="E16" i="31" s="1"/>
  <c r="G16" i="31" s="1"/>
  <c r="D15" i="31"/>
  <c r="E15" i="31" s="1"/>
  <c r="G15" i="31" s="1"/>
  <c r="D253" i="31"/>
  <c r="D254" i="31"/>
  <c r="D255" i="31"/>
  <c r="D256" i="31"/>
  <c r="D257" i="31"/>
  <c r="D258" i="31"/>
  <c r="D259" i="31"/>
  <c r="D260" i="31"/>
  <c r="D261" i="31"/>
  <c r="D262" i="31"/>
  <c r="D263" i="31"/>
  <c r="D264" i="31"/>
  <c r="D169" i="31"/>
  <c r="D170" i="31"/>
  <c r="D171" i="31"/>
  <c r="D172" i="31"/>
  <c r="D173" i="31"/>
  <c r="D174" i="31"/>
  <c r="D175" i="31"/>
  <c r="D176" i="31"/>
  <c r="D177" i="31"/>
  <c r="D178" i="31"/>
  <c r="D179" i="31"/>
  <c r="D180" i="31"/>
  <c r="D205" i="31"/>
  <c r="D206" i="31"/>
  <c r="D207" i="31"/>
  <c r="D208" i="31"/>
  <c r="D209" i="31"/>
  <c r="D210" i="31"/>
  <c r="D211" i="31"/>
  <c r="D212" i="31"/>
  <c r="D213" i="31"/>
  <c r="D214" i="31"/>
  <c r="D215" i="31"/>
  <c r="D216" i="31"/>
  <c r="D109" i="31"/>
  <c r="D110" i="31"/>
  <c r="D111" i="31"/>
  <c r="D112" i="31"/>
  <c r="D113" i="31"/>
  <c r="D114" i="31"/>
  <c r="D115" i="31"/>
  <c r="D116" i="31"/>
  <c r="D117" i="31"/>
  <c r="D118" i="31"/>
  <c r="D119" i="31"/>
  <c r="D120" i="31"/>
  <c r="D25" i="31"/>
  <c r="D26" i="31"/>
  <c r="D27" i="31"/>
  <c r="D28" i="31"/>
  <c r="D29" i="31"/>
  <c r="D30" i="31"/>
  <c r="D31" i="31"/>
  <c r="D32" i="31"/>
  <c r="D33" i="31"/>
  <c r="D34" i="31"/>
  <c r="D35" i="31"/>
  <c r="D36" i="31"/>
  <c r="D133" i="31"/>
  <c r="D134" i="31"/>
  <c r="D135" i="31"/>
  <c r="D136" i="31"/>
  <c r="D137" i="31"/>
  <c r="D138" i="31"/>
  <c r="D139" i="31"/>
  <c r="D140" i="31"/>
  <c r="D141" i="31"/>
  <c r="D142" i="31"/>
  <c r="D143" i="31"/>
  <c r="D144" i="31"/>
  <c r="D229" i="31"/>
  <c r="D230" i="31"/>
  <c r="D231" i="31"/>
  <c r="D232" i="31"/>
  <c r="D233" i="31"/>
  <c r="D234" i="31"/>
  <c r="D235" i="31"/>
  <c r="D236" i="31"/>
  <c r="D237" i="31"/>
  <c r="D238" i="31"/>
  <c r="D239" i="31"/>
  <c r="D240" i="31"/>
  <c r="D18" i="31"/>
  <c r="D19" i="31"/>
  <c r="D20" i="31"/>
  <c r="D21" i="31"/>
  <c r="D22" i="31"/>
  <c r="D23" i="31"/>
  <c r="D24" i="31"/>
  <c r="D301" i="31"/>
  <c r="D302" i="31"/>
  <c r="D303" i="31"/>
  <c r="D304" i="31"/>
  <c r="D305" i="31"/>
  <c r="D306" i="31"/>
  <c r="D307" i="31"/>
  <c r="D308" i="31"/>
  <c r="D309" i="31"/>
  <c r="D310" i="31"/>
  <c r="D311" i="31"/>
  <c r="D312" i="31"/>
  <c r="D313" i="31"/>
  <c r="D314" i="31"/>
  <c r="D315" i="31"/>
  <c r="D316" i="31"/>
  <c r="D317" i="31"/>
  <c r="D318" i="31"/>
  <c r="D319" i="31"/>
  <c r="D320" i="31"/>
  <c r="D321" i="31"/>
  <c r="D322" i="31"/>
  <c r="D323" i="31"/>
  <c r="D324" i="31"/>
  <c r="D61" i="31"/>
  <c r="D62" i="31"/>
  <c r="D63" i="31"/>
  <c r="D64" i="31"/>
  <c r="D65" i="31"/>
  <c r="D66" i="31"/>
  <c r="D67" i="31"/>
  <c r="D68" i="31"/>
  <c r="D69" i="31"/>
  <c r="D70" i="31"/>
  <c r="D71" i="31"/>
  <c r="D72" i="31"/>
  <c r="D85" i="31"/>
  <c r="D86" i="31"/>
  <c r="D87" i="31"/>
  <c r="D88" i="31"/>
  <c r="D89" i="31"/>
  <c r="D90" i="31"/>
  <c r="D91" i="31"/>
  <c r="D92" i="31"/>
  <c r="D93" i="31"/>
  <c r="D94" i="31"/>
  <c r="D95" i="31"/>
  <c r="D96" i="31"/>
  <c r="D73" i="31"/>
  <c r="D74" i="31"/>
  <c r="D75" i="31"/>
  <c r="D76" i="31"/>
  <c r="D77" i="31"/>
  <c r="D78" i="31"/>
  <c r="D79" i="31"/>
  <c r="D80" i="31"/>
  <c r="D81" i="31"/>
  <c r="D82" i="31"/>
  <c r="D83" i="31"/>
  <c r="D84" i="31"/>
  <c r="D277" i="31"/>
  <c r="D278" i="31"/>
  <c r="D279" i="31"/>
  <c r="D280" i="31"/>
  <c r="D281" i="31"/>
  <c r="D282" i="31"/>
  <c r="D283" i="31"/>
  <c r="D284" i="31"/>
  <c r="D285" i="31"/>
  <c r="D286" i="31"/>
  <c r="D287" i="31"/>
  <c r="D288" i="31"/>
  <c r="D97" i="31"/>
  <c r="D98" i="31"/>
  <c r="D99" i="31"/>
  <c r="D100" i="31"/>
  <c r="D101" i="31"/>
  <c r="D102" i="31"/>
  <c r="D103" i="31"/>
  <c r="D104" i="31"/>
  <c r="D105" i="31"/>
  <c r="D106" i="31"/>
  <c r="D107" i="31"/>
  <c r="D108" i="31"/>
  <c r="D49" i="31"/>
  <c r="D50" i="31"/>
  <c r="D51" i="31"/>
  <c r="D52" i="31"/>
  <c r="D53" i="31"/>
  <c r="D54" i="31"/>
  <c r="D55" i="31"/>
  <c r="D56" i="31"/>
  <c r="D57" i="31"/>
  <c r="D58" i="31"/>
  <c r="D59" i="31"/>
  <c r="D60" i="31"/>
  <c r="D241" i="31"/>
  <c r="D242" i="31"/>
  <c r="D243" i="31"/>
  <c r="D244" i="31"/>
  <c r="D245" i="31"/>
  <c r="D246" i="31"/>
  <c r="D247" i="31"/>
  <c r="D248" i="31"/>
  <c r="D249" i="31"/>
  <c r="D250" i="31"/>
  <c r="D251" i="31"/>
  <c r="D252" i="31"/>
  <c r="D265" i="31"/>
  <c r="D266" i="31"/>
  <c r="D267" i="31"/>
  <c r="D268" i="31"/>
  <c r="D269" i="31"/>
  <c r="D270" i="31"/>
  <c r="D271" i="31"/>
  <c r="D272" i="31"/>
  <c r="D273" i="31"/>
  <c r="D274" i="31"/>
  <c r="D275" i="31"/>
  <c r="D276" i="31"/>
  <c r="D217" i="31"/>
  <c r="D218" i="31"/>
  <c r="D219" i="31"/>
  <c r="D220" i="31"/>
  <c r="D221" i="31"/>
  <c r="D222" i="31"/>
  <c r="D223" i="31"/>
  <c r="D224" i="31"/>
  <c r="D225" i="31"/>
  <c r="D226" i="31"/>
  <c r="D227" i="31"/>
  <c r="D228" i="31"/>
  <c r="D157" i="31"/>
  <c r="D158" i="31"/>
  <c r="D159" i="31"/>
  <c r="D160" i="31"/>
  <c r="D161" i="31"/>
  <c r="D162" i="31"/>
  <c r="D163" i="31"/>
  <c r="D164" i="31"/>
  <c r="D165" i="31"/>
  <c r="D166" i="31"/>
  <c r="D167" i="31"/>
  <c r="D168" i="31"/>
  <c r="D145" i="31"/>
  <c r="D146" i="31"/>
  <c r="D147" i="31"/>
  <c r="D148" i="31"/>
  <c r="D149" i="31"/>
  <c r="D150" i="31"/>
  <c r="D151" i="31"/>
  <c r="D152" i="31"/>
  <c r="D153" i="31"/>
  <c r="D154" i="31"/>
  <c r="D155" i="31"/>
  <c r="D156" i="31"/>
  <c r="D181" i="31"/>
  <c r="D182" i="31"/>
  <c r="D183" i="31"/>
  <c r="D184" i="31"/>
  <c r="D185" i="31"/>
  <c r="D186" i="31"/>
  <c r="D187" i="31"/>
  <c r="D188" i="31"/>
  <c r="D189" i="31"/>
  <c r="D190" i="31"/>
  <c r="D191" i="31"/>
  <c r="D192" i="31"/>
  <c r="D193" i="31"/>
  <c r="D194" i="31"/>
  <c r="D195" i="31"/>
  <c r="D196" i="31"/>
  <c r="D197" i="31"/>
  <c r="D198" i="31"/>
  <c r="D199" i="31"/>
  <c r="D200" i="31"/>
  <c r="D201" i="31"/>
  <c r="D202" i="31"/>
  <c r="D203" i="31"/>
  <c r="D204" i="31"/>
  <c r="D121" i="31"/>
  <c r="D122" i="31"/>
  <c r="D123" i="31"/>
  <c r="D124" i="31"/>
  <c r="D125" i="31"/>
  <c r="D126" i="31"/>
  <c r="D127" i="31"/>
  <c r="D128" i="31"/>
  <c r="D129" i="31"/>
  <c r="D130" i="31"/>
  <c r="D131" i="31"/>
  <c r="D132" i="31"/>
  <c r="D37" i="31"/>
  <c r="D38" i="31"/>
  <c r="D39" i="31"/>
  <c r="D40" i="31"/>
  <c r="D41" i="31"/>
  <c r="D42" i="31"/>
  <c r="D43" i="31"/>
  <c r="D44" i="31"/>
  <c r="D45" i="31"/>
  <c r="D46" i="31"/>
  <c r="D47" i="31"/>
  <c r="D48" i="31"/>
  <c r="D289" i="31"/>
  <c r="D290" i="31"/>
  <c r="D291" i="31"/>
  <c r="D292" i="31"/>
  <c r="D293" i="31"/>
  <c r="D294" i="31"/>
  <c r="D295" i="31"/>
  <c r="D296" i="31"/>
  <c r="D297" i="31"/>
  <c r="D298" i="31"/>
  <c r="D299" i="31"/>
  <c r="D300" i="31"/>
  <c r="E298" i="31" l="1"/>
  <c r="E321" i="31"/>
  <c r="G321" i="31" s="1"/>
  <c r="E226" i="31"/>
  <c r="G226" i="31" s="1"/>
  <c r="E304" i="31"/>
  <c r="G304" i="31" s="1"/>
  <c r="E262" i="31"/>
  <c r="G262" i="31" s="1"/>
  <c r="E296" i="31"/>
  <c r="G296" i="31" s="1"/>
  <c r="E282" i="31"/>
  <c r="G282" i="31" s="1"/>
  <c r="E272" i="31"/>
  <c r="N272" i="31" s="1"/>
  <c r="E288" i="31"/>
  <c r="G288" i="31" s="1"/>
  <c r="E263" i="31"/>
  <c r="G263" i="31" s="1"/>
  <c r="E233" i="31"/>
  <c r="G233" i="31" s="1"/>
  <c r="E217" i="31"/>
  <c r="E96" i="31"/>
  <c r="G96" i="31" s="1"/>
  <c r="E235" i="31"/>
  <c r="G235" i="31" s="1"/>
  <c r="E274" i="31"/>
  <c r="G274" i="31" s="1"/>
  <c r="E256" i="31"/>
  <c r="G256" i="31" s="1"/>
  <c r="E323" i="31"/>
  <c r="G323" i="31" s="1"/>
  <c r="E260" i="31"/>
  <c r="E277" i="31"/>
  <c r="N38" i="31"/>
  <c r="E314" i="31"/>
  <c r="G314" i="31" s="1"/>
  <c r="E284" i="31"/>
  <c r="E313" i="31"/>
  <c r="N41" i="31"/>
  <c r="E228" i="31"/>
  <c r="G228" i="31" s="1"/>
  <c r="N37" i="31"/>
  <c r="E265" i="31"/>
  <c r="E205" i="31"/>
  <c r="U28" i="31"/>
  <c r="E162" i="31"/>
  <c r="G162" i="31" s="1"/>
  <c r="E211" i="31"/>
  <c r="G211" i="31" s="1"/>
  <c r="U26" i="31"/>
  <c r="E138" i="31"/>
  <c r="E283" i="31"/>
  <c r="N39" i="31"/>
  <c r="E289" i="31"/>
  <c r="E315" i="31"/>
  <c r="G315" i="31" s="1"/>
  <c r="E229" i="31"/>
  <c r="E291" i="31"/>
  <c r="N284" i="31" l="1"/>
  <c r="N296" i="31"/>
  <c r="G284" i="31"/>
  <c r="G298" i="31"/>
  <c r="G272" i="31"/>
  <c r="P274" i="31"/>
  <c r="G283" i="31"/>
  <c r="G291" i="31"/>
  <c r="G260" i="31"/>
  <c r="N274" i="31"/>
  <c r="G138" i="31"/>
  <c r="P284" i="31" l="1"/>
  <c r="P296" i="31"/>
  <c r="P272" i="31"/>
  <c r="G265" i="31"/>
  <c r="E322" i="31" l="1"/>
  <c r="E213" i="31"/>
  <c r="E133" i="31"/>
  <c r="E293" i="31"/>
  <c r="E281" i="31"/>
  <c r="G281" i="31" s="1"/>
  <c r="E302" i="31"/>
  <c r="N314" i="31" s="1"/>
  <c r="G302" i="31" l="1"/>
  <c r="G133" i="31"/>
  <c r="N293" i="31"/>
  <c r="G293" i="31"/>
  <c r="P293" i="31" s="1"/>
  <c r="E261" i="31"/>
  <c r="E214" i="31"/>
  <c r="N226" i="31" s="1"/>
  <c r="E198" i="31"/>
  <c r="U31" i="31"/>
  <c r="G322" i="31"/>
  <c r="E287" i="31"/>
  <c r="U17" i="31"/>
  <c r="E30" i="31"/>
  <c r="G30" i="31" s="1"/>
  <c r="E270" i="31"/>
  <c r="U37" i="31"/>
  <c r="U27" i="31"/>
  <c r="E150" i="31"/>
  <c r="G150" i="31" s="1"/>
  <c r="E266" i="31"/>
  <c r="G213" i="31"/>
  <c r="G287" i="31" l="1"/>
  <c r="G214" i="31"/>
  <c r="G261" i="31"/>
  <c r="G270" i="31"/>
  <c r="N282" i="31"/>
  <c r="P314" i="31"/>
  <c r="G266" i="31"/>
  <c r="G198" i="31"/>
  <c r="P282" i="31" l="1"/>
  <c r="P226" i="31"/>
  <c r="E318" i="31"/>
  <c r="E269" i="31"/>
  <c r="N281" i="31" s="1"/>
  <c r="E126" i="31"/>
  <c r="U25" i="31"/>
  <c r="E207" i="31"/>
  <c r="G207" i="31" s="1"/>
  <c r="E232" i="31"/>
  <c r="E286" i="31"/>
  <c r="N298" i="31" s="1"/>
  <c r="E290" i="31"/>
  <c r="N302" i="31" s="1"/>
  <c r="E97" i="31"/>
  <c r="G97" i="31" s="1"/>
  <c r="E267" i="31"/>
  <c r="E271" i="31"/>
  <c r="N283" i="31" s="1"/>
  <c r="U19" i="31"/>
  <c r="E54" i="31"/>
  <c r="E319" i="31"/>
  <c r="E221" i="31"/>
  <c r="N233" i="31" s="1"/>
  <c r="E280" i="31"/>
  <c r="E49" i="31"/>
  <c r="G318" i="31"/>
  <c r="G54" i="31" l="1"/>
  <c r="G269" i="31"/>
  <c r="P281" i="31" s="1"/>
  <c r="G232" i="31"/>
  <c r="G221" i="31"/>
  <c r="P233" i="31" s="1"/>
  <c r="G126" i="31"/>
  <c r="G271" i="31"/>
  <c r="G49" i="31"/>
  <c r="E231" i="31"/>
  <c r="E206" i="31"/>
  <c r="G206" i="31" s="1"/>
  <c r="G267" i="31"/>
  <c r="E295" i="31"/>
  <c r="E254" i="31"/>
  <c r="N266" i="31" s="1"/>
  <c r="G290" i="31"/>
  <c r="G319" i="31"/>
  <c r="G286" i="31"/>
  <c r="N286" i="31"/>
  <c r="E85" i="31"/>
  <c r="G280" i="31"/>
  <c r="G254" i="31" l="1"/>
  <c r="N295" i="31"/>
  <c r="G295" i="31"/>
  <c r="P295" i="31" s="1"/>
  <c r="P283" i="31"/>
  <c r="P266" i="31"/>
  <c r="P298" i="31"/>
  <c r="P286" i="31"/>
  <c r="G231" i="31"/>
  <c r="P302" i="31"/>
  <c r="G85" i="31"/>
  <c r="E218" i="31"/>
  <c r="G218" i="31" s="1"/>
  <c r="E276" i="31"/>
  <c r="N288" i="31" s="1"/>
  <c r="E297" i="31"/>
  <c r="G297" i="31" s="1"/>
  <c r="E212" i="31"/>
  <c r="G212" i="31" s="1"/>
  <c r="E157" i="31"/>
  <c r="E216" i="31"/>
  <c r="N228" i="31" s="1"/>
  <c r="E208" i="31"/>
  <c r="E285" i="31"/>
  <c r="E300" i="31"/>
  <c r="N218" i="31" l="1"/>
  <c r="N297" i="31"/>
  <c r="G157" i="31"/>
  <c r="G216" i="31"/>
  <c r="P228" i="31" s="1"/>
  <c r="G276" i="31"/>
  <c r="E264" i="31"/>
  <c r="E310" i="31"/>
  <c r="N322" i="31" s="1"/>
  <c r="P218" i="31"/>
  <c r="G285" i="31"/>
  <c r="G300" i="31"/>
  <c r="P300" i="31" s="1"/>
  <c r="N300" i="31"/>
  <c r="G208" i="31"/>
  <c r="G264" i="31" l="1"/>
  <c r="N276" i="31"/>
  <c r="P297" i="31"/>
  <c r="G310" i="31"/>
  <c r="N310" i="31"/>
  <c r="P288" i="31"/>
  <c r="P276" i="31"/>
  <c r="P322" i="31" l="1"/>
  <c r="P310" i="31"/>
  <c r="E317" i="31"/>
  <c r="E273" i="31"/>
  <c r="N285" i="31" s="1"/>
  <c r="E223" i="31"/>
  <c r="N235" i="31" s="1"/>
  <c r="E320" i="31"/>
  <c r="E255" i="31"/>
  <c r="N267" i="31" s="1"/>
  <c r="G273" i="31"/>
  <c r="P285" i="31" s="1"/>
  <c r="N273" i="31"/>
  <c r="E109" i="31"/>
  <c r="G317" i="31"/>
  <c r="E257" i="31"/>
  <c r="N269" i="31" s="1"/>
  <c r="P273" i="31" l="1"/>
  <c r="G257" i="31"/>
  <c r="P269" i="31" s="1"/>
  <c r="G109" i="31"/>
  <c r="G320" i="31"/>
  <c r="E253" i="31"/>
  <c r="N265" i="31" s="1"/>
  <c r="G223" i="31"/>
  <c r="N223" i="31"/>
  <c r="G255" i="31"/>
  <c r="E312" i="31"/>
  <c r="G312" i="31" s="1"/>
  <c r="P312" i="31" s="1"/>
  <c r="N40" i="31"/>
  <c r="E301" i="31"/>
  <c r="N312" i="31" l="1"/>
  <c r="P235" i="31"/>
  <c r="P223" i="31"/>
  <c r="P267" i="31"/>
  <c r="E237" i="31"/>
  <c r="E145" i="31"/>
  <c r="G145" i="31" s="1"/>
  <c r="G237" i="31"/>
  <c r="E193" i="31"/>
  <c r="G193" i="31" l="1"/>
  <c r="G205" i="31"/>
  <c r="N205" i="31"/>
  <c r="U18" i="31"/>
  <c r="E42" i="31"/>
  <c r="G42" i="31" s="1"/>
  <c r="N313" i="31"/>
  <c r="G313" i="31"/>
  <c r="P205" i="31" l="1"/>
  <c r="E311" i="31"/>
  <c r="N323" i="31" s="1"/>
  <c r="E121" i="31"/>
  <c r="G121" i="31"/>
  <c r="G217" i="31"/>
  <c r="P217" i="31" s="1"/>
  <c r="N217" i="31"/>
  <c r="E90" i="31"/>
  <c r="U22" i="31"/>
  <c r="E236" i="31"/>
  <c r="E258" i="31"/>
  <c r="N270" i="31" s="1"/>
  <c r="U36" i="31"/>
  <c r="E227" i="31"/>
  <c r="E278" i="31"/>
  <c r="N290" i="31" s="1"/>
  <c r="E239" i="31"/>
  <c r="E238" i="31"/>
  <c r="E215" i="31"/>
  <c r="E279" i="31"/>
  <c r="N291" i="31" s="1"/>
  <c r="E219" i="31"/>
  <c r="E169" i="31"/>
  <c r="E225" i="31"/>
  <c r="N237" i="31" s="1"/>
  <c r="E268" i="31"/>
  <c r="E210" i="31"/>
  <c r="U32" i="31"/>
  <c r="E224" i="31"/>
  <c r="N224" i="31" s="1"/>
  <c r="E222" i="31"/>
  <c r="U33" i="31"/>
  <c r="E292" i="31"/>
  <c r="N304" i="31" s="1"/>
  <c r="E275" i="31"/>
  <c r="N287" i="31" s="1"/>
  <c r="R37" i="31"/>
  <c r="P37" i="31"/>
  <c r="X37" i="31"/>
  <c r="E316" i="31"/>
  <c r="P38" i="31"/>
  <c r="X38" i="31"/>
  <c r="R38" i="31"/>
  <c r="E324" i="31"/>
  <c r="G324" i="31" s="1"/>
  <c r="P324" i="31" s="1"/>
  <c r="E303" i="31"/>
  <c r="N315" i="31" s="1"/>
  <c r="E230" i="31"/>
  <c r="G230" i="31" s="1"/>
  <c r="P230" i="31" s="1"/>
  <c r="E174" i="31"/>
  <c r="U29" i="31"/>
  <c r="G174" i="31"/>
  <c r="G38" i="25"/>
  <c r="G34" i="25"/>
  <c r="G311" i="31" l="1"/>
  <c r="P323" i="31" s="1"/>
  <c r="N275" i="31"/>
  <c r="N292" i="31"/>
  <c r="G292" i="31"/>
  <c r="P304" i="31" s="1"/>
  <c r="N278" i="31"/>
  <c r="N324" i="31"/>
  <c r="G275" i="31"/>
  <c r="P287" i="31" s="1"/>
  <c r="G224" i="31"/>
  <c r="P224" i="31" s="1"/>
  <c r="N230" i="31"/>
  <c r="G258" i="31"/>
  <c r="P270" i="31" s="1"/>
  <c r="G278" i="31"/>
  <c r="N222" i="31"/>
  <c r="G222" i="31"/>
  <c r="N231" i="31"/>
  <c r="G210" i="31"/>
  <c r="P210" i="31" s="1"/>
  <c r="N210" i="31"/>
  <c r="G219" i="31"/>
  <c r="G90" i="31"/>
  <c r="N316" i="31"/>
  <c r="G316" i="31"/>
  <c r="P316" i="31" s="1"/>
  <c r="G225" i="31"/>
  <c r="N225" i="31"/>
  <c r="N219" i="31"/>
  <c r="G215" i="31"/>
  <c r="N280" i="31"/>
  <c r="G169" i="31"/>
  <c r="E299" i="31"/>
  <c r="G227" i="31"/>
  <c r="P227" i="31" s="1"/>
  <c r="N227" i="31"/>
  <c r="N277" i="31"/>
  <c r="G277" i="31"/>
  <c r="P277" i="31" s="1"/>
  <c r="G35" i="25"/>
  <c r="P275" i="31" l="1"/>
  <c r="P292" i="31"/>
  <c r="P290" i="31"/>
  <c r="P278" i="31"/>
  <c r="N311" i="31"/>
  <c r="N299" i="31"/>
  <c r="G299" i="31"/>
  <c r="P231" i="31"/>
  <c r="P219" i="31"/>
  <c r="P222" i="31"/>
  <c r="P237" i="31"/>
  <c r="P225" i="31"/>
  <c r="E102" i="31"/>
  <c r="G102" i="31" s="1"/>
  <c r="U23" i="31"/>
  <c r="E114" i="31"/>
  <c r="U24" i="31"/>
  <c r="E209" i="31"/>
  <c r="E89" i="31"/>
  <c r="N268" i="31"/>
  <c r="G268" i="31"/>
  <c r="P280" i="31" s="1"/>
  <c r="E18" i="31"/>
  <c r="G29" i="25"/>
  <c r="D10" i="31"/>
  <c r="E26" i="209" l="1"/>
  <c r="P268" i="31"/>
  <c r="G10" i="31"/>
  <c r="G57" i="25" s="1"/>
  <c r="I87" i="25" s="1"/>
  <c r="C56" i="25"/>
  <c r="P311" i="31"/>
  <c r="P299" i="31"/>
  <c r="N221" i="31"/>
  <c r="G114" i="31"/>
  <c r="G18" i="31"/>
  <c r="U16" i="31"/>
  <c r="K26" i="209" l="1"/>
  <c r="N301" i="31"/>
  <c r="G301" i="31"/>
  <c r="E41" i="31"/>
  <c r="G41" i="31" s="1"/>
  <c r="G209" i="31"/>
  <c r="E220" i="31"/>
  <c r="N220" i="31" s="1"/>
  <c r="G238" i="31"/>
  <c r="P238" i="31" s="1"/>
  <c r="N238" i="31"/>
  <c r="G89" i="31"/>
  <c r="E240" i="31"/>
  <c r="G240" i="31" s="1"/>
  <c r="P240" i="31" s="1"/>
  <c r="G279" i="31"/>
  <c r="N279" i="31"/>
  <c r="N239" i="31"/>
  <c r="G239" i="31"/>
  <c r="P239" i="31" s="1"/>
  <c r="E34" i="31"/>
  <c r="G34" i="31" s="1"/>
  <c r="G236" i="31"/>
  <c r="P236" i="31" s="1"/>
  <c r="N236" i="31"/>
  <c r="G303" i="31"/>
  <c r="N303" i="31"/>
  <c r="G30" i="25"/>
  <c r="N240" i="31" l="1"/>
  <c r="P313" i="31"/>
  <c r="P291" i="31"/>
  <c r="P279" i="31"/>
  <c r="P221" i="31"/>
  <c r="N232" i="31"/>
  <c r="P315" i="31"/>
  <c r="P303" i="31"/>
  <c r="G220" i="31"/>
  <c r="G253" i="31"/>
  <c r="E166" i="31"/>
  <c r="G166" i="31" s="1"/>
  <c r="E47" i="31"/>
  <c r="E68" i="31"/>
  <c r="E306" i="31"/>
  <c r="N318" i="31" s="1"/>
  <c r="E59" i="31"/>
  <c r="E140" i="31"/>
  <c r="E189" i="31"/>
  <c r="G189" i="31" s="1"/>
  <c r="E95" i="31"/>
  <c r="G95" i="31" s="1"/>
  <c r="E183" i="31"/>
  <c r="E143" i="31"/>
  <c r="E31" i="31"/>
  <c r="E29" i="31"/>
  <c r="E40" i="31"/>
  <c r="E137" i="31"/>
  <c r="E124" i="31"/>
  <c r="E196" i="31"/>
  <c r="N208" i="31" s="1"/>
  <c r="E24" i="31"/>
  <c r="G24" i="31" s="1"/>
  <c r="E83" i="31"/>
  <c r="G83" i="31" s="1"/>
  <c r="E55" i="31"/>
  <c r="G55" i="31" s="1"/>
  <c r="E176" i="31"/>
  <c r="G176" i="31" s="1"/>
  <c r="E168" i="31"/>
  <c r="E153" i="31"/>
  <c r="G153" i="31" s="1"/>
  <c r="E181" i="31"/>
  <c r="E135" i="31"/>
  <c r="E160" i="31"/>
  <c r="E62" i="31"/>
  <c r="E171" i="31"/>
  <c r="E130" i="31"/>
  <c r="G130" i="31" s="1"/>
  <c r="E117" i="31"/>
  <c r="G117" i="31" s="1"/>
  <c r="E58" i="31"/>
  <c r="E71" i="31"/>
  <c r="E123" i="31"/>
  <c r="E92" i="31"/>
  <c r="E94" i="31"/>
  <c r="G94" i="31" s="1"/>
  <c r="E48" i="31"/>
  <c r="E19" i="31"/>
  <c r="E43" i="31"/>
  <c r="G43" i="31" s="1"/>
  <c r="E192" i="31"/>
  <c r="E122" i="31"/>
  <c r="E106" i="31"/>
  <c r="E82" i="31"/>
  <c r="E184" i="31"/>
  <c r="E199" i="31"/>
  <c r="N211" i="31" s="1"/>
  <c r="E187" i="31"/>
  <c r="G187" i="31" s="1"/>
  <c r="E23" i="31"/>
  <c r="E21" i="31"/>
  <c r="E28" i="31"/>
  <c r="G28" i="31" s="1"/>
  <c r="E88" i="31"/>
  <c r="E259" i="31"/>
  <c r="G259" i="31" s="1"/>
  <c r="P271" i="31" s="1"/>
  <c r="E182" i="31"/>
  <c r="E188" i="31"/>
  <c r="G188" i="31" s="1"/>
  <c r="E132" i="31"/>
  <c r="E148" i="31"/>
  <c r="E50" i="31"/>
  <c r="E91" i="31"/>
  <c r="E250" i="31"/>
  <c r="N262" i="31" s="1"/>
  <c r="U20" i="31"/>
  <c r="E66" i="31"/>
  <c r="G66" i="31" s="1"/>
  <c r="E112" i="31"/>
  <c r="X39" i="31"/>
  <c r="P39" i="31"/>
  <c r="R39" i="31"/>
  <c r="E175" i="31"/>
  <c r="E139" i="31"/>
  <c r="E64" i="31"/>
  <c r="E65" i="31"/>
  <c r="E129" i="31"/>
  <c r="E115" i="31"/>
  <c r="E33" i="31"/>
  <c r="E104" i="31"/>
  <c r="E154" i="31"/>
  <c r="E53" i="31"/>
  <c r="E39" i="31"/>
  <c r="E242" i="31"/>
  <c r="N254" i="31" s="1"/>
  <c r="E57" i="31"/>
  <c r="E100" i="31"/>
  <c r="E46" i="31"/>
  <c r="E165" i="31"/>
  <c r="E136" i="31"/>
  <c r="G136" i="31" s="1"/>
  <c r="E200" i="31"/>
  <c r="N212" i="31" s="1"/>
  <c r="E20" i="31"/>
  <c r="G20" i="31" s="1"/>
  <c r="E191" i="31"/>
  <c r="G191" i="31" s="1"/>
  <c r="E203" i="31"/>
  <c r="N215" i="31" s="1"/>
  <c r="E144" i="31"/>
  <c r="G33" i="25"/>
  <c r="G196" i="31" l="1"/>
  <c r="P208" i="31" s="1"/>
  <c r="G192" i="31"/>
  <c r="G124" i="31"/>
  <c r="G122" i="31"/>
  <c r="G306" i="31"/>
  <c r="P318" i="31" s="1"/>
  <c r="G200" i="31"/>
  <c r="P212" i="31" s="1"/>
  <c r="G88" i="31"/>
  <c r="G106" i="31"/>
  <c r="G58" i="31"/>
  <c r="G143" i="31"/>
  <c r="P265" i="31"/>
  <c r="P232" i="31"/>
  <c r="P220" i="31"/>
  <c r="G31" i="31"/>
  <c r="G250" i="31"/>
  <c r="P262" i="31" s="1"/>
  <c r="G62" i="31"/>
  <c r="G132" i="31"/>
  <c r="G183" i="31"/>
  <c r="G40" i="31"/>
  <c r="N271" i="31"/>
  <c r="G71" i="31"/>
  <c r="G123" i="31"/>
  <c r="G23" i="31"/>
  <c r="G182" i="31"/>
  <c r="G171" i="31"/>
  <c r="G168" i="31"/>
  <c r="G29" i="31"/>
  <c r="G181" i="31"/>
  <c r="E294" i="31"/>
  <c r="N306" i="31" s="1"/>
  <c r="E99" i="31"/>
  <c r="E72" i="31"/>
  <c r="G72" i="31" s="1"/>
  <c r="E248" i="31"/>
  <c r="N260" i="31" s="1"/>
  <c r="E67" i="31"/>
  <c r="E249" i="31"/>
  <c r="N261" i="31" s="1"/>
  <c r="G154" i="31"/>
  <c r="G53" i="31"/>
  <c r="E81" i="31"/>
  <c r="G81" i="31" s="1"/>
  <c r="E142" i="31"/>
  <c r="G142" i="31" s="1"/>
  <c r="U30" i="31"/>
  <c r="E186" i="31"/>
  <c r="G186" i="31" s="1"/>
  <c r="E194" i="31"/>
  <c r="G194" i="31" s="1"/>
  <c r="P206" i="31" s="1"/>
  <c r="E252" i="31"/>
  <c r="N264" i="31" s="1"/>
  <c r="G139" i="31"/>
  <c r="E305" i="31"/>
  <c r="G305" i="31" s="1"/>
  <c r="P317" i="31" s="1"/>
  <c r="G115" i="31"/>
  <c r="G33" i="31"/>
  <c r="G50" i="31"/>
  <c r="E35" i="31"/>
  <c r="E116" i="31"/>
  <c r="G92" i="31"/>
  <c r="G19" i="31"/>
  <c r="G112" i="31"/>
  <c r="G144" i="31"/>
  <c r="G203" i="31"/>
  <c r="P215" i="31" s="1"/>
  <c r="E158" i="31"/>
  <c r="E125" i="31"/>
  <c r="G125" i="31" s="1"/>
  <c r="E151" i="31"/>
  <c r="G151" i="31" s="1"/>
  <c r="E156" i="31"/>
  <c r="E159" i="31"/>
  <c r="G159" i="31" s="1"/>
  <c r="E118" i="31"/>
  <c r="G118" i="31" s="1"/>
  <c r="E84" i="31"/>
  <c r="G84" i="31" s="1"/>
  <c r="E119" i="31"/>
  <c r="G119" i="31" s="1"/>
  <c r="E155" i="31"/>
  <c r="G155" i="31" s="1"/>
  <c r="E146" i="31"/>
  <c r="E127" i="31"/>
  <c r="G242" i="31"/>
  <c r="P254" i="31" s="1"/>
  <c r="G57" i="31"/>
  <c r="G48" i="31"/>
  <c r="E167" i="31"/>
  <c r="G167" i="31" s="1"/>
  <c r="E177" i="31"/>
  <c r="G177" i="31" s="1"/>
  <c r="E243" i="31"/>
  <c r="P41" i="31"/>
  <c r="R41" i="31"/>
  <c r="X41" i="31"/>
  <c r="G91" i="31"/>
  <c r="G148" i="31"/>
  <c r="G100" i="31"/>
  <c r="G46" i="31"/>
  <c r="E202" i="31"/>
  <c r="G165" i="31"/>
  <c r="E131" i="31"/>
  <c r="G131" i="31" s="1"/>
  <c r="E149" i="31"/>
  <c r="G184" i="31"/>
  <c r="G21" i="31"/>
  <c r="E79" i="31"/>
  <c r="G79" i="31" s="1"/>
  <c r="G82" i="31"/>
  <c r="E197" i="31"/>
  <c r="N209" i="31" s="1"/>
  <c r="G175" i="31"/>
  <c r="G64" i="31"/>
  <c r="G65" i="31"/>
  <c r="G129" i="31"/>
  <c r="G199" i="31"/>
  <c r="P211" i="31" s="1"/>
  <c r="G104" i="31"/>
  <c r="E247" i="31"/>
  <c r="N259" i="31" s="1"/>
  <c r="G39" i="31"/>
  <c r="G135" i="31"/>
  <c r="G59" i="31"/>
  <c r="G137" i="31"/>
  <c r="G47" i="31"/>
  <c r="G140" i="31"/>
  <c r="G160" i="31"/>
  <c r="E244" i="31"/>
  <c r="N256" i="31" s="1"/>
  <c r="E27" i="31"/>
  <c r="E103" i="31"/>
  <c r="G103" i="31" s="1"/>
  <c r="E110" i="31"/>
  <c r="G110" i="31" s="1"/>
  <c r="E185" i="31"/>
  <c r="E70" i="31"/>
  <c r="G70" i="31" s="1"/>
  <c r="E179" i="31"/>
  <c r="G179" i="31" s="1"/>
  <c r="G68" i="31"/>
  <c r="E241" i="31"/>
  <c r="N253" i="31" s="1"/>
  <c r="E234" i="31"/>
  <c r="U34" i="31"/>
  <c r="E74" i="31"/>
  <c r="E246" i="31"/>
  <c r="N258" i="31" s="1"/>
  <c r="U35" i="31"/>
  <c r="G244" i="31" l="1"/>
  <c r="P256" i="31" s="1"/>
  <c r="G156" i="31"/>
  <c r="G116" i="31"/>
  <c r="G35" i="31"/>
  <c r="G27" i="31"/>
  <c r="G248" i="31"/>
  <c r="P260" i="31" s="1"/>
  <c r="G99" i="31"/>
  <c r="N305" i="31"/>
  <c r="G247" i="31"/>
  <c r="P259" i="31" s="1"/>
  <c r="N214" i="31"/>
  <c r="G202" i="31"/>
  <c r="P214" i="31" s="1"/>
  <c r="P305" i="31"/>
  <c r="N317" i="31"/>
  <c r="N206" i="31"/>
  <c r="G149" i="31"/>
  <c r="N294" i="31"/>
  <c r="G67" i="31"/>
  <c r="G158" i="31"/>
  <c r="G127" i="31"/>
  <c r="G197" i="31"/>
  <c r="P209" i="31" s="1"/>
  <c r="G249" i="31"/>
  <c r="P261" i="31" s="1"/>
  <c r="N255" i="31"/>
  <c r="G243" i="31"/>
  <c r="P255" i="31" s="1"/>
  <c r="G185" i="31"/>
  <c r="N234" i="31"/>
  <c r="G234" i="31"/>
  <c r="P234" i="31" s="1"/>
  <c r="G294" i="31"/>
  <c r="G252" i="31"/>
  <c r="P264" i="31" s="1"/>
  <c r="G246" i="31"/>
  <c r="P258" i="31" s="1"/>
  <c r="G146" i="31"/>
  <c r="G241" i="31"/>
  <c r="P253" i="31" s="1"/>
  <c r="E78" i="31"/>
  <c r="U21" i="31"/>
  <c r="G74" i="31"/>
  <c r="E105" i="31"/>
  <c r="G105" i="31" s="1"/>
  <c r="N289" i="31"/>
  <c r="G289" i="31"/>
  <c r="G36" i="25"/>
  <c r="G78" i="31" l="1"/>
  <c r="P289" i="31"/>
  <c r="P301" i="31"/>
  <c r="P294" i="31"/>
  <c r="P306" i="31"/>
  <c r="E164" i="31"/>
  <c r="G164" i="31" s="1"/>
  <c r="E86" i="31"/>
  <c r="G86" i="31" s="1"/>
  <c r="E75" i="31"/>
  <c r="E120" i="31"/>
  <c r="G75" i="31"/>
  <c r="E101" i="31"/>
  <c r="G101" i="31" s="1"/>
  <c r="E308" i="31"/>
  <c r="N320" i="31" s="1"/>
  <c r="E309" i="31"/>
  <c r="N321" i="31" s="1"/>
  <c r="E251" i="31"/>
  <c r="N263" i="31" s="1"/>
  <c r="E51" i="31"/>
  <c r="G51" i="31" s="1"/>
  <c r="E32" i="31"/>
  <c r="E170" i="31"/>
  <c r="E180" i="31"/>
  <c r="E38" i="31"/>
  <c r="G38" i="31" s="1"/>
  <c r="E36" i="31"/>
  <c r="G36" i="31" s="1"/>
  <c r="E63" i="31"/>
  <c r="G63" i="31" s="1"/>
  <c r="E152" i="31"/>
  <c r="E147" i="31"/>
  <c r="E22" i="31"/>
  <c r="G22" i="31" s="1"/>
  <c r="E173" i="31"/>
  <c r="G173" i="31" s="1"/>
  <c r="E61" i="31"/>
  <c r="G24" i="25"/>
  <c r="G13" i="25"/>
  <c r="E10" i="209" l="1"/>
  <c r="E21" i="209"/>
  <c r="G308" i="31"/>
  <c r="P320" i="31" s="1"/>
  <c r="N308" i="31"/>
  <c r="G251" i="31"/>
  <c r="P263" i="31" s="1"/>
  <c r="P308" i="31"/>
  <c r="G180" i="31"/>
  <c r="G120" i="31"/>
  <c r="G32" i="31"/>
  <c r="G170" i="31"/>
  <c r="G61" i="31"/>
  <c r="G147" i="31"/>
  <c r="G309" i="31"/>
  <c r="N309" i="31"/>
  <c r="G152" i="31"/>
  <c r="E26" i="31"/>
  <c r="E178" i="31"/>
  <c r="E37" i="31"/>
  <c r="D7" i="31"/>
  <c r="K21" i="209" l="1"/>
  <c r="K10" i="209"/>
  <c r="G26" i="31"/>
  <c r="P321" i="31"/>
  <c r="P309" i="31"/>
  <c r="G178" i="31"/>
  <c r="G37" i="31"/>
  <c r="E93" i="31"/>
  <c r="G93" i="31" s="1"/>
  <c r="E108" i="31"/>
  <c r="E111" i="31"/>
  <c r="E245" i="31"/>
  <c r="E56" i="31"/>
  <c r="G56" i="31" s="1"/>
  <c r="E107" i="31"/>
  <c r="G107" i="31" s="1"/>
  <c r="G7" i="31"/>
  <c r="G67" i="25" s="1"/>
  <c r="C66" i="25"/>
  <c r="E128" i="31"/>
  <c r="G128" i="31" s="1"/>
  <c r="E113" i="31"/>
  <c r="G113" i="31" s="1"/>
  <c r="E98" i="31"/>
  <c r="E201" i="31"/>
  <c r="N213" i="31" s="1"/>
  <c r="G22" i="25"/>
  <c r="G32" i="25"/>
  <c r="G20" i="25"/>
  <c r="G21" i="25"/>
  <c r="E17" i="209" l="1"/>
  <c r="E18" i="209"/>
  <c r="E19" i="209"/>
  <c r="G108" i="31"/>
  <c r="N257" i="31"/>
  <c r="G98" i="31"/>
  <c r="G201" i="31"/>
  <c r="P213" i="31" s="1"/>
  <c r="G111" i="31"/>
  <c r="G245" i="31"/>
  <c r="P257" i="31" s="1"/>
  <c r="E172" i="31"/>
  <c r="E73" i="31"/>
  <c r="G73" i="31" s="1"/>
  <c r="E25" i="31"/>
  <c r="D8" i="31"/>
  <c r="G14" i="25"/>
  <c r="G26" i="25"/>
  <c r="E23" i="209" l="1"/>
  <c r="E11" i="209"/>
  <c r="K18" i="209"/>
  <c r="K19" i="209"/>
  <c r="K17" i="209"/>
  <c r="G25" i="31"/>
  <c r="G172" i="31"/>
  <c r="E163" i="31"/>
  <c r="G163" i="31" s="1"/>
  <c r="E60" i="31"/>
  <c r="E52" i="31"/>
  <c r="G52" i="31" s="1"/>
  <c r="E87" i="31"/>
  <c r="E195" i="31"/>
  <c r="E190" i="31"/>
  <c r="E44" i="31"/>
  <c r="E77" i="31"/>
  <c r="G77" i="31" s="1"/>
  <c r="G8" i="31"/>
  <c r="G62" i="25" s="1"/>
  <c r="C61" i="25"/>
  <c r="N229" i="31"/>
  <c r="G229" i="31"/>
  <c r="P229" i="31" s="1"/>
  <c r="G19" i="25"/>
  <c r="G27" i="25"/>
  <c r="G31" i="25"/>
  <c r="G16" i="25"/>
  <c r="E13" i="209" l="1"/>
  <c r="E24" i="209"/>
  <c r="E16" i="209"/>
  <c r="K11" i="209"/>
  <c r="K23" i="209"/>
  <c r="G60" i="31"/>
  <c r="G44" i="31"/>
  <c r="N207" i="31"/>
  <c r="G87" i="31"/>
  <c r="G190" i="31"/>
  <c r="G195" i="31"/>
  <c r="P207" i="31" s="1"/>
  <c r="E141" i="31"/>
  <c r="E76" i="31"/>
  <c r="G76" i="31" s="1"/>
  <c r="E45" i="31"/>
  <c r="G45" i="31" s="1"/>
  <c r="E204" i="31"/>
  <c r="E69" i="31"/>
  <c r="G69" i="31" s="1"/>
  <c r="E307" i="31"/>
  <c r="G307" i="31" s="1"/>
  <c r="E134" i="31"/>
  <c r="G134" i="31" s="1"/>
  <c r="X40" i="31"/>
  <c r="P40" i="31"/>
  <c r="R40" i="31"/>
  <c r="E80" i="31"/>
  <c r="G80" i="31" s="1"/>
  <c r="E161" i="31"/>
  <c r="E7" i="31"/>
  <c r="G37" i="25"/>
  <c r="G23" i="25"/>
  <c r="G15" i="25"/>
  <c r="G25" i="25"/>
  <c r="G28" i="25"/>
  <c r="G18" i="25"/>
  <c r="G17" i="25"/>
  <c r="E10" i="31"/>
  <c r="E8" i="31"/>
  <c r="E22" i="209" l="1"/>
  <c r="E14" i="209"/>
  <c r="E25" i="209"/>
  <c r="E20" i="209"/>
  <c r="E15" i="209"/>
  <c r="E12" i="209"/>
  <c r="K24" i="209"/>
  <c r="K16" i="209"/>
  <c r="K13" i="209"/>
  <c r="G204" i="31"/>
  <c r="P216" i="31" s="1"/>
  <c r="I86" i="25"/>
  <c r="P319" i="31"/>
  <c r="P307" i="31"/>
  <c r="N319" i="31"/>
  <c r="G141" i="31"/>
  <c r="G161" i="31"/>
  <c r="N216" i="31"/>
  <c r="N307" i="31"/>
  <c r="K20" i="209" l="1"/>
  <c r="K14" i="209"/>
  <c r="K12" i="209"/>
  <c r="E30" i="209"/>
  <c r="K15" i="209"/>
  <c r="K25" i="209"/>
  <c r="K22" i="209"/>
  <c r="N30" i="31"/>
  <c r="K30" i="209" l="1"/>
  <c r="K31" i="209" s="1"/>
  <c r="P30" i="31"/>
  <c r="R30" i="31"/>
  <c r="X30" i="31"/>
  <c r="N29" i="31"/>
  <c r="N26" i="31"/>
  <c r="N21" i="31"/>
  <c r="N20" i="31"/>
  <c r="N18" i="31"/>
  <c r="N23" i="31"/>
  <c r="N28" i="31"/>
  <c r="N24" i="31"/>
  <c r="N27" i="31"/>
  <c r="N17" i="31"/>
  <c r="N22" i="31"/>
  <c r="N33" i="31"/>
  <c r="N31" i="31"/>
  <c r="N32" i="31"/>
  <c r="N35" i="31"/>
  <c r="N19" i="31"/>
  <c r="N25" i="31"/>
  <c r="X22" i="31" l="1"/>
  <c r="R22" i="31"/>
  <c r="P22" i="31"/>
  <c r="X18" i="31"/>
  <c r="P18" i="31"/>
  <c r="R18" i="31"/>
  <c r="R23" i="31"/>
  <c r="X23" i="31"/>
  <c r="P23" i="31"/>
  <c r="P21" i="31"/>
  <c r="R21" i="31"/>
  <c r="X21" i="31"/>
  <c r="R25" i="31"/>
  <c r="X25" i="31"/>
  <c r="P25" i="31"/>
  <c r="X31" i="31"/>
  <c r="R31" i="31"/>
  <c r="P31" i="31"/>
  <c r="X17" i="31"/>
  <c r="P17" i="31"/>
  <c r="R17" i="31"/>
  <c r="R27" i="31"/>
  <c r="P27" i="31"/>
  <c r="X27" i="31"/>
  <c r="P20" i="31"/>
  <c r="X20" i="31"/>
  <c r="R20" i="31"/>
  <c r="P26" i="31"/>
  <c r="X26" i="31"/>
  <c r="R26" i="31"/>
  <c r="R35" i="31"/>
  <c r="X35" i="31"/>
  <c r="P35" i="31"/>
  <c r="R33" i="31"/>
  <c r="X33" i="31"/>
  <c r="P33" i="31"/>
  <c r="X29" i="31"/>
  <c r="P29" i="31"/>
  <c r="R29" i="31"/>
  <c r="R24" i="31"/>
  <c r="X24" i="31"/>
  <c r="P24" i="31"/>
  <c r="P19" i="31"/>
  <c r="X19" i="31"/>
  <c r="R19" i="31"/>
  <c r="P32" i="31"/>
  <c r="R32" i="31"/>
  <c r="X32" i="31"/>
  <c r="X28" i="31"/>
  <c r="P28" i="31"/>
  <c r="R28" i="31"/>
  <c r="N36" i="31"/>
  <c r="N34" i="31"/>
  <c r="X34" i="31" l="1"/>
  <c r="P34" i="31"/>
  <c r="R34" i="31"/>
  <c r="P36" i="31"/>
  <c r="R36" i="31"/>
  <c r="X36" i="31"/>
  <c r="N16" i="31" l="1"/>
  <c r="R16" i="31" s="1"/>
  <c r="X16" i="31" l="1"/>
  <c r="P16" i="31"/>
  <c r="D26" i="209" l="1"/>
  <c r="J26" i="209" s="1"/>
  <c r="D21" i="209" l="1"/>
  <c r="J21" i="209" s="1"/>
  <c r="D10" i="209"/>
  <c r="J10" i="209" s="1"/>
  <c r="D18" i="209" l="1"/>
  <c r="J18" i="209" s="1"/>
  <c r="D17" i="209"/>
  <c r="J17" i="209" s="1"/>
  <c r="D19" i="209"/>
  <c r="J19" i="209" s="1"/>
  <c r="D11" i="209" l="1"/>
  <c r="D23" i="209"/>
  <c r="J23" i="209" s="1"/>
  <c r="D16" i="209" l="1"/>
  <c r="J16" i="209" s="1"/>
  <c r="D13" i="209"/>
  <c r="J13" i="209" s="1"/>
  <c r="D24" i="209"/>
  <c r="J24" i="209" s="1"/>
  <c r="J11" i="209"/>
  <c r="D22" i="209" l="1"/>
  <c r="J22" i="209" s="1"/>
  <c r="D12" i="209"/>
  <c r="D14" i="209"/>
  <c r="J14" i="209" s="1"/>
  <c r="D25" i="209"/>
  <c r="J25" i="209" s="1"/>
  <c r="D20" i="209"/>
  <c r="J20" i="209" s="1"/>
  <c r="D15" i="209"/>
  <c r="J15" i="209" s="1"/>
  <c r="J12" i="209" l="1"/>
  <c r="J30" i="209" s="1"/>
  <c r="J31" i="209" s="1"/>
  <c r="D30" i="209"/>
  <c r="C26" i="209" l="1"/>
  <c r="I26" i="209" s="1"/>
  <c r="C21" i="209" l="1"/>
  <c r="I21" i="209" s="1"/>
  <c r="C10" i="209"/>
  <c r="I10" i="209" s="1"/>
  <c r="C17" i="209" l="1"/>
  <c r="I17" i="209" s="1"/>
  <c r="C19" i="209"/>
  <c r="I19" i="209" s="1"/>
  <c r="C18" i="209"/>
  <c r="I18" i="209" s="1"/>
  <c r="C11" i="209" l="1"/>
  <c r="C23" i="209"/>
  <c r="I23" i="209" s="1"/>
  <c r="C16" i="209" l="1"/>
  <c r="I16" i="209" s="1"/>
  <c r="C13" i="209"/>
  <c r="I13" i="209" s="1"/>
  <c r="C24" i="209"/>
  <c r="I24" i="209" s="1"/>
  <c r="I11" i="209"/>
  <c r="C22" i="209" l="1"/>
  <c r="I22" i="209" s="1"/>
  <c r="C12" i="209"/>
  <c r="C20" i="209"/>
  <c r="I20" i="209" s="1"/>
  <c r="C14" i="209"/>
  <c r="I14" i="209" s="1"/>
  <c r="C25" i="209"/>
  <c r="I25" i="209" s="1"/>
  <c r="C15" i="209"/>
  <c r="I15" i="209" s="1"/>
  <c r="I12" i="209" l="1"/>
  <c r="I30" i="209" s="1"/>
  <c r="I31" i="209" s="1"/>
  <c r="C30" i="20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PacifiCorp</author>
  </authors>
  <commentList>
    <comment ref="H5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PacifiCorp:</t>
        </r>
        <r>
          <rPr>
            <sz val="8"/>
            <color indexed="81"/>
            <rFont val="Tahoma"/>
            <family val="2"/>
          </rPr>
          <t xml:space="preserve">
Date that deal is evaluated.</t>
        </r>
      </text>
    </comment>
  </commentList>
</comments>
</file>

<file path=xl/sharedStrings.xml><?xml version="1.0" encoding="utf-8"?>
<sst xmlns="http://schemas.openxmlformats.org/spreadsheetml/2006/main" count="2714" uniqueCount="337">
  <si>
    <t>Year</t>
  </si>
  <si>
    <t>(a)</t>
  </si>
  <si>
    <t>(b)</t>
  </si>
  <si>
    <t>(c)</t>
  </si>
  <si>
    <t>(d)</t>
  </si>
  <si>
    <t>(e)</t>
  </si>
  <si>
    <t>Capacity</t>
  </si>
  <si>
    <t>(f)</t>
  </si>
  <si>
    <t>$/kW</t>
  </si>
  <si>
    <t>$/kW-yr</t>
  </si>
  <si>
    <t>Estimated Capital Cost</t>
  </si>
  <si>
    <t>Fixed Capital Cost at Real Levelized Rate</t>
  </si>
  <si>
    <t>Fixed O&amp;M</t>
  </si>
  <si>
    <t>Variable O&amp;M</t>
  </si>
  <si>
    <t>Total Price @</t>
  </si>
  <si>
    <t>Capacity Factor</t>
  </si>
  <si>
    <t xml:space="preserve"> $/kW-yr</t>
  </si>
  <si>
    <t>Avoided Cost Prices</t>
  </si>
  <si>
    <t>Energy</t>
  </si>
  <si>
    <t>Only Price</t>
  </si>
  <si>
    <t>Table 1</t>
  </si>
  <si>
    <t>Fuel Cost</t>
  </si>
  <si>
    <t>(g)</t>
  </si>
  <si>
    <t>(h)</t>
  </si>
  <si>
    <t>(i)</t>
  </si>
  <si>
    <t>Sources, Inputs and Assumptions</t>
  </si>
  <si>
    <t>PacifiCorp</t>
  </si>
  <si>
    <t>Delivered</t>
  </si>
  <si>
    <t>Peak Type:</t>
  </si>
  <si>
    <t>Quote Date</t>
  </si>
  <si>
    <t>Burnertip Natural Gas Price Forecast</t>
  </si>
  <si>
    <t>$/MWh</t>
  </si>
  <si>
    <t>MW</t>
  </si>
  <si>
    <t>CF</t>
  </si>
  <si>
    <t>Appendix B</t>
  </si>
  <si>
    <t xml:space="preserve">  Capacity Factor</t>
  </si>
  <si>
    <t>Start</t>
  </si>
  <si>
    <t>Resource Capacity</t>
  </si>
  <si>
    <t>Nominal Avoided Costs Calculated Monthly</t>
  </si>
  <si>
    <t>End</t>
  </si>
  <si>
    <t>Total</t>
  </si>
  <si>
    <t>Month</t>
  </si>
  <si>
    <t>Avoided $</t>
  </si>
  <si>
    <t>MWH</t>
  </si>
  <si>
    <t>Offset</t>
  </si>
  <si>
    <t>Date Test</t>
  </si>
  <si>
    <t>Dollars</t>
  </si>
  <si>
    <t>AC Price</t>
  </si>
  <si>
    <t>Total Resource Costs</t>
  </si>
  <si>
    <r>
      <t>$/MWh</t>
    </r>
    <r>
      <rPr>
        <vertAlign val="superscript"/>
        <sz val="9"/>
        <rFont val="Times New Roman"/>
        <family val="1"/>
      </rPr>
      <t xml:space="preserve"> (2)</t>
    </r>
  </si>
  <si>
    <t>Study_Name:</t>
  </si>
  <si>
    <t>Table 4</t>
  </si>
  <si>
    <t>Table 3</t>
  </si>
  <si>
    <t>&lt;---- Calculated Monthly</t>
  </si>
  <si>
    <t>Capacity Contribution</t>
  </si>
  <si>
    <t>IRP - Utah Greenfield</t>
  </si>
  <si>
    <t>IRP West Side</t>
  </si>
  <si>
    <t>IRP - Wyo NE</t>
  </si>
  <si>
    <t>Fixed Costs</t>
  </si>
  <si>
    <t>Source:</t>
  </si>
  <si>
    <t>(c)(f)</t>
  </si>
  <si>
    <t xml:space="preserve">  Plant capacity cost</t>
  </si>
  <si>
    <t>energy</t>
  </si>
  <si>
    <t>Total Resource Cost</t>
  </si>
  <si>
    <t>Resource Cost ($/kw-year)</t>
  </si>
  <si>
    <t>Deferred Cost (Millions $/year)</t>
  </si>
  <si>
    <t>Total Capacity Deferral</t>
  </si>
  <si>
    <t>$/kw-year</t>
  </si>
  <si>
    <t>Millions $/year</t>
  </si>
  <si>
    <t xml:space="preserve">start </t>
  </si>
  <si>
    <t>end</t>
  </si>
  <si>
    <t>Transmission Deferral (MW)</t>
  </si>
  <si>
    <t>West Side</t>
  </si>
  <si>
    <t>Network Upgrade</t>
  </si>
  <si>
    <t>Year of deferral</t>
  </si>
  <si>
    <t>Table 2</t>
  </si>
  <si>
    <t>Avoided Energy Costs - Scheduled Hours ($/MWh)</t>
  </si>
  <si>
    <t>Winter Season</t>
  </si>
  <si>
    <t>Summer Season</t>
  </si>
  <si>
    <t>Energy Only</t>
  </si>
  <si>
    <t>COD</t>
  </si>
  <si>
    <t>Naughton</t>
  </si>
  <si>
    <t>Burner tip</t>
  </si>
  <si>
    <t>Network Upgrade ($/kw-yr)</t>
  </si>
  <si>
    <t>Total Fixed Cost</t>
  </si>
  <si>
    <t>if Deferred 1</t>
  </si>
  <si>
    <t>Collection</t>
  </si>
  <si>
    <t>Parent Object</t>
  </si>
  <si>
    <t>Child Object</t>
  </si>
  <si>
    <t>Property</t>
  </si>
  <si>
    <t>Value</t>
  </si>
  <si>
    <t>Data File</t>
  </si>
  <si>
    <t>Units</t>
  </si>
  <si>
    <t>Band</t>
  </si>
  <si>
    <t>Date From</t>
  </si>
  <si>
    <t>Date To</t>
  </si>
  <si>
    <t>Timeslice</t>
  </si>
  <si>
    <t>Action</t>
  </si>
  <si>
    <t>Expression</t>
  </si>
  <si>
    <t>Scenario</t>
  </si>
  <si>
    <t>Memo</t>
  </si>
  <si>
    <t>Category</t>
  </si>
  <si>
    <t>System</t>
  </si>
  <si>
    <t>Inflation</t>
  </si>
  <si>
    <t>Profile</t>
  </si>
  <si>
    <t>-</t>
  </si>
  <si>
    <t>=</t>
  </si>
  <si>
    <t>Solar</t>
  </si>
  <si>
    <t>Annual</t>
  </si>
  <si>
    <t>Total Net Power Cost ($ 000)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</si>
  <si>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</si>
  <si>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</si>
  <si>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</si>
  <si>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</si>
  <si>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</si>
  <si>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</si>
  <si>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</si>
  <si>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</si>
  <si>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</si>
  <si>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</si>
  <si>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</si>
  <si>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</si>
  <si>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FO&amp;M Charge</t>
  </si>
  <si>
    <t xml:space="preserve">Summer </t>
  </si>
  <si>
    <t>Generators</t>
  </si>
  <si>
    <t>PV_.PX.COR._.PTC.Utility_Scale</t>
  </si>
  <si>
    <t>Build Cost</t>
  </si>
  <si>
    <t>×</t>
  </si>
  <si>
    <t>IRPPVESC</t>
  </si>
  <si>
    <t>New Solar</t>
  </si>
  <si>
    <t>PV_.PX.SOR._.PTC.Utility_Scale</t>
  </si>
  <si>
    <t>PV_.PX.SUM._.PTC.Utility_Scale</t>
  </si>
  <si>
    <t>PV_.PX.UTS._.PTC.Utility_Scale</t>
  </si>
  <si>
    <t>PV_.PX.YAK._.PTC.Utility_Scale</t>
  </si>
  <si>
    <t>IRPWDESC</t>
  </si>
  <si>
    <t>New Wind</t>
  </si>
  <si>
    <t>WD_.PX.WMV._.PTC.Utility_Scale</t>
  </si>
  <si>
    <t>IRPWDESC_Small</t>
  </si>
  <si>
    <t>WD_.PX.WYE._.PTC.Utility_Scale</t>
  </si>
  <si>
    <t>$/kW/yr</t>
  </si>
  <si>
    <t>Economic Life</t>
  </si>
  <si>
    <t>Escalation Rates</t>
  </si>
  <si>
    <t>IRPPVESC_Small</t>
  </si>
  <si>
    <t>VO&amp;M Charge</t>
  </si>
  <si>
    <t>PV_.PX.WWA._.PTC.Utility_Scale</t>
  </si>
  <si>
    <t>MW Built</t>
  </si>
  <si>
    <t>Inflation rate</t>
  </si>
  <si>
    <t xml:space="preserve">  Payment Factor, 0% ITC</t>
  </si>
  <si>
    <t>GSC.PX.BDG._.___.Frame</t>
  </si>
  <si>
    <t>New Gas</t>
  </si>
  <si>
    <t>First Year Fixed Capital Cost at Real Levelized Rate</t>
  </si>
  <si>
    <t>Fixed O&amp;M + Pipeline</t>
  </si>
  <si>
    <t>Total Resource Fixed Costs</t>
  </si>
  <si>
    <t>Total Resource Energy Cost</t>
  </si>
  <si>
    <t>$/MMBtu</t>
  </si>
  <si>
    <t>Statistics</t>
  </si>
  <si>
    <t>Percent</t>
  </si>
  <si>
    <t>Cap Cost</t>
  </si>
  <si>
    <t>Fixed</t>
  </si>
  <si>
    <t>Capacity Weighted</t>
  </si>
  <si>
    <t>aMW</t>
  </si>
  <si>
    <t>Variable</t>
  </si>
  <si>
    <t>Heat Rate</t>
  </si>
  <si>
    <t>Energy Weighted</t>
  </si>
  <si>
    <t>Rounded</t>
  </si>
  <si>
    <t xml:space="preserve">  MW Plant Capacity</t>
  </si>
  <si>
    <t xml:space="preserve">  Fixed O&amp;M &amp; Capitalized O&amp;M ($/kW-Yr)</t>
  </si>
  <si>
    <t xml:space="preserve">  Variable O&amp;M Costs &amp; Capitalized Variable O&amp;M ($/MWh)</t>
  </si>
  <si>
    <t xml:space="preserve">  Heat Rate in btu/kWh</t>
  </si>
  <si>
    <t>Assumed ITC</t>
  </si>
  <si>
    <t xml:space="preserve">  Energy Weighted Capacity Factor</t>
  </si>
  <si>
    <t>Fuel Cost ($/mmBtu )</t>
  </si>
  <si>
    <t>Fuel Cost ($/MWH)</t>
  </si>
  <si>
    <t xml:space="preserve"> Gas Price Forecast (Sept 2024 MM)</t>
  </si>
  <si>
    <t>First year real levelized costs</t>
  </si>
  <si>
    <t>Source: (a)(d)(e)(g)</t>
  </si>
  <si>
    <t>Nominal 40 year Levelized</t>
  </si>
  <si>
    <t>mapping to CC_LOLP</t>
  </si>
  <si>
    <t>Cluster 2/3 - Willamette Valley - Fry-Full Circle 230 kV</t>
  </si>
  <si>
    <t>PV_.PX.BOR._.PTC.Utility_Scale</t>
  </si>
  <si>
    <t>PV_.PX.COR._.PTC.Small_Scale</t>
  </si>
  <si>
    <t>PV_.PX.GOE._.PTC.Utility_Scale</t>
  </si>
  <si>
    <t>PV_.PX.NUT._.PTC.Utility_Scale</t>
  </si>
  <si>
    <t>PV_.PX.WYN._.PTC.Small_Scale</t>
  </si>
  <si>
    <t>WD_.PX.BOR._.PTC.Utility_Scale</t>
  </si>
  <si>
    <t>WD_.PX.COR._.PTC.Utility_Scale</t>
  </si>
  <si>
    <t>WD_.PX.GOE._.PTC.Utility_Scale</t>
  </si>
  <si>
    <t>WD_.PX.SOR._.PTC.Utility_Scale</t>
  </si>
  <si>
    <t>WD_.PX.SUM._.PTC.Utility_Scale</t>
  </si>
  <si>
    <t>WD_.PX.UTS._.PTC.Utility_Scale</t>
  </si>
  <si>
    <t>WD_.PX.WWA._.PTC.Utility_Scale</t>
  </si>
  <si>
    <t>WD_.PX.WYN._.PTC.Small_Scale</t>
  </si>
  <si>
    <t>WD_.PX.YAK._.PTC.Utility_Scale</t>
  </si>
  <si>
    <t>$/kw-yr</t>
  </si>
  <si>
    <t>Real Discount Rate</t>
  </si>
  <si>
    <t>% PTC</t>
  </si>
  <si>
    <t>NPV chck</t>
  </si>
  <si>
    <t>Nominal PTC 2030$</t>
  </si>
  <si>
    <t>TransCapRecovFct</t>
  </si>
  <si>
    <t>OATT</t>
  </si>
  <si>
    <t>Build Investment $/kW-yr of Interconnect</t>
  </si>
  <si>
    <t>Degradation for Adj beyond 2046</t>
  </si>
  <si>
    <t>15 Year Starting 2027</t>
  </si>
  <si>
    <t>15 Year Starting 2026</t>
  </si>
  <si>
    <t>15 Year Starting 2028</t>
  </si>
  <si>
    <t>laST Plexos Model Year</t>
  </si>
  <si>
    <t>Resource type</t>
  </si>
  <si>
    <t>GCC.PX.DJW._.DF_.H_2x1</t>
  </si>
  <si>
    <t>GCC.PX.UTS._.DF_.H_2x1</t>
  </si>
  <si>
    <t>GCC.PX.WYE._.DF_.H_2x1</t>
  </si>
  <si>
    <t>GSC.PX.WYE._.___.Frame</t>
  </si>
  <si>
    <t>IRPPV_NTC_ESC</t>
  </si>
  <si>
    <t>IRPPV_NTC_ESC_Small</t>
  </si>
  <si>
    <t>PV_.PX.COR._.NTC.Small_Scale</t>
  </si>
  <si>
    <t>PV_.PX.COR._.NTC.Utility_Scale</t>
  </si>
  <si>
    <t>PV_.PX.NUT._.NTC.Utility_Scale</t>
  </si>
  <si>
    <t>PV_.PX.SUM._.NTC.Utility_Scale</t>
  </si>
  <si>
    <t>PV_.PX.UTS._.NTC.Utility_Scale</t>
  </si>
  <si>
    <t>PV_.PX.WWA._.NTC.Utility_Scale</t>
  </si>
  <si>
    <t>PV_.PX.WYN._.NTC.Small_Scale</t>
  </si>
  <si>
    <t>PV_.PX.YAK._.NTC.Utility_Scale</t>
  </si>
  <si>
    <t>IRPWD_NTC_ESC</t>
  </si>
  <si>
    <t>IRPWD_NTC_ESC_Small</t>
  </si>
  <si>
    <t>WD_.PX.COR._.NTC.Utility_Scale</t>
  </si>
  <si>
    <t>WD_.PX.SOR._.NTC.Utility_Scale</t>
  </si>
  <si>
    <t>WD_.PX.SUM._.NTC.Utility_Scale</t>
  </si>
  <si>
    <t>WD_.PX.WMV._.NTC.Utility_Scale</t>
  </si>
  <si>
    <t>WD_.PX.WYE._.NTC.Utility_Scale</t>
  </si>
  <si>
    <t>WD_.PX.WYN._.NTC.Small_Scale</t>
  </si>
  <si>
    <t>WD_.PX.YAK._.NTC.Utility_Scale</t>
  </si>
  <si>
    <t>25 IRP Update SSR</t>
  </si>
  <si>
    <t>H:\2025 IRP Update\03. Assumptions\12. New Resources (SSR)\[RESD SSR Database 2025 v9 20250219 Modifiers Expanded Table 2 2025 IRP Update Draft.xlsx]Build Cost</t>
  </si>
  <si>
    <t>H:\2025 IRP Update\03. Assumptions\12. New Resources (SSR)\[RESD SSR Database 2025 v9 20250219 Modifiers Expanded Table 2 2025 IRP Update Draft.xlsx]FOM</t>
  </si>
  <si>
    <t>H:\2025 IRP Update\03. Assumptions\12. New Resources (SSR)\[RESD SSR Database 2025 v9 20250219 Modifiers Expanded Table 2 2025 IRP Update Draft.xlsx]VOM</t>
  </si>
  <si>
    <t>CCCT Dry "H", 2X1, DF, with SCR</t>
  </si>
  <si>
    <t xml:space="preserve">Utah South -  CCCT Dry "H", 2X1, DF, with SCR (GCC.PX.UTS._.DF_.H_2x1) </t>
  </si>
  <si>
    <t>CCCT</t>
  </si>
  <si>
    <t>Plant Costs  - 2025 IRP Update</t>
  </si>
  <si>
    <t>2025 $</t>
  </si>
  <si>
    <t xml:space="preserve">  Plant capacity cost - in $/kW</t>
  </si>
  <si>
    <t xml:space="preserve">  Max Load Heat Rate on Gas (Btu/kw)</t>
  </si>
  <si>
    <t xml:space="preserve">  Gas Fired Conversion Load (MMBtu/d)</t>
  </si>
  <si>
    <t xml:space="preserve">  Fixed Demand Transportation Charge (Tariff) ($/mmBtu-day)</t>
  </si>
  <si>
    <t xml:space="preserve">  Transportation Commodity / Usage Charge ($/MMBtu)</t>
  </si>
  <si>
    <t xml:space="preserve">  ACA Charge ($/MMBtu)</t>
  </si>
  <si>
    <t xml:space="preserve">  Total Variable Charges ($/MMBtu)</t>
  </si>
  <si>
    <t xml:space="preserve">  Fixed Transport Charge $/Year</t>
  </si>
  <si>
    <t xml:space="preserve">  Fixed Pipeline in $/kW</t>
  </si>
  <si>
    <t xml:space="preserve">  Fixed O&amp;M including Fixed Pipeline &amp; Capitalized O&amp;M ($/kW-Yr)</t>
  </si>
  <si>
    <t>Demolition Cost - in $/kW</t>
  </si>
  <si>
    <t xml:space="preserve"> Export (MW)</t>
  </si>
  <si>
    <t xml:space="preserve"> Import (MW)</t>
  </si>
  <si>
    <t xml:space="preserve"> Interconnect (MW)</t>
  </si>
  <si>
    <t>Build Investment ($m)</t>
  </si>
  <si>
    <t xml:space="preserve"> Build (%)</t>
  </si>
  <si>
    <t>From</t>
  </si>
  <si>
    <t>To</t>
  </si>
  <si>
    <t>B2H</t>
  </si>
  <si>
    <t>Hemingway</t>
  </si>
  <si>
    <t>Boardman</t>
  </si>
  <si>
    <t>B2H - Idaho Power Asset Transfer</t>
  </si>
  <si>
    <t>Borah</t>
  </si>
  <si>
    <t>B2H - IPC PTP Eastbound</t>
  </si>
  <si>
    <t>Walla Walla</t>
  </si>
  <si>
    <t>B2H-Enabled BPA Central OR Load Service</t>
  </si>
  <si>
    <t>n/a</t>
  </si>
  <si>
    <t>Serial queue: Central Oregon</t>
  </si>
  <si>
    <t>Utah South - Wasatch Front: Spanish Fork - Mercer 345 kV</t>
  </si>
  <si>
    <t>Utah South</t>
  </si>
  <si>
    <t>Wasatch Front</t>
  </si>
  <si>
    <t>Ben Lomond Upgrades</t>
  </si>
  <si>
    <t>NUT</t>
  </si>
  <si>
    <t>Cluster 1 Area 11: Willamette Valley</t>
  </si>
  <si>
    <t>Serial/Cluster 1/2: Yakima</t>
  </si>
  <si>
    <t>Cluster 1 Area 14: Summer Lake</t>
  </si>
  <si>
    <t>Summer Lake</t>
  </si>
  <si>
    <t>Cluster 2 Area 23: Willamette Valley</t>
  </si>
  <si>
    <t>Cluster 2 Area 18: Central Oregon 500 kV Substation</t>
  </si>
  <si>
    <t>Utah South - Wasatch Front: Huntington - Clover 345 kV</t>
  </si>
  <si>
    <t>Goshen - Blackfoot 161 kV</t>
  </si>
  <si>
    <t>Goshen</t>
  </si>
  <si>
    <t>Cluster 1/2/3: Walla Walla</t>
  </si>
  <si>
    <t>Cluster 2/3: Willamette Valley - Central Oregon 230 kV</t>
  </si>
  <si>
    <t>Willamette Valley</t>
  </si>
  <si>
    <t>Central OR</t>
  </si>
  <si>
    <t>Serial through Cluster 1 Area 13: Southern Oregon</t>
  </si>
  <si>
    <t>Cluster 2 Area 6: Goshen</t>
  </si>
  <si>
    <t>Grand Total</t>
  </si>
  <si>
    <t/>
  </si>
  <si>
    <t>2028 $</t>
  </si>
  <si>
    <t>2036 $</t>
  </si>
  <si>
    <t>2025 IRP Update - Utah South -  CCCT Dry "H", 2X1, DF, with SCR</t>
  </si>
  <si>
    <t xml:space="preserve">Wyoming East-Brownfield - SCCT Frame "F" x1, with SCR (GSC.PX.BDG._.___.Frame) </t>
  </si>
  <si>
    <t>SCCT</t>
  </si>
  <si>
    <t>H:\2025 IRP\03. Assumptions\12. New Resources (SSR)\RESD SSR Database 2025 v6 20240923 Modifiers Expanded.xlsx - Cost Forecasts Tab</t>
  </si>
  <si>
    <t>H:\2025 IRP Update\03. Assumptions\04. Financial\[25IRPU Plexos Inflation inputs 2025Q1 CONF.xlsb]Inflation</t>
  </si>
  <si>
    <t>Plant Costs  - 2025 IRP  Update - Table 7.1 &amp; 7.2</t>
  </si>
  <si>
    <t>PTC</t>
  </si>
  <si>
    <t>Plant Costs  - 2025 IRP Update - Table 7.1 &amp; 7.2</t>
  </si>
  <si>
    <t>Nominal PTC 2029$</t>
  </si>
  <si>
    <t>THERMAL</t>
  </si>
  <si>
    <t>lookup</t>
  </si>
  <si>
    <t>Corrected for missing one day data from ST due to stiching in PLEXOS</t>
  </si>
  <si>
    <t>EFOR %</t>
  </si>
  <si>
    <t>BAT.PX.BDG._.ITC.Li_ion_4hr</t>
  </si>
  <si>
    <t xml:space="preserve">  Payment Factor, 30% ITC</t>
  </si>
  <si>
    <t>$/kW-mo</t>
  </si>
  <si>
    <t>25IRPBATESC</t>
  </si>
  <si>
    <t>20 Year Nominal Levelized, starting 2031</t>
  </si>
  <si>
    <t>Discount Rate - 2025 IRP Upate</t>
  </si>
  <si>
    <t>Dispatch</t>
  </si>
  <si>
    <t>Fixed Cost</t>
  </si>
  <si>
    <t>Net Revenue Monthly-PLEXOS</t>
  </si>
  <si>
    <t>Net Revenue Ann-PLEXOS</t>
  </si>
  <si>
    <t>Total Avoided $</t>
  </si>
  <si>
    <t>Season</t>
  </si>
  <si>
    <t>Net Revenue Summer-PLEXOS</t>
  </si>
  <si>
    <t>Avoided Cost Prices $/MWh</t>
  </si>
  <si>
    <t>Utah 2026.Q1 Sch 38</t>
  </si>
  <si>
    <t>Thermal</t>
  </si>
  <si>
    <t>Solar Tracking</t>
  </si>
  <si>
    <t>Wind</t>
  </si>
  <si>
    <t>100% CF (2)</t>
  </si>
  <si>
    <t>32.25% CF (2)</t>
  </si>
  <si>
    <t>29.5% CF (2)</t>
  </si>
  <si>
    <t>Difference From 2024.Q4 Filing Filing</t>
  </si>
  <si>
    <t>2025 IRP Update Preferred Portfolio</t>
  </si>
  <si>
    <t>15-Year Levelized Prices (Nominal) @ 6.33% Discount Rate (1) (3)</t>
  </si>
  <si>
    <t>2027-2041</t>
  </si>
  <si>
    <t>Footnotes:</t>
  </si>
  <si>
    <t>(1)   Discount Rate - 2025 IRP Update</t>
  </si>
  <si>
    <t>Appendix B.3</t>
  </si>
  <si>
    <t>UT 2026.Q2</t>
  </si>
  <si>
    <t>NonSolar</t>
  </si>
  <si>
    <t>WD_QF_UTN_QF_Sch38_UT</t>
  </si>
  <si>
    <t>QF - Sch38 - UT - Wind</t>
  </si>
  <si>
    <t>UT 2026.Q1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</si>
</sst>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&quot;$&quot;#,##0.00"/>
    <numFmt numFmtId="167" formatCode="0.0%"/>
    <numFmt numFmtId="168" formatCode="_(* #,##0.00_);_(* \(#,##0.00\);_(* &quot;-&quot;_);_(@_)"/>
    <numFmt numFmtId="169" formatCode="_(&quot;$&quot;* #,##0_);_(&quot;$&quot;* \(#,##0\);_(&quot;$&quot;* &quot;-&quot;??_);_(@_)"/>
    <numFmt numFmtId="170" formatCode="mmm\ yyyy&quot;   &quot;"/>
    <numFmt numFmtId="171" formatCode="_(* #,##0_);[Red]_(* \(#,##0\);_(* &quot;-&quot;_);_(@_)"/>
    <numFmt numFmtId="172" formatCode="_(* #,##0.00_);[Red]_(* \(#,##0.00\);_(* &quot;-&quot;_);_(@_)"/>
    <numFmt numFmtId="173" formatCode="_(* #,##0.0_);[Red]_(* \(#,##0.0\);_(* &quot;-&quot;_);_(@_)"/>
    <numFmt numFmtId="174" formatCode="0.000%"/>
    <numFmt numFmtId="175" formatCode="&quot;$&quot;###0;[Red]\(&quot;$&quot;###0\)"/>
    <numFmt numFmtId="176" formatCode="0.0"/>
    <numFmt numFmtId="177" formatCode="&quot;$&quot;#,##0.00_)\(\5\)"/>
    <numFmt numFmtId="178" formatCode="&quot;$&quot;#,##0.00_)"/>
    <numFmt numFmtId="179" formatCode="#,##0.0000_);\(#,##0.0000\)"/>
    <numFmt numFmtId="180" formatCode="m/d/yyyy\ h:mm:ss"/>
    <numFmt numFmtId="181" formatCode="_(* #,##0.00000_);[Red]_(* \(#,##0.00000\);_(* &quot;-&quot;_);_(@_)"/>
    <numFmt numFmtId="182" formatCode="_(* #,##0.000_);[Red]_(* \(#,##0.000\);_(* &quot;-&quot;_);_(@_)"/>
    <numFmt numFmtId="183" formatCode="_(* #,##0.000_);_(* \(#,##0.000\);_(* &quot;-&quot;_);_(@_)"/>
    <numFmt numFmtId="184" formatCode="_(* #,##0.0_);_(* \(#,##0.0\);_(* &quot;-&quot;??_);_(@_)"/>
    <numFmt numFmtId="185" formatCode="0.0000%"/>
    <numFmt numFmtId="186" formatCode="&quot;$&quot;#,##0.0000_);\(&quot;$&quot;#,##0.0000\)"/>
    <numFmt numFmtId="187" formatCode="_(* #,##0.0000000_);[Red]_(* \(#,##0.0000000\);_(* &quot;-&quot;_);_(@_)"/>
    <numFmt numFmtId="188" formatCode="_(* #,##0.00000000_);_(* \(#,##0.00000000\);_(* &quot;-&quot;??_);_(@_)"/>
    <numFmt numFmtId="189" formatCode="0.00000000%"/>
  </numFmts>
  <fonts count="44"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i/>
      <sz val="8"/>
      <color indexed="18"/>
      <name val="Helv"/>
    </font>
    <font>
      <vertAlign val="superscript"/>
      <sz val="9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2"/>
      <name val="Times New Roman"/>
      <family val="1"/>
    </font>
    <font>
      <sz val="8"/>
      <color indexed="12"/>
      <name val="Arial"/>
      <family val="2"/>
    </font>
    <font>
      <sz val="8"/>
      <color indexed="48"/>
      <name val="Arial"/>
      <family val="2"/>
    </font>
    <font>
      <sz val="9"/>
      <name val="Times New Roman"/>
      <family val="1"/>
    </font>
    <font>
      <sz val="8"/>
      <name val="Helv"/>
    </font>
    <font>
      <b/>
      <sz val="12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u/>
      <sz val="7.5"/>
      <color indexed="12"/>
      <name val="Arial"/>
      <family val="2"/>
    </font>
    <font>
      <sz val="9"/>
      <color indexed="12"/>
      <name val="CS Times"/>
    </font>
    <font>
      <sz val="10"/>
      <color rgb="FFFF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7"/>
      <name val="Times New Roman"/>
      <family val="1"/>
    </font>
    <font>
      <b/>
      <sz val="9"/>
      <name val="Arial"/>
      <family val="2"/>
    </font>
    <font>
      <u/>
      <sz val="10"/>
      <name val="Times New Roman"/>
      <family val="1"/>
    </font>
    <font>
      <sz val="10"/>
      <name val="Geneva"/>
      <family val="2"/>
    </font>
    <font>
      <b/>
      <sz val="9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5">
    <xf numFmtId="171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2" fillId="0" borderId="0" applyNumberFormat="0" applyFill="0" applyBorder="0" applyAlignment="0">
      <protection locked="0"/>
    </xf>
    <xf numFmtId="41" fontId="7" fillId="0" borderId="0"/>
    <xf numFmtId="171" fontId="7" fillId="0" borderId="0"/>
    <xf numFmtId="0" fontId="5" fillId="0" borderId="0"/>
    <xf numFmtId="0" fontId="7" fillId="0" borderId="0"/>
    <xf numFmtId="9" fontId="5" fillId="0" borderId="0" applyFont="0" applyFill="0" applyBorder="0" applyAlignment="0" applyProtection="0"/>
    <xf numFmtId="167" fontId="5" fillId="0" borderId="0"/>
    <xf numFmtId="167" fontId="5" fillId="0" borderId="0"/>
    <xf numFmtId="41" fontId="7" fillId="0" borderId="0"/>
    <xf numFmtId="171" fontId="7" fillId="0" borderId="0"/>
    <xf numFmtId="171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5" fontId="25" fillId="0" borderId="0" applyFont="0" applyFill="0" applyBorder="0" applyProtection="0">
      <alignment horizontal="right"/>
    </xf>
    <xf numFmtId="176" fontId="18" fillId="0" borderId="0" applyNumberFormat="0" applyFill="0" applyBorder="0" applyAlignment="0" applyProtection="0"/>
    <xf numFmtId="0" fontId="16" fillId="0" borderId="20" applyNumberFormat="0" applyBorder="0" applyAlignment="0"/>
    <xf numFmtId="12" fontId="26" fillId="7" borderId="19">
      <alignment horizontal="left"/>
    </xf>
    <xf numFmtId="37" fontId="16" fillId="8" borderId="0" applyNumberFormat="0" applyBorder="0" applyAlignment="0" applyProtection="0"/>
    <xf numFmtId="37" fontId="16" fillId="0" borderId="0"/>
    <xf numFmtId="3" fontId="22" fillId="9" borderId="21" applyProtection="0"/>
    <xf numFmtId="9" fontId="5" fillId="0" borderId="0" applyFont="0" applyFill="0" applyBorder="0" applyAlignment="0" applyProtection="0"/>
    <xf numFmtId="171" fontId="7" fillId="0" borderId="0"/>
    <xf numFmtId="171" fontId="5" fillId="0" borderId="0"/>
    <xf numFmtId="0" fontId="29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/>
    <xf numFmtId="0" fontId="5" fillId="0" borderId="0"/>
  </cellStyleXfs>
  <cellXfs count="410">
    <xf numFmtId="171" fontId="0" fillId="0" borderId="0" xfId="0"/>
    <xf numFmtId="171" fontId="8" fillId="0" borderId="0" xfId="0" applyFont="1" applyAlignment="1">
      <alignment horizontal="centerContinuous"/>
    </xf>
    <xf numFmtId="171" fontId="11" fillId="0" borderId="0" xfId="0" applyFont="1" applyAlignment="1">
      <alignment horizontal="centerContinuous"/>
    </xf>
    <xf numFmtId="171" fontId="7" fillId="0" borderId="0" xfId="0" applyFont="1"/>
    <xf numFmtId="171" fontId="9" fillId="0" borderId="0" xfId="0" applyFont="1" applyAlignment="1">
      <alignment horizontal="centerContinuous"/>
    </xf>
    <xf numFmtId="171" fontId="7" fillId="0" borderId="0" xfId="0" applyFont="1" applyAlignment="1">
      <alignment horizontal="center"/>
    </xf>
    <xf numFmtId="8" fontId="7" fillId="0" borderId="0" xfId="0" applyNumberFormat="1" applyFont="1"/>
    <xf numFmtId="8" fontId="7" fillId="0" borderId="2" xfId="0" applyNumberFormat="1" applyFont="1" applyBorder="1" applyAlignment="1">
      <alignment horizontal="center"/>
    </xf>
    <xf numFmtId="8" fontId="7" fillId="0" borderId="0" xfId="0" applyNumberFormat="1" applyFont="1" applyAlignment="1">
      <alignment horizontal="center"/>
    </xf>
    <xf numFmtId="171" fontId="7" fillId="0" borderId="0" xfId="0" quotePrefix="1" applyFont="1"/>
    <xf numFmtId="171" fontId="7" fillId="0" borderId="0" xfId="0" applyFont="1" applyAlignment="1">
      <alignment horizontal="centerContinuous"/>
    </xf>
    <xf numFmtId="8" fontId="7" fillId="0" borderId="8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/>
    </xf>
    <xf numFmtId="171" fontId="6" fillId="0" borderId="5" xfId="0" applyFont="1" applyBorder="1" applyAlignment="1">
      <alignment horizontal="center"/>
    </xf>
    <xf numFmtId="171" fontId="6" fillId="0" borderId="5" xfId="0" applyFont="1" applyBorder="1" applyAlignment="1">
      <alignment horizontal="center" wrapText="1"/>
    </xf>
    <xf numFmtId="171" fontId="14" fillId="0" borderId="6" xfId="0" quotePrefix="1" applyFont="1" applyBorder="1" applyAlignment="1">
      <alignment horizontal="center" wrapText="1"/>
    </xf>
    <xf numFmtId="171" fontId="14" fillId="0" borderId="6" xfId="0" applyFont="1" applyBorder="1" applyAlignment="1">
      <alignment horizontal="center" wrapText="1"/>
    </xf>
    <xf numFmtId="171" fontId="6" fillId="0" borderId="0" xfId="0" applyFont="1" applyAlignment="1">
      <alignment horizontal="centerContinuous"/>
    </xf>
    <xf numFmtId="171" fontId="6" fillId="0" borderId="5" xfId="0" applyFont="1" applyBorder="1"/>
    <xf numFmtId="171" fontId="6" fillId="0" borderId="13" xfId="0" applyFont="1" applyBorder="1" applyAlignment="1">
      <alignment horizontal="center"/>
    </xf>
    <xf numFmtId="171" fontId="6" fillId="0" borderId="6" xfId="0" applyFont="1" applyBorder="1"/>
    <xf numFmtId="171" fontId="6" fillId="0" borderId="6" xfId="0" applyFont="1" applyBorder="1" applyAlignment="1">
      <alignment horizontal="center"/>
    </xf>
    <xf numFmtId="8" fontId="1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71" fontId="9" fillId="0" borderId="7" xfId="0" applyFont="1" applyBorder="1" applyAlignment="1">
      <alignment horizontal="centerContinuous"/>
    </xf>
    <xf numFmtId="171" fontId="16" fillId="2" borderId="0" xfId="0" applyFont="1" applyFill="1" applyAlignment="1">
      <alignment horizontal="centerContinuous"/>
    </xf>
    <xf numFmtId="171" fontId="18" fillId="2" borderId="0" xfId="0" applyFont="1" applyFill="1" applyAlignment="1">
      <alignment horizontal="centerContinuous"/>
    </xf>
    <xf numFmtId="170" fontId="16" fillId="2" borderId="0" xfId="1" applyNumberFormat="1" applyFont="1" applyFill="1" applyAlignment="1">
      <alignment horizontal="centerContinuous"/>
    </xf>
    <xf numFmtId="171" fontId="16" fillId="0" borderId="0" xfId="0" applyFont="1"/>
    <xf numFmtId="171" fontId="18" fillId="0" borderId="0" xfId="0" applyFont="1" applyAlignment="1">
      <alignment wrapText="1"/>
    </xf>
    <xf numFmtId="171" fontId="16" fillId="0" borderId="0" xfId="0" applyFont="1" applyAlignment="1">
      <alignment horizontal="center"/>
    </xf>
    <xf numFmtId="168" fontId="16" fillId="0" borderId="0" xfId="0" applyNumberFormat="1" applyFont="1"/>
    <xf numFmtId="2" fontId="7" fillId="0" borderId="0" xfId="0" applyNumberFormat="1" applyFont="1" applyAlignment="1">
      <alignment horizontal="center"/>
    </xf>
    <xf numFmtId="39" fontId="7" fillId="0" borderId="0" xfId="0" applyNumberFormat="1" applyFont="1" applyAlignment="1">
      <alignment horizontal="center"/>
    </xf>
    <xf numFmtId="171" fontId="6" fillId="0" borderId="0" xfId="0" applyFont="1" applyAlignment="1">
      <alignment horizontal="center"/>
    </xf>
    <xf numFmtId="167" fontId="0" fillId="0" borderId="0" xfId="8" applyNumberFormat="1" applyFont="1" applyFill="1"/>
    <xf numFmtId="171" fontId="6" fillId="0" borderId="16" xfId="5" applyFont="1" applyBorder="1" applyAlignment="1">
      <alignment horizontal="centerContinuous"/>
    </xf>
    <xf numFmtId="171" fontId="21" fillId="0" borderId="0" xfId="5" applyFont="1"/>
    <xf numFmtId="171" fontId="16" fillId="0" borderId="0" xfId="0" applyFont="1" applyAlignment="1">
      <alignment horizontal="centerContinuous"/>
    </xf>
    <xf numFmtId="171" fontId="7" fillId="0" borderId="0" xfId="0" applyFont="1" applyAlignment="1">
      <alignment horizontal="left" indent="1"/>
    </xf>
    <xf numFmtId="43" fontId="0" fillId="0" borderId="0" xfId="1" applyFont="1" applyFill="1"/>
    <xf numFmtId="171" fontId="0" fillId="0" borderId="0" xfId="0" quotePrefix="1"/>
    <xf numFmtId="41" fontId="7" fillId="0" borderId="0" xfId="11"/>
    <xf numFmtId="0" fontId="0" fillId="0" borderId="0" xfId="11" applyNumberFormat="1" applyFont="1" applyAlignment="1">
      <alignment horizontal="left"/>
    </xf>
    <xf numFmtId="172" fontId="0" fillId="0" borderId="0" xfId="0" applyNumberFormat="1"/>
    <xf numFmtId="171" fontId="10" fillId="0" borderId="0" xfId="0" applyFont="1"/>
    <xf numFmtId="171" fontId="18" fillId="2" borderId="0" xfId="0" applyFont="1" applyFill="1" applyAlignment="1">
      <alignment horizontal="center"/>
    </xf>
    <xf numFmtId="14" fontId="22" fillId="3" borderId="7" xfId="0" applyNumberFormat="1" applyFont="1" applyFill="1" applyBorder="1" applyAlignment="1">
      <alignment horizontal="center"/>
    </xf>
    <xf numFmtId="14" fontId="23" fillId="2" borderId="0" xfId="0" applyNumberFormat="1" applyFont="1" applyFill="1" applyAlignment="1">
      <alignment horizontal="centerContinuous" vertical="center"/>
    </xf>
    <xf numFmtId="171" fontId="10" fillId="0" borderId="0" xfId="0" applyFont="1" applyAlignment="1">
      <alignment horizontal="center"/>
    </xf>
    <xf numFmtId="171" fontId="16" fillId="2" borderId="0" xfId="0" applyFont="1" applyFill="1" applyAlignment="1">
      <alignment horizontal="centerContinuous" wrapText="1"/>
    </xf>
    <xf numFmtId="171" fontId="16" fillId="0" borderId="15" xfId="0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171" fontId="10" fillId="4" borderId="14" xfId="0" applyFont="1" applyFill="1" applyBorder="1"/>
    <xf numFmtId="0" fontId="6" fillId="0" borderId="0" xfId="0" applyNumberFormat="1" applyFont="1"/>
    <xf numFmtId="177" fontId="7" fillId="0" borderId="0" xfId="0" applyNumberFormat="1" applyFont="1" applyAlignment="1">
      <alignment horizontal="center"/>
    </xf>
    <xf numFmtId="10" fontId="0" fillId="5" borderId="0" xfId="8" applyNumberFormat="1" applyFont="1" applyFill="1"/>
    <xf numFmtId="9" fontId="27" fillId="0" borderId="0" xfId="8" applyFont="1"/>
    <xf numFmtId="171" fontId="8" fillId="0" borderId="0" xfId="24" applyFont="1" applyAlignment="1">
      <alignment horizontal="centerContinuous"/>
    </xf>
    <xf numFmtId="171" fontId="7" fillId="0" borderId="0" xfId="24" applyAlignment="1">
      <alignment horizontal="centerContinuous"/>
    </xf>
    <xf numFmtId="171" fontId="7" fillId="0" borderId="0" xfId="24"/>
    <xf numFmtId="171" fontId="6" fillId="0" borderId="5" xfId="24" applyFont="1" applyBorder="1" applyAlignment="1">
      <alignment horizontal="center"/>
    </xf>
    <xf numFmtId="171" fontId="6" fillId="0" borderId="5" xfId="24" applyFont="1" applyBorder="1" applyAlignment="1">
      <alignment horizontal="center" wrapText="1"/>
    </xf>
    <xf numFmtId="171" fontId="11" fillId="0" borderId="6" xfId="24" applyFont="1" applyBorder="1" applyAlignment="1">
      <alignment horizontal="centerContinuous"/>
    </xf>
    <xf numFmtId="171" fontId="14" fillId="0" borderId="6" xfId="24" quotePrefix="1" applyFont="1" applyBorder="1" applyAlignment="1">
      <alignment horizontal="center" wrapText="1"/>
    </xf>
    <xf numFmtId="171" fontId="14" fillId="0" borderId="6" xfId="24" applyFont="1" applyBorder="1" applyAlignment="1">
      <alignment horizontal="center" wrapText="1"/>
    </xf>
    <xf numFmtId="171" fontId="10" fillId="0" borderId="0" xfId="24" quotePrefix="1" applyFont="1" applyAlignment="1">
      <alignment horizontal="center"/>
    </xf>
    <xf numFmtId="0" fontId="7" fillId="0" borderId="0" xfId="24" applyNumberFormat="1"/>
    <xf numFmtId="8" fontId="7" fillId="0" borderId="0" xfId="24" applyNumberFormat="1" applyAlignment="1">
      <alignment horizontal="right"/>
    </xf>
    <xf numFmtId="8" fontId="7" fillId="0" borderId="0" xfId="24" applyNumberFormat="1"/>
    <xf numFmtId="165" fontId="7" fillId="0" borderId="0" xfId="24" applyNumberFormat="1" applyAlignment="1">
      <alignment horizontal="center"/>
    </xf>
    <xf numFmtId="14" fontId="7" fillId="0" borderId="0" xfId="25" applyNumberFormat="1" applyFont="1"/>
    <xf numFmtId="8" fontId="7" fillId="0" borderId="0" xfId="24" applyNumberFormat="1" applyAlignment="1">
      <alignment horizontal="center"/>
    </xf>
    <xf numFmtId="171" fontId="9" fillId="0" borderId="0" xfId="24" applyFont="1" applyAlignment="1">
      <alignment horizontal="centerContinuous"/>
    </xf>
    <xf numFmtId="171" fontId="6" fillId="0" borderId="0" xfId="24" applyFont="1" applyAlignment="1">
      <alignment horizontal="centerContinuous"/>
    </xf>
    <xf numFmtId="171" fontId="7" fillId="0" borderId="0" xfId="24" applyAlignment="1">
      <alignment horizontal="center"/>
    </xf>
    <xf numFmtId="8" fontId="7" fillId="0" borderId="0" xfId="2" applyNumberFormat="1" applyFont="1" applyFill="1"/>
    <xf numFmtId="1" fontId="7" fillId="0" borderId="0" xfId="6" applyNumberFormat="1" applyFont="1" applyAlignment="1" applyProtection="1">
      <alignment horizontal="center"/>
      <protection locked="0"/>
    </xf>
    <xf numFmtId="172" fontId="7" fillId="0" borderId="0" xfId="24" applyNumberFormat="1"/>
    <xf numFmtId="167" fontId="7" fillId="0" borderId="0" xfId="8" applyNumberFormat="1" applyFont="1" applyFill="1"/>
    <xf numFmtId="44" fontId="27" fillId="0" borderId="0" xfId="2" applyFont="1" applyFill="1"/>
    <xf numFmtId="174" fontId="30" fillId="0" borderId="0" xfId="0" applyNumberFormat="1" applyFont="1" applyProtection="1">
      <protection locked="0"/>
    </xf>
    <xf numFmtId="171" fontId="6" fillId="0" borderId="0" xfId="0" applyFont="1" applyAlignment="1">
      <alignment horizontal="left"/>
    </xf>
    <xf numFmtId="167" fontId="0" fillId="0" borderId="0" xfId="8" applyNumberFormat="1" applyFont="1"/>
    <xf numFmtId="171" fontId="7" fillId="0" borderId="1" xfId="0" applyFont="1" applyBorder="1" applyAlignment="1">
      <alignment horizontal="center"/>
    </xf>
    <xf numFmtId="173" fontId="0" fillId="0" borderId="0" xfId="0" applyNumberFormat="1"/>
    <xf numFmtId="171" fontId="6" fillId="0" borderId="0" xfId="0" applyFont="1" applyAlignment="1">
      <alignment vertical="top" wrapText="1"/>
    </xf>
    <xf numFmtId="171" fontId="6" fillId="0" borderId="0" xfId="0" applyFont="1" applyAlignment="1">
      <alignment horizontal="left" vertical="top" wrapText="1"/>
    </xf>
    <xf numFmtId="171" fontId="7" fillId="0" borderId="0" xfId="0" applyFont="1" applyAlignment="1">
      <alignment horizontal="left" vertical="top" wrapText="1"/>
    </xf>
    <xf numFmtId="178" fontId="7" fillId="0" borderId="0" xfId="0" applyNumberFormat="1" applyFont="1" applyAlignment="1">
      <alignment horizontal="center"/>
    </xf>
    <xf numFmtId="171" fontId="0" fillId="0" borderId="0" xfId="0" applyAlignment="1">
      <alignment wrapText="1"/>
    </xf>
    <xf numFmtId="171" fontId="7" fillId="0" borderId="0" xfId="0" applyFont="1" applyAlignment="1">
      <alignment wrapText="1"/>
    </xf>
    <xf numFmtId="171" fontId="7" fillId="0" borderId="0" xfId="0" applyFont="1" applyAlignment="1">
      <alignment horizontal="center" wrapText="1"/>
    </xf>
    <xf numFmtId="171" fontId="6" fillId="0" borderId="0" xfId="0" applyFont="1" applyAlignment="1">
      <alignment horizontal="center" wrapText="1"/>
    </xf>
    <xf numFmtId="167" fontId="7" fillId="0" borderId="0" xfId="8" applyNumberFormat="1" applyFont="1" applyFill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179" fontId="0" fillId="0" borderId="0" xfId="1" applyNumberFormat="1" applyFont="1"/>
    <xf numFmtId="167" fontId="24" fillId="0" borderId="0" xfId="8" applyNumberFormat="1" applyFont="1" applyFill="1" applyAlignment="1">
      <alignment wrapText="1"/>
    </xf>
    <xf numFmtId="171" fontId="6" fillId="0" borderId="0" xfId="0" applyFont="1" applyAlignment="1">
      <alignment wrapText="1"/>
    </xf>
    <xf numFmtId="171" fontId="7" fillId="0" borderId="0" xfId="24" applyAlignment="1">
      <alignment wrapText="1"/>
    </xf>
    <xf numFmtId="171" fontId="0" fillId="10" borderId="0" xfId="0" applyFill="1" applyAlignment="1">
      <alignment wrapText="1"/>
    </xf>
    <xf numFmtId="171" fontId="32" fillId="0" borderId="0" xfId="0" applyFont="1" applyAlignment="1">
      <alignment horizontal="centerContinuous"/>
    </xf>
    <xf numFmtId="171" fontId="33" fillId="0" borderId="0" xfId="0" applyFont="1" applyAlignment="1">
      <alignment horizontal="centerContinuous"/>
    </xf>
    <xf numFmtId="171" fontId="32" fillId="0" borderId="0" xfId="0" applyFont="1"/>
    <xf numFmtId="171" fontId="33" fillId="0" borderId="0" xfId="0" applyFont="1"/>
    <xf numFmtId="171" fontId="7" fillId="0" borderId="0" xfId="0" quotePrefix="1" applyFont="1" applyAlignment="1">
      <alignment horizontal="center"/>
    </xf>
    <xf numFmtId="8" fontId="34" fillId="0" borderId="0" xfId="0" applyNumberFormat="1" applyFont="1" applyAlignment="1">
      <alignment horizontal="center"/>
    </xf>
    <xf numFmtId="8" fontId="34" fillId="0" borderId="0" xfId="0" applyNumberFormat="1" applyFont="1" applyAlignment="1">
      <alignment horizontal="left"/>
    </xf>
    <xf numFmtId="171" fontId="7" fillId="0" borderId="22" xfId="0" applyFont="1" applyBorder="1" applyAlignment="1">
      <alignment horizontal="center"/>
    </xf>
    <xf numFmtId="171" fontId="7" fillId="0" borderId="5" xfId="0" applyFont="1" applyBorder="1" applyAlignment="1">
      <alignment horizontal="centerContinuous"/>
    </xf>
    <xf numFmtId="171" fontId="7" fillId="0" borderId="5" xfId="0" quotePrefix="1" applyFont="1" applyBorder="1" applyAlignment="1">
      <alignment horizontal="centerContinuous"/>
    </xf>
    <xf numFmtId="171" fontId="7" fillId="0" borderId="4" xfId="0" applyFont="1" applyBorder="1" applyAlignment="1">
      <alignment horizontal="centerContinuous"/>
    </xf>
    <xf numFmtId="171" fontId="7" fillId="0" borderId="7" xfId="0" applyFont="1" applyBorder="1" applyAlignment="1">
      <alignment horizontal="centerContinuous"/>
    </xf>
    <xf numFmtId="171" fontId="7" fillId="0" borderId="3" xfId="0" applyFont="1" applyBorder="1" applyAlignment="1">
      <alignment horizontal="centerContinuous"/>
    </xf>
    <xf numFmtId="171" fontId="7" fillId="0" borderId="22" xfId="0" applyFont="1" applyBorder="1" applyAlignment="1">
      <alignment horizontal="centerContinuous"/>
    </xf>
    <xf numFmtId="171" fontId="7" fillId="0" borderId="2" xfId="0" applyFont="1" applyBorder="1" applyAlignment="1">
      <alignment horizontal="centerContinuous"/>
    </xf>
    <xf numFmtId="171" fontId="7" fillId="0" borderId="8" xfId="0" applyFont="1" applyBorder="1" applyAlignment="1">
      <alignment horizontal="centerContinuous"/>
    </xf>
    <xf numFmtId="171" fontId="7" fillId="0" borderId="23" xfId="0" applyFont="1" applyBorder="1" applyAlignment="1">
      <alignment horizontal="center"/>
    </xf>
    <xf numFmtId="171" fontId="7" fillId="0" borderId="3" xfId="0" applyFont="1" applyBorder="1" applyAlignment="1">
      <alignment horizontal="center"/>
    </xf>
    <xf numFmtId="171" fontId="7" fillId="0" borderId="9" xfId="0" applyFont="1" applyBorder="1" applyAlignment="1">
      <alignment horizontal="center"/>
    </xf>
    <xf numFmtId="171" fontId="7" fillId="0" borderId="4" xfId="0" applyFont="1" applyBorder="1" applyAlignment="1">
      <alignment horizontal="center"/>
    </xf>
    <xf numFmtId="0" fontId="7" fillId="0" borderId="22" xfId="0" applyNumberFormat="1" applyFont="1" applyBorder="1" applyAlignment="1">
      <alignment horizontal="center"/>
    </xf>
    <xf numFmtId="8" fontId="7" fillId="0" borderId="5" xfId="0" applyNumberFormat="1" applyFont="1" applyBorder="1"/>
    <xf numFmtId="8" fontId="7" fillId="11" borderId="22" xfId="0" applyNumberFormat="1" applyFont="1" applyFill="1" applyBorder="1" applyAlignment="1">
      <alignment horizontal="center"/>
    </xf>
    <xf numFmtId="8" fontId="7" fillId="11" borderId="2" xfId="0" applyNumberFormat="1" applyFont="1" applyFill="1" applyBorder="1" applyAlignment="1">
      <alignment horizontal="center"/>
    </xf>
    <xf numFmtId="8" fontId="7" fillId="11" borderId="8" xfId="0" applyNumberFormat="1" applyFont="1" applyFill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43" fontId="7" fillId="0" borderId="13" xfId="0" applyNumberFormat="1" applyFont="1" applyBorder="1"/>
    <xf numFmtId="43" fontId="7" fillId="0" borderId="0" xfId="0" applyNumberFormat="1" applyFont="1" applyAlignment="1">
      <alignment horizontal="center"/>
    </xf>
    <xf numFmtId="43" fontId="7" fillId="0" borderId="11" xfId="0" applyNumberFormat="1" applyFont="1" applyBorder="1" applyAlignment="1">
      <alignment horizontal="center"/>
    </xf>
    <xf numFmtId="43" fontId="7" fillId="0" borderId="10" xfId="0" applyNumberFormat="1" applyFont="1" applyBorder="1" applyAlignment="1">
      <alignment horizontal="center"/>
    </xf>
    <xf numFmtId="0" fontId="7" fillId="0" borderId="23" xfId="0" applyNumberFormat="1" applyFont="1" applyBorder="1" applyAlignment="1">
      <alignment horizontal="center"/>
    </xf>
    <xf numFmtId="43" fontId="7" fillId="0" borderId="6" xfId="0" applyNumberFormat="1" applyFont="1" applyBorder="1"/>
    <xf numFmtId="43" fontId="7" fillId="0" borderId="1" xfId="0" applyNumberFormat="1" applyFont="1" applyBorder="1" applyAlignment="1">
      <alignment horizontal="center"/>
    </xf>
    <xf numFmtId="43" fontId="7" fillId="0" borderId="12" xfId="0" applyNumberFormat="1" applyFont="1" applyBorder="1" applyAlignment="1">
      <alignment horizontal="center"/>
    </xf>
    <xf numFmtId="43" fontId="7" fillId="0" borderId="23" xfId="0" applyNumberFormat="1" applyFont="1" applyBorder="1" applyAlignment="1">
      <alignment horizontal="center"/>
    </xf>
    <xf numFmtId="171" fontId="7" fillId="0" borderId="0" xfId="0" applyFont="1" applyAlignment="1">
      <alignment horizontal="left"/>
    </xf>
    <xf numFmtId="171" fontId="7" fillId="0" borderId="0" xfId="0" quotePrefix="1" applyFont="1" applyAlignment="1">
      <alignment horizontal="left" vertical="top"/>
    </xf>
    <xf numFmtId="172" fontId="7" fillId="0" borderId="0" xfId="0" applyNumberFormat="1" applyFont="1"/>
    <xf numFmtId="1" fontId="7" fillId="0" borderId="10" xfId="0" applyNumberFormat="1" applyFont="1" applyBorder="1" applyAlignment="1">
      <alignment horizontal="center"/>
    </xf>
    <xf numFmtId="1" fontId="7" fillId="0" borderId="23" xfId="0" applyNumberFormat="1" applyFont="1" applyBorder="1" applyAlignment="1">
      <alignment horizontal="center"/>
    </xf>
    <xf numFmtId="171" fontId="7" fillId="0" borderId="0" xfId="24" applyAlignment="1">
      <alignment horizontal="center" wrapText="1"/>
    </xf>
    <xf numFmtId="173" fontId="7" fillId="0" borderId="0" xfId="24" applyNumberFormat="1"/>
    <xf numFmtId="164" fontId="7" fillId="0" borderId="0" xfId="1" applyNumberFormat="1" applyFont="1" applyFill="1"/>
    <xf numFmtId="0" fontId="0" fillId="0" borderId="0" xfId="0" applyNumberFormat="1"/>
    <xf numFmtId="41" fontId="0" fillId="0" borderId="0" xfId="4" applyFont="1"/>
    <xf numFmtId="171" fontId="6" fillId="0" borderId="0" xfId="0" applyFont="1"/>
    <xf numFmtId="171" fontId="0" fillId="0" borderId="0" xfId="24" applyFont="1"/>
    <xf numFmtId="8" fontId="0" fillId="0" borderId="0" xfId="24" applyNumberFormat="1" applyFont="1"/>
    <xf numFmtId="8" fontId="31" fillId="0" borderId="0" xfId="24" applyNumberFormat="1" applyFont="1"/>
    <xf numFmtId="174" fontId="7" fillId="0" borderId="0" xfId="24" applyNumberFormat="1"/>
    <xf numFmtId="167" fontId="7" fillId="0" borderId="0" xfId="24" applyNumberFormat="1"/>
    <xf numFmtId="171" fontId="31" fillId="0" borderId="0" xfId="24" applyFont="1"/>
    <xf numFmtId="165" fontId="7" fillId="10" borderId="0" xfId="24" applyNumberFormat="1" applyFill="1" applyAlignment="1">
      <alignment horizontal="center"/>
    </xf>
    <xf numFmtId="166" fontId="7" fillId="0" borderId="0" xfId="24" applyNumberFormat="1" applyAlignment="1">
      <alignment horizontal="center"/>
    </xf>
    <xf numFmtId="172" fontId="31" fillId="0" borderId="0" xfId="24" applyNumberFormat="1" applyFont="1"/>
    <xf numFmtId="10" fontId="7" fillId="0" borderId="0" xfId="8" applyNumberFormat="1" applyFont="1" applyFill="1"/>
    <xf numFmtId="171" fontId="0" fillId="0" borderId="10" xfId="0" applyBorder="1" applyAlignment="1">
      <alignment wrapText="1"/>
    </xf>
    <xf numFmtId="171" fontId="0" fillId="0" borderId="0" xfId="0" applyAlignment="1">
      <alignment horizontal="center"/>
    </xf>
    <xf numFmtId="0" fontId="6" fillId="0" borderId="22" xfId="0" applyNumberFormat="1" applyFont="1" applyBorder="1"/>
    <xf numFmtId="171" fontId="0" fillId="5" borderId="22" xfId="0" applyFill="1" applyBorder="1"/>
    <xf numFmtId="171" fontId="0" fillId="0" borderId="0" xfId="0" applyAlignment="1">
      <alignment horizontal="center" wrapText="1"/>
    </xf>
    <xf numFmtId="171" fontId="0" fillId="6" borderId="0" xfId="0" applyFill="1" applyAlignment="1">
      <alignment wrapText="1"/>
    </xf>
    <xf numFmtId="7" fontId="7" fillId="0" borderId="5" xfId="0" applyNumberFormat="1" applyFont="1" applyBorder="1"/>
    <xf numFmtId="7" fontId="7" fillId="0" borderId="2" xfId="0" applyNumberFormat="1" applyFont="1" applyBorder="1" applyAlignment="1">
      <alignment horizontal="center"/>
    </xf>
    <xf numFmtId="7" fontId="7" fillId="0" borderId="8" xfId="0" applyNumberFormat="1" applyFont="1" applyBorder="1" applyAlignment="1">
      <alignment horizontal="center"/>
    </xf>
    <xf numFmtId="7" fontId="7" fillId="0" borderId="22" xfId="0" applyNumberFormat="1" applyFont="1" applyBorder="1" applyAlignment="1">
      <alignment horizontal="center"/>
    </xf>
    <xf numFmtId="7" fontId="7" fillId="0" borderId="13" xfId="0" applyNumberFormat="1" applyFont="1" applyBorder="1"/>
    <xf numFmtId="7" fontId="7" fillId="0" borderId="0" xfId="0" applyNumberFormat="1" applyFont="1" applyAlignment="1">
      <alignment horizontal="center"/>
    </xf>
    <xf numFmtId="7" fontId="7" fillId="0" borderId="11" xfId="0" applyNumberFormat="1" applyFont="1" applyBorder="1" applyAlignment="1">
      <alignment horizontal="center"/>
    </xf>
    <xf numFmtId="7" fontId="7" fillId="0" borderId="10" xfId="0" applyNumberFormat="1" applyFont="1" applyBorder="1" applyAlignment="1">
      <alignment horizontal="center"/>
    </xf>
    <xf numFmtId="7" fontId="7" fillId="0" borderId="6" xfId="0" applyNumberFormat="1" applyFont="1" applyBorder="1"/>
    <xf numFmtId="7" fontId="7" fillId="0" borderId="1" xfId="0" applyNumberFormat="1" applyFont="1" applyBorder="1" applyAlignment="1">
      <alignment horizontal="center"/>
    </xf>
    <xf numFmtId="7" fontId="7" fillId="0" borderId="12" xfId="0" applyNumberFormat="1" applyFont="1" applyBorder="1" applyAlignment="1">
      <alignment horizontal="center"/>
    </xf>
    <xf numFmtId="7" fontId="7" fillId="0" borderId="23" xfId="0" applyNumberFormat="1" applyFont="1" applyBorder="1" applyAlignment="1">
      <alignment horizontal="center"/>
    </xf>
    <xf numFmtId="171" fontId="17" fillId="0" borderId="0" xfId="10" applyNumberFormat="1" applyFont="1" applyAlignment="1">
      <alignment horizontal="centerContinuous"/>
    </xf>
    <xf numFmtId="171" fontId="5" fillId="0" borderId="5" xfId="10" applyNumberFormat="1" applyBorder="1" applyAlignment="1">
      <alignment horizontal="center"/>
    </xf>
    <xf numFmtId="171" fontId="5" fillId="0" borderId="7" xfId="10" applyNumberFormat="1" applyBorder="1" applyAlignment="1">
      <alignment horizontal="center"/>
    </xf>
    <xf numFmtId="171" fontId="5" fillId="0" borderId="3" xfId="10" applyNumberFormat="1" applyBorder="1" applyAlignment="1">
      <alignment horizontal="centerContinuous"/>
    </xf>
    <xf numFmtId="171" fontId="5" fillId="0" borderId="4" xfId="10" applyNumberFormat="1" applyBorder="1" applyAlignment="1">
      <alignment horizontal="centerContinuous"/>
    </xf>
    <xf numFmtId="171" fontId="5" fillId="0" borderId="6" xfId="10" applyNumberFormat="1" applyBorder="1" applyAlignment="1">
      <alignment horizontal="center"/>
    </xf>
    <xf numFmtId="171" fontId="5" fillId="0" borderId="4" xfId="10" applyNumberFormat="1" applyBorder="1" applyAlignment="1">
      <alignment horizontal="center"/>
    </xf>
    <xf numFmtId="171" fontId="5" fillId="0" borderId="3" xfId="10" applyNumberFormat="1" applyBorder="1" applyAlignment="1">
      <alignment horizontal="center"/>
    </xf>
    <xf numFmtId="171" fontId="5" fillId="0" borderId="9" xfId="10" applyNumberFormat="1" applyBorder="1" applyAlignment="1">
      <alignment horizontal="centerContinuous"/>
    </xf>
    <xf numFmtId="17" fontId="5" fillId="0" borderId="5" xfId="10" applyNumberFormat="1" applyBorder="1" applyAlignment="1">
      <alignment horizontal="center"/>
    </xf>
    <xf numFmtId="17" fontId="5" fillId="0" borderId="13" xfId="10" applyNumberFormat="1" applyBorder="1" applyAlignment="1">
      <alignment horizontal="center"/>
    </xf>
    <xf numFmtId="17" fontId="5" fillId="0" borderId="6" xfId="10" applyNumberFormat="1" applyBorder="1" applyAlignment="1">
      <alignment horizontal="center"/>
    </xf>
    <xf numFmtId="8" fontId="7" fillId="10" borderId="0" xfId="24" applyNumberFormat="1" applyFill="1" applyAlignment="1">
      <alignment horizontal="right"/>
    </xf>
    <xf numFmtId="171" fontId="0" fillId="5" borderId="0" xfId="0" applyFill="1" applyAlignment="1">
      <alignment wrapText="1"/>
    </xf>
    <xf numFmtId="172" fontId="0" fillId="0" borderId="0" xfId="1" applyNumberFormat="1" applyFont="1"/>
    <xf numFmtId="172" fontId="7" fillId="0" borderId="0" xfId="11" applyNumberFormat="1"/>
    <xf numFmtId="0" fontId="0" fillId="0" borderId="0" xfId="7" applyFont="1" applyAlignment="1">
      <alignment horizontal="center"/>
    </xf>
    <xf numFmtId="0" fontId="7" fillId="0" borderId="0" xfId="0" applyNumberFormat="1" applyFont="1" applyAlignment="1">
      <alignment horizontal="center"/>
    </xf>
    <xf numFmtId="8" fontId="7" fillId="0" borderId="0" xfId="0" quotePrefix="1" applyNumberFormat="1" applyFont="1" applyAlignment="1">
      <alignment horizontal="center"/>
    </xf>
    <xf numFmtId="0" fontId="1" fillId="0" borderId="0" xfId="31"/>
    <xf numFmtId="181" fontId="7" fillId="0" borderId="0" xfId="24" applyNumberFormat="1"/>
    <xf numFmtId="8" fontId="33" fillId="12" borderId="0" xfId="32" applyNumberFormat="1" applyFont="1" applyFill="1"/>
    <xf numFmtId="180" fontId="33" fillId="0" borderId="0" xfId="0" applyNumberFormat="1" applyFont="1"/>
    <xf numFmtId="8" fontId="33" fillId="0" borderId="0" xfId="0" applyNumberFormat="1" applyFont="1"/>
    <xf numFmtId="10" fontId="0" fillId="0" borderId="0" xfId="0" applyNumberFormat="1"/>
    <xf numFmtId="171" fontId="6" fillId="0" borderId="0" xfId="24" applyFont="1" applyAlignment="1">
      <alignment wrapText="1"/>
    </xf>
    <xf numFmtId="172" fontId="7" fillId="0" borderId="0" xfId="24" applyNumberFormat="1" applyAlignment="1">
      <alignment horizontal="right"/>
    </xf>
    <xf numFmtId="2" fontId="33" fillId="0" borderId="0" xfId="0" applyNumberFormat="1" applyFont="1"/>
    <xf numFmtId="164" fontId="0" fillId="0" borderId="0" xfId="0" applyNumberFormat="1"/>
    <xf numFmtId="9" fontId="0" fillId="0" borderId="0" xfId="0" applyNumberFormat="1"/>
    <xf numFmtId="182" fontId="0" fillId="0" borderId="0" xfId="0" applyNumberFormat="1"/>
    <xf numFmtId="8" fontId="7" fillId="0" borderId="0" xfId="0" applyNumberFormat="1" applyFont="1" applyAlignment="1">
      <alignment wrapText="1"/>
    </xf>
    <xf numFmtId="171" fontId="29" fillId="0" borderId="0" xfId="26" applyNumberFormat="1" applyAlignment="1" applyProtection="1"/>
    <xf numFmtId="8" fontId="7" fillId="0" borderId="0" xfId="2" applyNumberFormat="1" applyFont="1" applyFill="1" applyBorder="1"/>
    <xf numFmtId="171" fontId="0" fillId="0" borderId="0" xfId="0" applyAlignment="1">
      <alignment horizontal="centerContinuous"/>
    </xf>
    <xf numFmtId="171" fontId="6" fillId="0" borderId="5" xfId="0" applyFont="1" applyBorder="1" applyAlignment="1">
      <alignment horizontal="centerContinuous" wrapText="1"/>
    </xf>
    <xf numFmtId="171" fontId="11" fillId="0" borderId="6" xfId="0" applyFont="1" applyBorder="1" applyAlignment="1">
      <alignment horizontal="centerContinuous"/>
    </xf>
    <xf numFmtId="171" fontId="10" fillId="0" borderId="0" xfId="0" quotePrefix="1" applyFont="1" applyAlignment="1">
      <alignment horizontal="center"/>
    </xf>
    <xf numFmtId="6" fontId="0" fillId="0" borderId="0" xfId="0" applyNumberFormat="1" applyAlignment="1">
      <alignment horizontal="right"/>
    </xf>
    <xf numFmtId="8" fontId="0" fillId="0" borderId="0" xfId="0" applyNumberFormat="1" applyAlignment="1">
      <alignment horizontal="right"/>
    </xf>
    <xf numFmtId="8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0" fontId="7" fillId="0" borderId="0" xfId="8" applyNumberFormat="1" applyFont="1" applyFill="1" applyBorder="1"/>
    <xf numFmtId="171" fontId="0" fillId="0" borderId="0" xfId="5" applyFont="1"/>
    <xf numFmtId="172" fontId="0" fillId="0" borderId="0" xfId="5" applyNumberFormat="1" applyFont="1"/>
    <xf numFmtId="183" fontId="0" fillId="0" borderId="0" xfId="0" applyNumberFormat="1"/>
    <xf numFmtId="10" fontId="0" fillId="0" borderId="0" xfId="8" applyNumberFormat="1" applyFont="1"/>
    <xf numFmtId="41" fontId="0" fillId="0" borderId="0" xfId="5" applyNumberFormat="1" applyFont="1"/>
    <xf numFmtId="171" fontId="6" fillId="0" borderId="17" xfId="0" applyFont="1" applyBorder="1" applyAlignment="1">
      <alignment horizontal="centerContinuous"/>
    </xf>
    <xf numFmtId="171" fontId="6" fillId="0" borderId="24" xfId="0" applyFont="1" applyBorder="1" applyAlignment="1">
      <alignment horizontal="centerContinuous"/>
    </xf>
    <xf numFmtId="171" fontId="0" fillId="0" borderId="18" xfId="0" applyBorder="1" applyAlignment="1">
      <alignment horizontal="centerContinuous"/>
    </xf>
    <xf numFmtId="171" fontId="6" fillId="0" borderId="7" xfId="0" applyFont="1" applyBorder="1" applyAlignment="1">
      <alignment horizontal="centerContinuous"/>
    </xf>
    <xf numFmtId="171" fontId="6" fillId="0" borderId="9" xfId="0" applyFont="1" applyBorder="1" applyAlignment="1">
      <alignment horizontal="centerContinuous"/>
    </xf>
    <xf numFmtId="171" fontId="6" fillId="0" borderId="7" xfId="0" applyFont="1" applyBorder="1" applyAlignment="1">
      <alignment horizontal="center"/>
    </xf>
    <xf numFmtId="41" fontId="0" fillId="0" borderId="0" xfId="0" applyNumberFormat="1"/>
    <xf numFmtId="6" fontId="0" fillId="0" borderId="0" xfId="2" applyNumberFormat="1" applyFont="1" applyFill="1" applyAlignment="1">
      <alignment horizontal="center"/>
    </xf>
    <xf numFmtId="8" fontId="0" fillId="0" borderId="0" xfId="2" applyNumberFormat="1" applyFont="1" applyFill="1" applyAlignment="1">
      <alignment horizontal="center"/>
    </xf>
    <xf numFmtId="41" fontId="36" fillId="0" borderId="0" xfId="0" applyNumberFormat="1" applyFont="1"/>
    <xf numFmtId="167" fontId="36" fillId="0" borderId="0" xfId="8" applyNumberFormat="1" applyFont="1" applyFill="1"/>
    <xf numFmtId="6" fontId="36" fillId="0" borderId="0" xfId="2" applyNumberFormat="1" applyFont="1" applyFill="1" applyAlignment="1">
      <alignment horizontal="center"/>
    </xf>
    <xf numFmtId="8" fontId="36" fillId="0" borderId="0" xfId="2" applyNumberFormat="1" applyFont="1" applyFill="1" applyAlignment="1">
      <alignment horizontal="center"/>
    </xf>
    <xf numFmtId="184" fontId="7" fillId="0" borderId="0" xfId="1" applyNumberFormat="1" applyFont="1" applyFill="1"/>
    <xf numFmtId="6" fontId="0" fillId="0" borderId="0" xfId="2" applyNumberFormat="1" applyFont="1" applyFill="1"/>
    <xf numFmtId="8" fontId="0" fillId="0" borderId="0" xfId="2" applyNumberFormat="1" applyFont="1" applyFill="1"/>
    <xf numFmtId="171" fontId="6" fillId="0" borderId="7" xfId="5" applyFont="1" applyBorder="1" applyAlignment="1">
      <alignment horizontal="centerContinuous"/>
    </xf>
    <xf numFmtId="171" fontId="0" fillId="0" borderId="0" xfId="5" applyFont="1" applyAlignment="1">
      <alignment horizontal="left"/>
    </xf>
    <xf numFmtId="171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71" fontId="36" fillId="0" borderId="0" xfId="0" applyFont="1"/>
    <xf numFmtId="173" fontId="36" fillId="0" borderId="0" xfId="0" applyNumberFormat="1" applyFont="1"/>
    <xf numFmtId="43" fontId="36" fillId="0" borderId="0" xfId="2" applyNumberFormat="1" applyFont="1" applyFill="1"/>
    <xf numFmtId="164" fontId="36" fillId="0" borderId="0" xfId="0" applyNumberFormat="1" applyFont="1" applyAlignment="1">
      <alignment horizontal="center"/>
    </xf>
    <xf numFmtId="167" fontId="0" fillId="0" borderId="0" xfId="0" applyNumberFormat="1"/>
    <xf numFmtId="164" fontId="10" fillId="0" borderId="0" xfId="0" applyNumberFormat="1" applyFont="1" applyAlignment="1">
      <alignment horizontal="right"/>
    </xf>
    <xf numFmtId="171" fontId="0" fillId="0" borderId="9" xfId="0" applyBorder="1" applyAlignment="1">
      <alignment horizontal="centerContinuous"/>
    </xf>
    <xf numFmtId="171" fontId="0" fillId="0" borderId="4" xfId="0" applyBorder="1" applyAlignment="1">
      <alignment horizontal="centerContinuous"/>
    </xf>
    <xf numFmtId="169" fontId="0" fillId="0" borderId="0" xfId="2" applyNumberFormat="1" applyFont="1" applyFill="1"/>
    <xf numFmtId="165" fontId="0" fillId="0" borderId="0" xfId="0" applyNumberFormat="1" applyAlignment="1">
      <alignment horizontal="right"/>
    </xf>
    <xf numFmtId="44" fontId="0" fillId="0" borderId="0" xfId="2" applyFont="1" applyFill="1"/>
    <xf numFmtId="9" fontId="0" fillId="0" borderId="0" xfId="8" applyFont="1"/>
    <xf numFmtId="174" fontId="0" fillId="0" borderId="0" xfId="0" applyNumberFormat="1"/>
    <xf numFmtId="174" fontId="0" fillId="0" borderId="0" xfId="8" applyNumberFormat="1" applyFont="1"/>
    <xf numFmtId="10" fontId="0" fillId="0" borderId="0" xfId="8" applyNumberFormat="1" applyFont="1" applyFill="1"/>
    <xf numFmtId="7" fontId="0" fillId="0" borderId="0" xfId="2" applyNumberFormat="1" applyFont="1" applyFill="1"/>
    <xf numFmtId="165" fontId="0" fillId="10" borderId="0" xfId="0" applyNumberFormat="1" applyFill="1" applyAlignment="1">
      <alignment horizontal="center"/>
    </xf>
    <xf numFmtId="44" fontId="7" fillId="10" borderId="0" xfId="24" applyNumberFormat="1" applyFill="1" applyAlignment="1">
      <alignment horizontal="right"/>
    </xf>
    <xf numFmtId="43" fontId="38" fillId="0" borderId="0" xfId="33" applyNumberFormat="1" applyFont="1" applyAlignment="1">
      <alignment horizontal="center" wrapText="1"/>
    </xf>
    <xf numFmtId="164" fontId="0" fillId="0" borderId="0" xfId="1" applyNumberFormat="1" applyFont="1" applyFill="1"/>
    <xf numFmtId="182" fontId="7" fillId="10" borderId="0" xfId="24" applyNumberFormat="1" applyFill="1" applyAlignment="1">
      <alignment horizontal="right"/>
    </xf>
    <xf numFmtId="17" fontId="5" fillId="6" borderId="5" xfId="10" applyNumberFormat="1" applyFill="1" applyBorder="1" applyAlignment="1">
      <alignment horizontal="center"/>
    </xf>
    <xf numFmtId="167" fontId="0" fillId="10" borderId="0" xfId="8" applyNumberFormat="1" applyFont="1" applyFill="1"/>
    <xf numFmtId="8" fontId="7" fillId="12" borderId="0" xfId="24" applyNumberFormat="1" applyFill="1" applyAlignment="1">
      <alignment horizontal="right"/>
    </xf>
    <xf numFmtId="173" fontId="0" fillId="0" borderId="7" xfId="0" applyNumberFormat="1" applyBorder="1"/>
    <xf numFmtId="8" fontId="7" fillId="0" borderId="0" xfId="1" applyNumberFormat="1" applyFont="1"/>
    <xf numFmtId="9" fontId="7" fillId="13" borderId="0" xfId="8" applyFont="1" applyFill="1"/>
    <xf numFmtId="8" fontId="33" fillId="0" borderId="0" xfId="32" applyNumberFormat="1" applyFont="1" applyFill="1"/>
    <xf numFmtId="44" fontId="0" fillId="0" borderId="0" xfId="15" applyFont="1" applyFill="1"/>
    <xf numFmtId="171" fontId="5" fillId="0" borderId="13" xfId="10" applyNumberFormat="1" applyBorder="1" applyAlignment="1">
      <alignment horizontal="center"/>
    </xf>
    <xf numFmtId="171" fontId="5" fillId="0" borderId="0" xfId="10" applyNumberFormat="1"/>
    <xf numFmtId="171" fontId="28" fillId="0" borderId="0" xfId="10" applyNumberFormat="1" applyFont="1"/>
    <xf numFmtId="17" fontId="5" fillId="0" borderId="0" xfId="10" applyNumberFormat="1"/>
    <xf numFmtId="173" fontId="5" fillId="0" borderId="0" xfId="10" applyNumberFormat="1"/>
    <xf numFmtId="171" fontId="17" fillId="0" borderId="0" xfId="10" applyNumberFormat="1" applyFont="1"/>
    <xf numFmtId="169" fontId="5" fillId="0" borderId="0" xfId="2" applyNumberFormat="1" applyFont="1" applyFill="1" applyAlignment="1"/>
    <xf numFmtId="37" fontId="5" fillId="0" borderId="0" xfId="2" applyNumberFormat="1" applyFont="1" applyFill="1" applyAlignment="1"/>
    <xf numFmtId="7" fontId="5" fillId="0" borderId="0" xfId="2" applyNumberFormat="1" applyFont="1" applyFill="1" applyAlignment="1"/>
    <xf numFmtId="10" fontId="5" fillId="0" borderId="0" xfId="8" applyNumberFormat="1" applyFont="1" applyFill="1" applyAlignment="1"/>
    <xf numFmtId="171" fontId="7" fillId="0" borderId="0" xfId="10" applyNumberFormat="1" applyFont="1"/>
    <xf numFmtId="10" fontId="5" fillId="0" borderId="0" xfId="10" applyNumberFormat="1"/>
    <xf numFmtId="174" fontId="5" fillId="0" borderId="0" xfId="8" applyNumberFormat="1" applyFont="1" applyFill="1" applyAlignment="1"/>
    <xf numFmtId="171" fontId="5" fillId="10" borderId="2" xfId="10" applyNumberFormat="1" applyFill="1" applyBorder="1"/>
    <xf numFmtId="41" fontId="5" fillId="0" borderId="8" xfId="10" applyNumberFormat="1" applyBorder="1"/>
    <xf numFmtId="41" fontId="5" fillId="0" borderId="0" xfId="10" applyNumberFormat="1"/>
    <xf numFmtId="171" fontId="5" fillId="10" borderId="10" xfId="10" applyNumberFormat="1" applyFill="1" applyBorder="1"/>
    <xf numFmtId="168" fontId="5" fillId="0" borderId="8" xfId="10" applyNumberFormat="1" applyBorder="1"/>
    <xf numFmtId="171" fontId="28" fillId="6" borderId="5" xfId="10" applyNumberFormat="1" applyFont="1" applyFill="1" applyBorder="1"/>
    <xf numFmtId="0" fontId="5" fillId="0" borderId="0" xfId="10" applyNumberFormat="1"/>
    <xf numFmtId="167" fontId="0" fillId="0" borderId="0" xfId="8" applyNumberFormat="1" applyFont="1" applyFill="1" applyAlignment="1"/>
    <xf numFmtId="185" fontId="5" fillId="0" borderId="0" xfId="8" applyNumberFormat="1" applyAlignment="1"/>
    <xf numFmtId="171" fontId="5" fillId="10" borderId="0" xfId="10" applyNumberFormat="1" applyFill="1"/>
    <xf numFmtId="41" fontId="5" fillId="0" borderId="11" xfId="10" applyNumberFormat="1" applyBorder="1"/>
    <xf numFmtId="168" fontId="5" fillId="0" borderId="11" xfId="10" applyNumberFormat="1" applyBorder="1"/>
    <xf numFmtId="171" fontId="5" fillId="0" borderId="13" xfId="10" applyNumberFormat="1" applyBorder="1"/>
    <xf numFmtId="171" fontId="35" fillId="0" borderId="0" xfId="10" applyNumberFormat="1" applyFont="1"/>
    <xf numFmtId="43" fontId="5" fillId="0" borderId="0" xfId="10" applyNumberFormat="1"/>
    <xf numFmtId="172" fontId="5" fillId="0" borderId="0" xfId="10" applyNumberFormat="1"/>
    <xf numFmtId="171" fontId="5" fillId="10" borderId="1" xfId="10" applyNumberFormat="1" applyFill="1" applyBorder="1"/>
    <xf numFmtId="41" fontId="5" fillId="0" borderId="12" xfId="10" applyNumberFormat="1" applyBorder="1"/>
    <xf numFmtId="168" fontId="5" fillId="0" borderId="12" xfId="10" applyNumberFormat="1" applyBorder="1"/>
    <xf numFmtId="171" fontId="5" fillId="0" borderId="6" xfId="10" applyNumberFormat="1" applyBorder="1"/>
    <xf numFmtId="171" fontId="5" fillId="0" borderId="5" xfId="10" applyNumberFormat="1" applyBorder="1"/>
    <xf numFmtId="167" fontId="5" fillId="0" borderId="0" xfId="8" applyNumberFormat="1" applyAlignment="1"/>
    <xf numFmtId="186" fontId="0" fillId="0" borderId="0" xfId="2" applyNumberFormat="1" applyFont="1" applyFill="1"/>
    <xf numFmtId="5" fontId="0" fillId="0" borderId="0" xfId="2" applyNumberFormat="1" applyFont="1" applyFill="1"/>
    <xf numFmtId="44" fontId="6" fillId="0" borderId="0" xfId="15" applyFont="1" applyFill="1"/>
    <xf numFmtId="171" fontId="6" fillId="0" borderId="3" xfId="5" applyFont="1" applyBorder="1" applyAlignment="1">
      <alignment horizontal="centerContinuous"/>
    </xf>
    <xf numFmtId="8" fontId="7" fillId="10" borderId="0" xfId="24" applyNumberFormat="1" applyFill="1" applyAlignment="1">
      <alignment horizontal="center" vertical="center"/>
    </xf>
    <xf numFmtId="180" fontId="0" fillId="0" borderId="0" xfId="0" applyNumberFormat="1"/>
    <xf numFmtId="171" fontId="39" fillId="0" borderId="0" xfId="0" applyFont="1"/>
    <xf numFmtId="0" fontId="1" fillId="0" borderId="0" xfId="31" applyAlignment="1">
      <alignment horizontal="right"/>
    </xf>
    <xf numFmtId="171" fontId="40" fillId="0" borderId="0" xfId="0" applyFont="1"/>
    <xf numFmtId="3" fontId="39" fillId="0" borderId="0" xfId="0" applyNumberFormat="1" applyFont="1"/>
    <xf numFmtId="0" fontId="42" fillId="0" borderId="0" xfId="0" applyNumberFormat="1" applyFont="1"/>
    <xf numFmtId="171" fontId="42" fillId="0" borderId="0" xfId="0" applyFont="1" applyAlignment="1">
      <alignment horizontal="center" wrapText="1"/>
    </xf>
    <xf numFmtId="171" fontId="40" fillId="0" borderId="0" xfId="0" applyFont="1" applyAlignment="1">
      <alignment horizontal="center" wrapText="1"/>
    </xf>
    <xf numFmtId="37" fontId="39" fillId="0" borderId="0" xfId="0" applyNumberFormat="1" applyFont="1"/>
    <xf numFmtId="164" fontId="39" fillId="0" borderId="0" xfId="0" applyNumberFormat="1" applyFont="1"/>
    <xf numFmtId="9" fontId="39" fillId="0" borderId="0" xfId="0" applyNumberFormat="1" applyFont="1"/>
    <xf numFmtId="171" fontId="39" fillId="0" borderId="0" xfId="0" applyFont="1" applyAlignment="1">
      <alignment horizontal="center"/>
    </xf>
    <xf numFmtId="171" fontId="42" fillId="0" borderId="0" xfId="0" applyFont="1"/>
    <xf numFmtId="37" fontId="42" fillId="0" borderId="0" xfId="0" applyNumberFormat="1" applyFont="1"/>
    <xf numFmtId="164" fontId="42" fillId="0" borderId="0" xfId="0" applyNumberFormat="1" applyFont="1"/>
    <xf numFmtId="9" fontId="41" fillId="0" borderId="0" xfId="0" applyNumberFormat="1" applyFont="1"/>
    <xf numFmtId="187" fontId="0" fillId="0" borderId="0" xfId="0" applyNumberFormat="1"/>
    <xf numFmtId="189" fontId="0" fillId="0" borderId="0" xfId="8" applyNumberFormat="1" applyFont="1" applyFill="1"/>
    <xf numFmtId="188" fontId="0" fillId="0" borderId="0" xfId="1" applyNumberFormat="1" applyFont="1" applyFill="1"/>
    <xf numFmtId="0" fontId="6" fillId="0" borderId="2" xfId="0" applyNumberFormat="1" applyFont="1" applyBorder="1"/>
    <xf numFmtId="0" fontId="6" fillId="0" borderId="9" xfId="0" applyNumberFormat="1" applyFont="1" applyBorder="1"/>
    <xf numFmtId="171" fontId="0" fillId="0" borderId="2" xfId="0" applyBorder="1"/>
    <xf numFmtId="171" fontId="9" fillId="0" borderId="9" xfId="0" applyFont="1" applyBorder="1" applyAlignment="1">
      <alignment horizontal="centerContinuous"/>
    </xf>
    <xf numFmtId="171" fontId="7" fillId="0" borderId="9" xfId="0" applyFont="1" applyBorder="1"/>
    <xf numFmtId="171" fontId="7" fillId="0" borderId="4" xfId="0" applyFont="1" applyBorder="1"/>
    <xf numFmtId="171" fontId="17" fillId="0" borderId="0" xfId="10" applyNumberFormat="1" applyFont="1" applyAlignment="1">
      <alignment wrapText="1"/>
    </xf>
    <xf numFmtId="171" fontId="17" fillId="0" borderId="0" xfId="10" applyNumberFormat="1" applyFont="1" applyAlignment="1">
      <alignment horizontal="center" vertical="top" wrapText="1"/>
    </xf>
    <xf numFmtId="8" fontId="7" fillId="6" borderId="0" xfId="24" applyNumberFormat="1" applyFill="1"/>
    <xf numFmtId="8" fontId="7" fillId="6" borderId="0" xfId="24" applyNumberFormat="1" applyFill="1" applyAlignment="1">
      <alignment horizontal="right"/>
    </xf>
    <xf numFmtId="171" fontId="7" fillId="6" borderId="0" xfId="24" applyFill="1"/>
    <xf numFmtId="171" fontId="43" fillId="0" borderId="0" xfId="0" applyFont="1"/>
    <xf numFmtId="8" fontId="7" fillId="0" borderId="0" xfId="24" applyNumberFormat="1" applyAlignment="1">
      <alignment horizontal="center" vertical="center"/>
    </xf>
    <xf numFmtId="9" fontId="7" fillId="0" borderId="0" xfId="8" applyFont="1" applyFill="1"/>
    <xf numFmtId="171" fontId="5" fillId="14" borderId="0" xfId="10" applyNumberFormat="1" applyFill="1"/>
    <xf numFmtId="171" fontId="5" fillId="14" borderId="0" xfId="10" applyNumberFormat="1" applyFill="1" applyAlignment="1">
      <alignment wrapText="1"/>
    </xf>
    <xf numFmtId="41" fontId="5" fillId="0" borderId="13" xfId="10" applyNumberFormat="1" applyBorder="1"/>
    <xf numFmtId="41" fontId="8" fillId="0" borderId="0" xfId="11" applyFont="1" applyAlignment="1">
      <alignment horizontal="center"/>
    </xf>
    <xf numFmtId="41" fontId="8" fillId="0" borderId="0" xfId="11" applyFont="1" applyAlignment="1">
      <alignment horizontal="centerContinuous"/>
    </xf>
    <xf numFmtId="41" fontId="11" fillId="0" borderId="0" xfId="11" applyFont="1" applyAlignment="1">
      <alignment horizontal="centerContinuous"/>
    </xf>
    <xf numFmtId="41" fontId="7" fillId="0" borderId="0" xfId="11" applyAlignment="1">
      <alignment horizontal="centerContinuous"/>
    </xf>
    <xf numFmtId="41" fontId="9" fillId="0" borderId="0" xfId="11" applyFont="1" applyAlignment="1">
      <alignment horizontal="centerContinuous"/>
    </xf>
    <xf numFmtId="41" fontId="7" fillId="0" borderId="22" xfId="11" applyBorder="1" applyAlignment="1">
      <alignment horizontal="center"/>
    </xf>
    <xf numFmtId="41" fontId="7" fillId="0" borderId="2" xfId="11" applyBorder="1" applyAlignment="1">
      <alignment horizontal="center"/>
    </xf>
    <xf numFmtId="41" fontId="7" fillId="0" borderId="8" xfId="11" applyBorder="1" applyAlignment="1">
      <alignment horizontal="center" wrapText="1"/>
    </xf>
    <xf numFmtId="41" fontId="7" fillId="0" borderId="0" xfId="11" applyAlignment="1">
      <alignment wrapText="1"/>
    </xf>
    <xf numFmtId="41" fontId="7" fillId="0" borderId="0" xfId="11" applyAlignment="1">
      <alignment horizontal="center"/>
    </xf>
    <xf numFmtId="17" fontId="0" fillId="0" borderId="10" xfId="11" applyNumberFormat="1" applyFont="1" applyBorder="1" applyAlignment="1">
      <alignment horizontal="center" wrapText="1"/>
    </xf>
    <xf numFmtId="17" fontId="0" fillId="0" borderId="0" xfId="11" applyNumberFormat="1" applyFont="1" applyAlignment="1">
      <alignment horizontal="center" wrapText="1"/>
    </xf>
    <xf numFmtId="17" fontId="0" fillId="0" borderId="11" xfId="11" applyNumberFormat="1" applyFont="1" applyBorder="1" applyAlignment="1">
      <alignment horizontal="center" wrapText="1"/>
    </xf>
    <xf numFmtId="9" fontId="7" fillId="0" borderId="10" xfId="8" applyFont="1" applyFill="1" applyBorder="1" applyAlignment="1">
      <alignment horizontal="center"/>
    </xf>
    <xf numFmtId="9" fontId="7" fillId="0" borderId="0" xfId="8" applyFont="1" applyFill="1" applyBorder="1" applyAlignment="1">
      <alignment horizontal="center"/>
    </xf>
    <xf numFmtId="9" fontId="7" fillId="0" borderId="11" xfId="8" applyFont="1" applyFill="1" applyBorder="1" applyAlignment="1">
      <alignment horizontal="center"/>
    </xf>
    <xf numFmtId="0" fontId="7" fillId="0" borderId="23" xfId="7" applyBorder="1" applyAlignment="1">
      <alignment horizontal="center"/>
    </xf>
    <xf numFmtId="0" fontId="7" fillId="0" borderId="1" xfId="7" applyBorder="1" applyAlignment="1">
      <alignment horizontal="center"/>
    </xf>
    <xf numFmtId="0" fontId="0" fillId="0" borderId="12" xfId="7" applyFont="1" applyBorder="1" applyAlignment="1">
      <alignment horizontal="center"/>
    </xf>
    <xf numFmtId="41" fontId="7" fillId="0" borderId="23" xfId="11" applyBorder="1" applyAlignment="1">
      <alignment horizontal="center" wrapText="1"/>
    </xf>
    <xf numFmtId="41" fontId="7" fillId="0" borderId="1" xfId="11" applyBorder="1" applyAlignment="1">
      <alignment horizontal="center" wrapText="1"/>
    </xf>
    <xf numFmtId="41" fontId="7" fillId="0" borderId="12" xfId="11" applyBorder="1" applyAlignment="1">
      <alignment horizontal="center" wrapText="1"/>
    </xf>
    <xf numFmtId="0" fontId="7" fillId="0" borderId="22" xfId="11" applyNumberFormat="1" applyBorder="1" applyAlignment="1">
      <alignment horizontal="center"/>
    </xf>
    <xf numFmtId="8" fontId="7" fillId="0" borderId="22" xfId="11" applyNumberFormat="1" applyBorder="1" applyAlignment="1">
      <alignment horizontal="center"/>
    </xf>
    <xf numFmtId="8" fontId="7" fillId="0" borderId="2" xfId="11" applyNumberFormat="1" applyBorder="1" applyAlignment="1">
      <alignment horizontal="center"/>
    </xf>
    <xf numFmtId="8" fontId="7" fillId="0" borderId="8" xfId="11" applyNumberFormat="1" applyBorder="1" applyAlignment="1">
      <alignment horizontal="center"/>
    </xf>
    <xf numFmtId="8" fontId="7" fillId="0" borderId="0" xfId="11" applyNumberFormat="1" applyAlignment="1">
      <alignment horizontal="center"/>
    </xf>
    <xf numFmtId="0" fontId="7" fillId="0" borderId="10" xfId="11" applyNumberFormat="1" applyBorder="1" applyAlignment="1">
      <alignment horizontal="center"/>
    </xf>
    <xf numFmtId="8" fontId="7" fillId="0" borderId="10" xfId="11" applyNumberFormat="1" applyBorder="1" applyAlignment="1">
      <alignment horizontal="center"/>
    </xf>
    <xf numFmtId="8" fontId="7" fillId="0" borderId="11" xfId="11" applyNumberFormat="1" applyBorder="1" applyAlignment="1">
      <alignment horizontal="center"/>
    </xf>
    <xf numFmtId="0" fontId="7" fillId="0" borderId="23" xfId="11" applyNumberFormat="1" applyBorder="1" applyAlignment="1">
      <alignment horizontal="center"/>
    </xf>
    <xf numFmtId="8" fontId="7" fillId="0" borderId="23" xfId="11" applyNumberFormat="1" applyBorder="1" applyAlignment="1">
      <alignment horizontal="center"/>
    </xf>
    <xf numFmtId="8" fontId="7" fillId="0" borderId="1" xfId="11" applyNumberFormat="1" applyBorder="1" applyAlignment="1">
      <alignment horizontal="center"/>
    </xf>
    <xf numFmtId="8" fontId="7" fillId="0" borderId="12" xfId="11" applyNumberFormat="1" applyBorder="1" applyAlignment="1">
      <alignment horizontal="center"/>
    </xf>
    <xf numFmtId="41" fontId="7" fillId="0" borderId="5" xfId="11" applyBorder="1"/>
    <xf numFmtId="41" fontId="7" fillId="0" borderId="2" xfId="11" applyBorder="1"/>
    <xf numFmtId="41" fontId="7" fillId="0" borderId="8" xfId="11" applyBorder="1"/>
    <xf numFmtId="0" fontId="0" fillId="0" borderId="13" xfId="11" applyNumberFormat="1" applyFont="1" applyBorder="1" applyAlignment="1">
      <alignment horizontal="left"/>
    </xf>
    <xf numFmtId="41" fontId="7" fillId="0" borderId="11" xfId="11" applyBorder="1"/>
    <xf numFmtId="41" fontId="7" fillId="0" borderId="10" xfId="11" applyBorder="1" applyAlignment="1">
      <alignment horizontal="left" indent="1"/>
    </xf>
    <xf numFmtId="8" fontId="7" fillId="0" borderId="0" xfId="11" applyNumberFormat="1"/>
    <xf numFmtId="10" fontId="7" fillId="0" borderId="10" xfId="8" applyNumberFormat="1" applyFont="1" applyFill="1" applyBorder="1" applyAlignment="1">
      <alignment horizontal="left" indent="1"/>
    </xf>
    <xf numFmtId="167" fontId="7" fillId="0" borderId="0" xfId="8" applyNumberFormat="1" applyFont="1" applyFill="1" applyBorder="1" applyAlignment="1">
      <alignment horizontal="center"/>
    </xf>
    <xf numFmtId="167" fontId="7" fillId="0" borderId="11" xfId="8" applyNumberFormat="1" applyFont="1" applyFill="1" applyBorder="1" applyAlignment="1">
      <alignment horizontal="center"/>
    </xf>
    <xf numFmtId="41" fontId="7" fillId="0" borderId="0" xfId="11" applyAlignment="1">
      <alignment horizontal="left" indent="1"/>
    </xf>
    <xf numFmtId="10" fontId="7" fillId="0" borderId="0" xfId="8" applyNumberFormat="1" applyFont="1" applyFill="1" applyAlignment="1">
      <alignment horizontal="left" indent="1"/>
    </xf>
    <xf numFmtId="39" fontId="7" fillId="0" borderId="0" xfId="34" quotePrefix="1" applyNumberFormat="1" applyFont="1" applyAlignment="1">
      <alignment horizontal="center"/>
    </xf>
    <xf numFmtId="39" fontId="7" fillId="0" borderId="0" xfId="11" applyNumberFormat="1" applyAlignment="1">
      <alignment horizontal="center"/>
    </xf>
    <xf numFmtId="43" fontId="7" fillId="0" borderId="0" xfId="1" applyFont="1" applyFill="1"/>
    <xf numFmtId="17" fontId="0" fillId="0" borderId="10" xfId="11" applyNumberFormat="1" applyFont="1" applyBorder="1" applyAlignment="1">
      <alignment horizontal="center"/>
    </xf>
    <xf numFmtId="17" fontId="0" fillId="0" borderId="0" xfId="11" applyNumberFormat="1" applyFont="1" applyAlignment="1">
      <alignment horizontal="center"/>
    </xf>
    <xf numFmtId="17" fontId="0" fillId="0" borderId="11" xfId="11" applyNumberFormat="1" applyFont="1" applyBorder="1" applyAlignment="1">
      <alignment horizontal="center"/>
    </xf>
    <xf numFmtId="41" fontId="8" fillId="0" borderId="0" xfId="11" applyFont="1" applyAlignment="1">
      <alignment horizontal="center"/>
    </xf>
    <xf numFmtId="8" fontId="0" fillId="0" borderId="3" xfId="11" applyNumberFormat="1" applyFont="1" applyBorder="1" applyAlignment="1">
      <alignment horizontal="center" vertical="center" wrapText="1"/>
    </xf>
    <xf numFmtId="8" fontId="0" fillId="0" borderId="9" xfId="11" applyNumberFormat="1" applyFont="1" applyBorder="1" applyAlignment="1">
      <alignment horizontal="center" vertical="center" wrapText="1"/>
    </xf>
    <xf numFmtId="8" fontId="0" fillId="0" borderId="4" xfId="11" applyNumberFormat="1" applyFont="1" applyBorder="1" applyAlignment="1">
      <alignment horizontal="center" vertical="center" wrapText="1"/>
    </xf>
    <xf numFmtId="171" fontId="7" fillId="0" borderId="0" xfId="0" applyFont="1" applyAlignment="1">
      <alignment horizontal="center" vertical="top"/>
    </xf>
    <xf numFmtId="171" fontId="7" fillId="0" borderId="0" xfId="0" applyFont="1" applyAlignment="1">
      <alignment horizontal="center"/>
    </xf>
    <xf numFmtId="171" fontId="7" fillId="0" borderId="0" xfId="0" applyFont="1" applyAlignment="1">
      <alignment horizontal="center" wrapText="1"/>
    </xf>
    <xf numFmtId="171" fontId="0" fillId="0" borderId="0" xfId="0"/>
  </cellXfs>
  <cellStyles count="35">
    <cellStyle name="Comma" xfId="1" builtinId="3"/>
    <cellStyle name="Comma 2" xfId="14" xr:uid="{00000000-0005-0000-0000-000001000000}"/>
    <cellStyle name="Comma 3" xfId="27" xr:uid="{00000000-0005-0000-0000-000002000000}"/>
    <cellStyle name="Comma 4" xfId="32" xr:uid="{A3FB4B8C-4A53-4BFE-AEEA-210CBD17E4BA}"/>
    <cellStyle name="Currency" xfId="2" builtinId="4"/>
    <cellStyle name="Currency 2" xfId="15" xr:uid="{00000000-0005-0000-0000-000004000000}"/>
    <cellStyle name="Currency No Comma" xfId="16" xr:uid="{00000000-0005-0000-0000-000005000000}"/>
    <cellStyle name="Hyperlink" xfId="26" builtinId="8"/>
    <cellStyle name="Input" xfId="3" builtinId="20" customBuiltin="1"/>
    <cellStyle name="MCP" xfId="17" xr:uid="{00000000-0005-0000-0000-000008000000}"/>
    <cellStyle name="noninput" xfId="18" xr:uid="{00000000-0005-0000-0000-000009000000}"/>
    <cellStyle name="Normal" xfId="0" builtinId="0" customBuiltin="1"/>
    <cellStyle name="Normal 176" xfId="28" xr:uid="{00000000-0005-0000-0000-00000B000000}"/>
    <cellStyle name="Normal 2" xfId="9" xr:uid="{00000000-0005-0000-0000-00000C000000}"/>
    <cellStyle name="Normal 2 2" xfId="13" xr:uid="{00000000-0005-0000-0000-00000D000000}"/>
    <cellStyle name="Normal 3" xfId="10" xr:uid="{00000000-0005-0000-0000-00000E000000}"/>
    <cellStyle name="Normal 3 2" xfId="25" xr:uid="{00000000-0005-0000-0000-00000F000000}"/>
    <cellStyle name="Normal 4" xfId="29" xr:uid="{BA8DBA90-AAD7-4CA6-94F8-314B62EFEC5D}"/>
    <cellStyle name="Normal 5" xfId="12" xr:uid="{00000000-0005-0000-0000-000010000000}"/>
    <cellStyle name="Normal 6" xfId="31" xr:uid="{06ADD81D-AA05-4A1B-9F3A-93B5216B4484}"/>
    <cellStyle name="Normal_Book1" xfId="33" xr:uid="{2540E772-5D45-47B6-93DD-2DC530777622}"/>
    <cellStyle name="Normal_DRR AC Study - Utah Valley - 53 MW 90 CF (2.28.2005)" xfId="4" xr:uid="{00000000-0005-0000-0000-000011000000}"/>
    <cellStyle name="Normal_Exhibit GND-1 - 5.24.2005" xfId="34" xr:uid="{72A56B21-4B3F-4BAE-A12C-40D4B96BF1EF}"/>
    <cellStyle name="Normal_OR AC Sch 37 - AC  Study (Gold) _2009 06 19" xfId="5" xr:uid="{00000000-0005-0000-0000-000013000000}"/>
    <cellStyle name="Normal_T-INF-10-15-04-TEMPLATE" xfId="6" xr:uid="{00000000-0005-0000-0000-000014000000}"/>
    <cellStyle name="Normal_UT 2008.Q2 - Compliance - Appendix B - AC Study_2008 08 05" xfId="11" xr:uid="{00000000-0005-0000-0000-000015000000}"/>
    <cellStyle name="Normal_UT AC 2004 - AC Study (As Ordered by Commission)" xfId="7" xr:uid="{00000000-0005-0000-0000-000016000000}"/>
    <cellStyle name="Normal_WY AC 2009 - AC Study (Wind Study)_2009 08 11" xfId="24" xr:uid="{00000000-0005-0000-0000-000017000000}"/>
    <cellStyle name="Password" xfId="19" xr:uid="{00000000-0005-0000-0000-000018000000}"/>
    <cellStyle name="Percent" xfId="8" builtinId="5"/>
    <cellStyle name="Percent 2" xfId="23" xr:uid="{00000000-0005-0000-0000-00001A000000}"/>
    <cellStyle name="Percent 3" xfId="30" xr:uid="{2FD40A0F-9507-4F56-B751-0CD871CA965A}"/>
    <cellStyle name="Unprot" xfId="20" xr:uid="{00000000-0005-0000-0000-00001B000000}"/>
    <cellStyle name="Unprot$" xfId="21" xr:uid="{00000000-0005-0000-0000-00001C000000}"/>
    <cellStyle name="Unprotect" xfId="22" xr:uid="{00000000-0005-0000-0000-00001D000000}"/>
  </cellStyles>
  <dxfs count="4">
    <dxf>
      <border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border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/>
        <condense val="0"/>
        <extend val="0"/>
      </font>
      <fill>
        <patternFill>
          <bgColor indexed="42"/>
        </patternFill>
      </fill>
    </dxf>
    <dxf>
      <numFmt numFmtId="190" formatCode="&quot;$&quot;#,##0.00_)&quot;x&quot;"/>
    </dxf>
  </dxfs>
  <tableStyles count="0" defaultTableStyle="TableStyleMedium9" defaultPivotStyle="PivotStyleLight16"/>
  <colors>
    <mruColors>
      <color rgb="FFFFFFCC"/>
      <color rgb="FFCCE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voided%20Cost%20-%202026\18%20-%20UTSch38_2026Q1%20Aug%202026\Filing%20Package\4_Appendix%20B.1_UTSch38_2026Q2_TH_AC%20Study%20NON-CONF.xlsx" TargetMode="External"/><Relationship Id="rId1" Type="http://schemas.openxmlformats.org/officeDocument/2006/relationships/externalLinkPath" Target="file:///Z:\Avoided%20Cost%20-%202026\18%20-%20UTSch38_2026Q1%20Aug%202026\Filing%20Package\4_Appendix%20B.1_UTSch38_2026Q2_TH_AC%20Study%20NON-CONF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voided%20Cost%20-%202026\18%20-%20UTSch38_2026Q1%20Aug%202026\Filing%20Package\4_Appendix%20B.2_UTSch38_2026Q2_PV_AC%20Study%20NON-CONF.xlsx" TargetMode="External"/><Relationship Id="rId1" Type="http://schemas.openxmlformats.org/officeDocument/2006/relationships/externalLinkPath" Target="file:///Z:\Avoided%20Cost%20-%202026\18%20-%20UTSch38_2026Q1%20Aug%202026\Filing%20Package\4_Appendix%20B.2_UTSch38_2026Q2_PV_AC%20Study%20NON-CON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voided%20Cost%20-%202026\11%20-%20UTSch38_2026Q1%20Jun%202026\Filing%20Package\4_Appendix%20B.1_UTSch38_2026Q1_TH_AC%20Study%20NON-CONF%20Routine%20Update.xlsx" TargetMode="External"/><Relationship Id="rId1" Type="http://schemas.openxmlformats.org/officeDocument/2006/relationships/externalLinkPath" Target="file:///Z:\Avoided%20Cost%20-%202026\11%20-%20UTSch38_2026Q1%20Jun%202026\Filing%20Package\4_Appendix%20B.1_UTSch38_2026Q1_TH_AC%20Study%20NON-CONF%20Routine%20Update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Avoided%20Cost%20-%202026\11%20-%20UTSch38_2026Q1%20Jun%202026\Filing%20Package\4_Appendix%20B.2_UTSch38_2026Q1_PV_AC%20Study%20NON-CONF%20Routine%20Update.xlsx" TargetMode="External"/><Relationship Id="rId1" Type="http://schemas.openxmlformats.org/officeDocument/2006/relationships/externalLinkPath" Target="file:///Z:\Avoided%20Cost%20-%202026\11%20-%20UTSch38_2026Q1%20Jun%202026\Filing%20Package\4_Appendix%20B.2_UTSch38_2026Q1_PV_AC%20Study%20NON-CONF%20Routine%20Update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Avoided%20Cost%20-%202026\11%20-%20UTSch38_2026Q1%20Jun%202026\Filing%20Package\4_Appendix%20B.3_UTSch38_2026Q1_Wind_AC%20Study%20NON-CONF%20Routine%20Update.xlsx" TargetMode="External"/><Relationship Id="rId1" Type="http://schemas.openxmlformats.org/officeDocument/2006/relationships/externalLinkPath" Target="file:///Z:\Avoided%20Cost%20-%202026\11%20-%20UTSch38_2026Q1%20Jun%202026\Filing%20Package\4_Appendix%20B.3_UTSch38_2026Q1_Wind_AC%20Study%20NON-CONF%20Routine%20Up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1"/>
      <sheetName val="Table 1"/>
      <sheetName val="Table 2"/>
      <sheetName val="Table 4"/>
      <sheetName val="Table 5"/>
      <sheetName val="Table3Compare"/>
      <sheetName val="BAT.PX.BDG._.ITC._4hr.2031"/>
      <sheetName val="GCC.PX.UTS.2035"/>
      <sheetName val="GCC.PX.UTS.2036"/>
      <sheetName val="GCC.PX.UTS.2038"/>
      <sheetName val="GSC.PX.BDG.2038"/>
      <sheetName val="2025 IRPUpdt Assumptions"/>
      <sheetName val="Compare Table"/>
      <sheetName val="Compare Chart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E13">
            <v>17.277833445233295</v>
          </cell>
          <cell r="G13">
            <v>17.277833445233295</v>
          </cell>
        </row>
        <row r="14">
          <cell r="B14">
            <v>2027</v>
          </cell>
          <cell r="C14">
            <v>0</v>
          </cell>
          <cell r="E14">
            <v>25.205730445574819</v>
          </cell>
          <cell r="G14">
            <v>25.205730445574819</v>
          </cell>
        </row>
        <row r="15">
          <cell r="B15">
            <v>2028</v>
          </cell>
          <cell r="C15">
            <v>0</v>
          </cell>
          <cell r="E15">
            <v>29.543890974194653</v>
          </cell>
          <cell r="G15">
            <v>29.543890974194653</v>
          </cell>
        </row>
        <row r="16">
          <cell r="B16">
            <v>2029</v>
          </cell>
          <cell r="C16">
            <v>0</v>
          </cell>
          <cell r="E16">
            <v>32.86436837515059</v>
          </cell>
          <cell r="G16">
            <v>32.86436837515059</v>
          </cell>
        </row>
        <row r="17">
          <cell r="B17">
            <v>2030</v>
          </cell>
          <cell r="C17">
            <v>0</v>
          </cell>
          <cell r="E17">
            <v>46.309796519548655</v>
          </cell>
          <cell r="G17">
            <v>46.309796519548655</v>
          </cell>
        </row>
        <row r="18">
          <cell r="B18">
            <v>2031</v>
          </cell>
          <cell r="C18">
            <v>0</v>
          </cell>
          <cell r="E18">
            <v>60.683246538511938</v>
          </cell>
          <cell r="G18">
            <v>60.683246538511938</v>
          </cell>
        </row>
        <row r="19">
          <cell r="B19">
            <v>2032</v>
          </cell>
          <cell r="C19">
            <v>0</v>
          </cell>
          <cell r="E19">
            <v>61.580683286495585</v>
          </cell>
          <cell r="G19">
            <v>61.580683286495585</v>
          </cell>
        </row>
        <row r="20">
          <cell r="B20">
            <v>2033</v>
          </cell>
          <cell r="C20">
            <v>0</v>
          </cell>
          <cell r="E20">
            <v>62.420910792332421</v>
          </cell>
          <cell r="G20">
            <v>62.420910792332421</v>
          </cell>
        </row>
        <row r="21">
          <cell r="B21">
            <v>2034</v>
          </cell>
          <cell r="C21">
            <v>0</v>
          </cell>
          <cell r="E21">
            <v>64.006477230810987</v>
          </cell>
          <cell r="G21">
            <v>64.006477230810987</v>
          </cell>
        </row>
        <row r="22">
          <cell r="B22">
            <v>2035</v>
          </cell>
          <cell r="C22">
            <v>0</v>
          </cell>
          <cell r="E22">
            <v>65.450039411695755</v>
          </cell>
          <cell r="G22">
            <v>65.450039411695755</v>
          </cell>
        </row>
        <row r="23">
          <cell r="B23">
            <v>2036</v>
          </cell>
          <cell r="C23">
            <v>224.35897435897436</v>
          </cell>
          <cell r="E23">
            <v>42.262936322862885</v>
          </cell>
          <cell r="G23">
            <v>67.804713913820805</v>
          </cell>
        </row>
        <row r="24">
          <cell r="B24">
            <v>2037</v>
          </cell>
          <cell r="C24">
            <v>229.33333333333331</v>
          </cell>
          <cell r="E24">
            <v>43.615567695962994</v>
          </cell>
          <cell r="G24">
            <v>69.795171957759038</v>
          </cell>
        </row>
        <row r="25">
          <cell r="B25">
            <v>2038</v>
          </cell>
          <cell r="C25">
            <v>234.43076923076922</v>
          </cell>
          <cell r="E25">
            <v>44.480743523825595</v>
          </cell>
          <cell r="G25">
            <v>71.242246860671415</v>
          </cell>
        </row>
        <row r="26">
          <cell r="B26">
            <v>2039</v>
          </cell>
          <cell r="C26">
            <v>239.63076923076923</v>
          </cell>
          <cell r="E26">
            <v>45.676437906065281</v>
          </cell>
          <cell r="G26">
            <v>73.031548548847155</v>
          </cell>
        </row>
        <row r="27">
          <cell r="B27">
            <v>2040</v>
          </cell>
          <cell r="C27">
            <v>244.95384615384617</v>
          </cell>
          <cell r="E27">
            <v>47.180571140952303</v>
          </cell>
          <cell r="G27">
            <v>75.066937961745339</v>
          </cell>
        </row>
        <row r="28">
          <cell r="B28">
            <v>2041</v>
          </cell>
          <cell r="C28">
            <v>250.3897435897436</v>
          </cell>
          <cell r="E28">
            <v>48.587820794507671</v>
          </cell>
          <cell r="G28">
            <v>77.171124857263806</v>
          </cell>
        </row>
        <row r="29">
          <cell r="B29">
            <v>2042</v>
          </cell>
          <cell r="C29">
            <v>255.94871794871796</v>
          </cell>
          <cell r="E29">
            <v>50.507847983592278</v>
          </cell>
          <cell r="G29">
            <v>79.72573816038657</v>
          </cell>
        </row>
        <row r="30">
          <cell r="B30">
            <v>2043</v>
          </cell>
          <cell r="C30">
            <v>261.63076923076926</v>
          </cell>
          <cell r="E30">
            <v>52.960314447684063</v>
          </cell>
          <cell r="G30">
            <v>82.82684061558011</v>
          </cell>
        </row>
        <row r="31">
          <cell r="B31">
            <v>2044</v>
          </cell>
          <cell r="C31">
            <v>267.43589743589746</v>
          </cell>
          <cell r="E31">
            <v>55.176451816307129</v>
          </cell>
          <cell r="G31">
            <v>85.622250704728984</v>
          </cell>
        </row>
        <row r="32">
          <cell r="B32">
            <v>2045</v>
          </cell>
          <cell r="C32">
            <v>273.37435897435904</v>
          </cell>
          <cell r="E32">
            <v>57.758711871997484</v>
          </cell>
          <cell r="G32">
            <v>88.965830476376382</v>
          </cell>
        </row>
        <row r="33">
          <cell r="B33">
            <v>2046</v>
          </cell>
          <cell r="C33">
            <v>279.44615384615383</v>
          </cell>
          <cell r="E33">
            <v>59.040955275555845</v>
          </cell>
          <cell r="G33">
            <v>90.941201148404446</v>
          </cell>
        </row>
        <row r="34">
          <cell r="B34">
            <v>2047</v>
          </cell>
          <cell r="C34">
            <v>285.65128205128207</v>
          </cell>
          <cell r="E34">
            <v>60.351664482673165</v>
          </cell>
          <cell r="G34">
            <v>92.960258324143737</v>
          </cell>
        </row>
        <row r="35">
          <cell r="B35">
            <v>2048</v>
          </cell>
          <cell r="C35">
            <v>291.98974358974357</v>
          </cell>
          <cell r="E35">
            <v>61.701453724032675</v>
          </cell>
          <cell r="G35">
            <v>94.942544752008942</v>
          </cell>
        </row>
        <row r="36">
          <cell r="B36">
            <v>2049</v>
          </cell>
          <cell r="C36">
            <v>298.47179487179488</v>
          </cell>
          <cell r="E36">
            <v>63.061022100027508</v>
          </cell>
          <cell r="G36">
            <v>97.133144802287205</v>
          </cell>
        </row>
        <row r="37">
          <cell r="B37">
            <v>2050</v>
          </cell>
          <cell r="C37">
            <v>305.09743589743596</v>
          </cell>
          <cell r="E37">
            <v>64.460976790648118</v>
          </cell>
          <cell r="G37">
            <v>99.289451208163626</v>
          </cell>
        </row>
        <row r="38">
          <cell r="B38">
            <v>2051</v>
          </cell>
          <cell r="C38">
            <v>311.87692307692311</v>
          </cell>
          <cell r="E38">
            <v>65.892010475400497</v>
          </cell>
          <cell r="G38">
            <v>101.49439895450132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2"/>
      <sheetName val="Table 1"/>
      <sheetName val="Table 2"/>
      <sheetName val="Table 4"/>
      <sheetName val="Table 5"/>
      <sheetName val="Table3Compare"/>
      <sheetName val="BAT.PX.BDG._.ITC._4hr.2031"/>
      <sheetName val="GCC.PX.UTS.2035"/>
      <sheetName val="GCC.PX.UTS.2036"/>
      <sheetName val="GCC.PX.UTS.2038"/>
      <sheetName val="GSC.PX.BDG.2038"/>
      <sheetName val="2025 IRPUpdt Assumptions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E13">
            <v>11.582874648382386</v>
          </cell>
          <cell r="G13">
            <v>11.582874648382386</v>
          </cell>
        </row>
        <row r="14">
          <cell r="B14">
            <v>2027</v>
          </cell>
          <cell r="C14">
            <v>0</v>
          </cell>
          <cell r="E14">
            <v>16.36926269126732</v>
          </cell>
          <cell r="G14">
            <v>16.36926269126732</v>
          </cell>
        </row>
        <row r="15">
          <cell r="B15">
            <v>2028</v>
          </cell>
          <cell r="C15">
            <v>0</v>
          </cell>
          <cell r="E15">
            <v>20.612135170111806</v>
          </cell>
          <cell r="G15">
            <v>20.612135170111806</v>
          </cell>
        </row>
        <row r="16">
          <cell r="B16">
            <v>2029</v>
          </cell>
          <cell r="C16">
            <v>0</v>
          </cell>
          <cell r="E16">
            <v>21.245571651740484</v>
          </cell>
          <cell r="G16">
            <v>21.245571651740484</v>
          </cell>
        </row>
        <row r="17">
          <cell r="B17">
            <v>2030</v>
          </cell>
          <cell r="C17">
            <v>0</v>
          </cell>
          <cell r="E17">
            <v>31.231663524724098</v>
          </cell>
          <cell r="G17">
            <v>31.231663524724098</v>
          </cell>
        </row>
        <row r="18">
          <cell r="B18">
            <v>2031</v>
          </cell>
          <cell r="C18">
            <v>0</v>
          </cell>
          <cell r="E18">
            <v>41.329738780316042</v>
          </cell>
          <cell r="G18">
            <v>41.329738780316042</v>
          </cell>
        </row>
        <row r="19">
          <cell r="B19">
            <v>2032</v>
          </cell>
          <cell r="C19">
            <v>0</v>
          </cell>
          <cell r="E19">
            <v>42.47303142583764</v>
          </cell>
          <cell r="G19">
            <v>42.47303142583764</v>
          </cell>
        </row>
        <row r="20">
          <cell r="B20">
            <v>2033</v>
          </cell>
          <cell r="C20">
            <v>0</v>
          </cell>
          <cell r="E20">
            <v>40.888477047134181</v>
          </cell>
          <cell r="G20">
            <v>40.888477047134181</v>
          </cell>
        </row>
        <row r="21">
          <cell r="B21">
            <v>2034</v>
          </cell>
          <cell r="C21">
            <v>0</v>
          </cell>
          <cell r="E21">
            <v>41.169946876485263</v>
          </cell>
          <cell r="G21">
            <v>41.169946876485263</v>
          </cell>
        </row>
        <row r="22">
          <cell r="B22">
            <v>2035</v>
          </cell>
          <cell r="C22">
            <v>0</v>
          </cell>
          <cell r="E22">
            <v>42.537942028150617</v>
          </cell>
          <cell r="G22">
            <v>42.537942028150617</v>
          </cell>
        </row>
        <row r="23">
          <cell r="B23">
            <v>2036</v>
          </cell>
          <cell r="C23">
            <v>23.046130084362943</v>
          </cell>
          <cell r="E23">
            <v>33.837268637497459</v>
          </cell>
          <cell r="G23">
            <v>42.992610523183892</v>
          </cell>
        </row>
        <row r="24">
          <cell r="B24">
            <v>2037</v>
          </cell>
          <cell r="C24">
            <v>23.557095711376245</v>
          </cell>
          <cell r="E24">
            <v>36.825529274602509</v>
          </cell>
          <cell r="G24">
            <v>46.230982936706845</v>
          </cell>
        </row>
        <row r="25">
          <cell r="B25">
            <v>2038</v>
          </cell>
          <cell r="C25">
            <v>24.080703786892972</v>
          </cell>
          <cell r="E25">
            <v>37.254468953688963</v>
          </cell>
          <cell r="G25">
            <v>46.925519803191101</v>
          </cell>
        </row>
        <row r="26">
          <cell r="B26">
            <v>2039</v>
          </cell>
          <cell r="C26">
            <v>24.61484723616255</v>
          </cell>
          <cell r="E26">
            <v>37.376644022170304</v>
          </cell>
          <cell r="G26">
            <v>47.31062582630657</v>
          </cell>
        </row>
        <row r="27">
          <cell r="B27">
            <v>2040</v>
          </cell>
          <cell r="C27">
            <v>25.161633133935553</v>
          </cell>
          <cell r="E27">
            <v>37.788983700089041</v>
          </cell>
          <cell r="G27">
            <v>47.970707519120332</v>
          </cell>
        </row>
        <row r="28">
          <cell r="B28">
            <v>2041</v>
          </cell>
          <cell r="C28">
            <v>25.720007942836684</v>
          </cell>
          <cell r="E28">
            <v>38.977761937376286</v>
          </cell>
          <cell r="G28">
            <v>49.460112688437718</v>
          </cell>
        </row>
        <row r="29">
          <cell r="B29">
            <v>2042</v>
          </cell>
          <cell r="C29">
            <v>26.291025200241243</v>
          </cell>
          <cell r="E29">
            <v>41.705842931403154</v>
          </cell>
          <cell r="G29">
            <v>52.468035334514937</v>
          </cell>
        </row>
        <row r="30">
          <cell r="B30">
            <v>2043</v>
          </cell>
          <cell r="C30">
            <v>26.874684906149223</v>
          </cell>
          <cell r="E30">
            <v>44.777309739746009</v>
          </cell>
          <cell r="G30">
            <v>55.834495073924586</v>
          </cell>
        </row>
        <row r="31">
          <cell r="B31">
            <v>2044</v>
          </cell>
          <cell r="C31">
            <v>27.470987060560628</v>
          </cell>
          <cell r="E31">
            <v>46.191100118550963</v>
          </cell>
          <cell r="G31">
            <v>57.547049880194514</v>
          </cell>
        </row>
        <row r="32">
          <cell r="B32">
            <v>2045</v>
          </cell>
          <cell r="C32">
            <v>28.080985200850741</v>
          </cell>
          <cell r="E32">
            <v>48.160495674578698</v>
          </cell>
          <cell r="G32">
            <v>59.767130376258791</v>
          </cell>
        </row>
        <row r="33">
          <cell r="B33">
            <v>2046</v>
          </cell>
          <cell r="C33">
            <v>28.704679327019551</v>
          </cell>
          <cell r="E33">
            <v>49.229658678554351</v>
          </cell>
          <cell r="G33">
            <v>61.153703344066052</v>
          </cell>
        </row>
        <row r="34">
          <cell r="B34">
            <v>2047</v>
          </cell>
          <cell r="C34">
            <v>29.342069439067075</v>
          </cell>
          <cell r="E34">
            <v>50.322557101218258</v>
          </cell>
          <cell r="G34">
            <v>62.572626651021359</v>
          </cell>
        </row>
        <row r="35">
          <cell r="B35">
            <v>2048</v>
          </cell>
          <cell r="C35">
            <v>29.99315553699331</v>
          </cell>
          <cell r="E35">
            <v>51.446216684397911</v>
          </cell>
          <cell r="G35">
            <v>64.003051669924076</v>
          </cell>
        </row>
        <row r="36">
          <cell r="B36">
            <v>2049</v>
          </cell>
          <cell r="C36">
            <v>30.658991158173528</v>
          </cell>
          <cell r="E36">
            <v>52.581679605554115</v>
          </cell>
          <cell r="G36">
            <v>65.51051816680669</v>
          </cell>
        </row>
        <row r="37">
          <cell r="B37">
            <v>2050</v>
          </cell>
          <cell r="C37">
            <v>31.339576302607746</v>
          </cell>
          <cell r="E37">
            <v>53.748992892797425</v>
          </cell>
          <cell r="G37">
            <v>67.031244178143453</v>
          </cell>
        </row>
        <row r="38">
          <cell r="B38">
            <v>2051</v>
          </cell>
          <cell r="C38">
            <v>32.035964507671238</v>
          </cell>
          <cell r="E38">
            <v>54.942220535017519</v>
          </cell>
          <cell r="G38">
            <v>68.587841218689405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1"/>
      <sheetName val="Table 1"/>
      <sheetName val="Table 2"/>
      <sheetName val="Table 4"/>
      <sheetName val="Table 5"/>
      <sheetName val="Table3Compare"/>
      <sheetName val="BAT.PX.BDG._.ITC._4hr.2031"/>
      <sheetName val="Table 3 GCC.PX.UTS.2035"/>
      <sheetName val="Do not print"/>
      <sheetName val="Compare Table"/>
      <sheetName val="Compare Chart"/>
      <sheetName val="GCC.PX.UTS.2036"/>
      <sheetName val="GCC.PX.UTS.2038"/>
      <sheetName val="GSC.PX.BDG.2038"/>
      <sheetName val="2025 IRPUpdt Assumptions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D13"/>
          <cell r="E13">
            <v>18.274099883118673</v>
          </cell>
          <cell r="F13"/>
          <cell r="G13">
            <v>18.274099883118673</v>
          </cell>
        </row>
        <row r="14">
          <cell r="B14">
            <v>2027</v>
          </cell>
          <cell r="C14">
            <v>0</v>
          </cell>
          <cell r="D14"/>
          <cell r="E14">
            <v>26.664403273498795</v>
          </cell>
          <cell r="F14"/>
          <cell r="G14">
            <v>26.664403273498795</v>
          </cell>
        </row>
        <row r="15">
          <cell r="B15">
            <v>2028</v>
          </cell>
          <cell r="C15">
            <v>0</v>
          </cell>
          <cell r="D15"/>
          <cell r="E15">
            <v>29.698666426615272</v>
          </cell>
          <cell r="F15"/>
          <cell r="G15">
            <v>29.698666426615272</v>
          </cell>
        </row>
        <row r="16">
          <cell r="B16">
            <v>2029</v>
          </cell>
          <cell r="C16">
            <v>0</v>
          </cell>
          <cell r="D16"/>
          <cell r="E16">
            <v>35.917676328313441</v>
          </cell>
          <cell r="F16"/>
          <cell r="G16">
            <v>35.917676328313441</v>
          </cell>
        </row>
        <row r="17">
          <cell r="B17">
            <v>2030</v>
          </cell>
          <cell r="C17">
            <v>0</v>
          </cell>
          <cell r="D17"/>
          <cell r="E17">
            <v>47.687552546666936</v>
          </cell>
          <cell r="F17"/>
          <cell r="G17">
            <v>47.687552546666936</v>
          </cell>
        </row>
        <row r="18">
          <cell r="B18">
            <v>2031</v>
          </cell>
          <cell r="C18">
            <v>0</v>
          </cell>
          <cell r="D18"/>
          <cell r="E18">
            <v>58.901130327263232</v>
          </cell>
          <cell r="F18"/>
          <cell r="G18">
            <v>58.901130327263232</v>
          </cell>
        </row>
        <row r="19">
          <cell r="B19">
            <v>2032</v>
          </cell>
          <cell r="C19">
            <v>0</v>
          </cell>
          <cell r="D19"/>
          <cell r="E19">
            <v>59.796018795797728</v>
          </cell>
          <cell r="F19"/>
          <cell r="G19">
            <v>59.796018795797728</v>
          </cell>
        </row>
        <row r="20">
          <cell r="B20">
            <v>2033</v>
          </cell>
          <cell r="C20">
            <v>0</v>
          </cell>
          <cell r="D20"/>
          <cell r="E20">
            <v>60.854239701630028</v>
          </cell>
          <cell r="F20"/>
          <cell r="G20">
            <v>60.854239701630028</v>
          </cell>
        </row>
        <row r="21">
          <cell r="B21">
            <v>2034</v>
          </cell>
          <cell r="C21">
            <v>0</v>
          </cell>
          <cell r="D21"/>
          <cell r="E21">
            <v>64.220701976598704</v>
          </cell>
          <cell r="F21"/>
          <cell r="G21">
            <v>64.220701976598704</v>
          </cell>
        </row>
        <row r="22">
          <cell r="B22">
            <v>2035</v>
          </cell>
          <cell r="C22">
            <v>0</v>
          </cell>
          <cell r="D22"/>
          <cell r="E22">
            <v>68.075689438315777</v>
          </cell>
          <cell r="F22"/>
          <cell r="G22">
            <v>68.075689438315777</v>
          </cell>
        </row>
        <row r="23">
          <cell r="B23">
            <v>2036</v>
          </cell>
          <cell r="C23">
            <v>224.35897435897436</v>
          </cell>
          <cell r="D23"/>
          <cell r="E23">
            <v>41.649360304745649</v>
          </cell>
          <cell r="F23"/>
          <cell r="G23">
            <v>67.191137895703577</v>
          </cell>
        </row>
        <row r="24">
          <cell r="B24">
            <v>2037</v>
          </cell>
          <cell r="C24">
            <v>229.33333333333331</v>
          </cell>
          <cell r="D24"/>
          <cell r="E24">
            <v>42.912957171964351</v>
          </cell>
          <cell r="F24"/>
          <cell r="G24">
            <v>69.092561433760409</v>
          </cell>
        </row>
        <row r="25">
          <cell r="B25">
            <v>2038</v>
          </cell>
          <cell r="C25">
            <v>234.43076923076922</v>
          </cell>
          <cell r="D25"/>
          <cell r="E25">
            <v>43.695929183534382</v>
          </cell>
          <cell r="F25"/>
          <cell r="G25">
            <v>70.457432520380195</v>
          </cell>
        </row>
        <row r="26">
          <cell r="B26">
            <v>2039</v>
          </cell>
          <cell r="C26">
            <v>239.63076923076923</v>
          </cell>
          <cell r="D26"/>
          <cell r="E26">
            <v>44.972819051147034</v>
          </cell>
          <cell r="F26"/>
          <cell r="G26">
            <v>72.327929693928908</v>
          </cell>
        </row>
        <row r="27">
          <cell r="B27">
            <v>2040</v>
          </cell>
          <cell r="C27">
            <v>244.95384615384617</v>
          </cell>
          <cell r="D27"/>
          <cell r="E27">
            <v>46.414190228045136</v>
          </cell>
          <cell r="F27"/>
          <cell r="G27">
            <v>74.300557048838201</v>
          </cell>
        </row>
        <row r="28">
          <cell r="B28">
            <v>2041</v>
          </cell>
          <cell r="C28">
            <v>250.3897435897436</v>
          </cell>
          <cell r="D28"/>
          <cell r="E28">
            <v>47.854319940751587</v>
          </cell>
          <cell r="F28"/>
          <cell r="G28">
            <v>76.437624003507707</v>
          </cell>
        </row>
        <row r="29">
          <cell r="B29">
            <v>2042</v>
          </cell>
          <cell r="C29">
            <v>255.94871794871796</v>
          </cell>
          <cell r="D29"/>
          <cell r="E29">
            <v>49.761347298197407</v>
          </cell>
          <cell r="F29"/>
          <cell r="G29">
            <v>78.979237474991692</v>
          </cell>
        </row>
        <row r="30">
          <cell r="B30">
            <v>2043</v>
          </cell>
          <cell r="C30">
            <v>261.63076923076926</v>
          </cell>
          <cell r="D30"/>
          <cell r="E30">
            <v>52.426855270049423</v>
          </cell>
          <cell r="F30"/>
          <cell r="G30">
            <v>82.293381437945442</v>
          </cell>
        </row>
        <row r="31">
          <cell r="B31">
            <v>2044</v>
          </cell>
          <cell r="C31">
            <v>267.43589743589746</v>
          </cell>
          <cell r="D31"/>
          <cell r="E31">
            <v>54.961671990659504</v>
          </cell>
          <cell r="F31"/>
          <cell r="G31">
            <v>85.40747087908133</v>
          </cell>
        </row>
        <row r="32">
          <cell r="B32">
            <v>2045</v>
          </cell>
          <cell r="C32">
            <v>273.37435897435904</v>
          </cell>
          <cell r="D32"/>
          <cell r="E32">
            <v>57.429375618363167</v>
          </cell>
          <cell r="F32"/>
          <cell r="G32">
            <v>88.63649422274203</v>
          </cell>
        </row>
        <row r="33">
          <cell r="B33">
            <v>2046</v>
          </cell>
          <cell r="C33">
            <v>279.44615384615383</v>
          </cell>
          <cell r="D33"/>
          <cell r="E33">
            <v>58.704307757090817</v>
          </cell>
          <cell r="F33"/>
          <cell r="G33">
            <v>90.604553629939431</v>
          </cell>
        </row>
        <row r="34">
          <cell r="B34">
            <v>2047</v>
          </cell>
          <cell r="C34">
            <v>285.65128205128207</v>
          </cell>
          <cell r="D34"/>
          <cell r="E34">
            <v>60.007543389298242</v>
          </cell>
          <cell r="F34"/>
          <cell r="G34">
            <v>92.6161372307688</v>
          </cell>
        </row>
        <row r="35">
          <cell r="B35">
            <v>2048</v>
          </cell>
          <cell r="C35">
            <v>291.98974358974357</v>
          </cell>
          <cell r="D35"/>
          <cell r="E35">
            <v>61.349026403257341</v>
          </cell>
          <cell r="F35"/>
          <cell r="G35">
            <v>94.590117431233608</v>
          </cell>
        </row>
        <row r="36">
          <cell r="B36">
            <v>2049</v>
          </cell>
          <cell r="C36">
            <v>298.47179487179488</v>
          </cell>
          <cell r="D36"/>
          <cell r="E36">
            <v>62.701452433467075</v>
          </cell>
          <cell r="F36"/>
          <cell r="G36">
            <v>96.773575135726759</v>
          </cell>
        </row>
        <row r="37">
          <cell r="B37">
            <v>2050</v>
          </cell>
          <cell r="C37">
            <v>305.09743589743596</v>
          </cell>
          <cell r="D37"/>
          <cell r="E37">
            <v>64.093424677490034</v>
          </cell>
          <cell r="F37"/>
          <cell r="G37">
            <v>98.921899095005557</v>
          </cell>
        </row>
        <row r="38">
          <cell r="B38">
            <v>2051</v>
          </cell>
          <cell r="C38">
            <v>311.87692307692311</v>
          </cell>
          <cell r="D38"/>
          <cell r="E38">
            <v>65.516298705330328</v>
          </cell>
          <cell r="F38"/>
          <cell r="G38">
            <v>101.11868718443112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2"/>
      <sheetName val="Table 1"/>
      <sheetName val="Table 2"/>
      <sheetName val="Table 4"/>
      <sheetName val="Table 5"/>
      <sheetName val="Table3Compare"/>
      <sheetName val="BAT.PX.BDG._.ITC._4hr.2031"/>
      <sheetName val="Table 3 GCC.PX.UTS.2035"/>
      <sheetName val="GCC.PX.UTS.2036"/>
      <sheetName val="GCC.PX.UTS.2038"/>
      <sheetName val="GSC.PX.BDG.2038"/>
      <sheetName val="2025 IRPUpdt Assumptions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D13"/>
          <cell r="E13">
            <v>11.33629326169893</v>
          </cell>
          <cell r="F13"/>
          <cell r="G13">
            <v>11.33629326169893</v>
          </cell>
        </row>
        <row r="14">
          <cell r="B14">
            <v>2027</v>
          </cell>
          <cell r="C14">
            <v>0</v>
          </cell>
          <cell r="D14"/>
          <cell r="E14">
            <v>15.256906006694409</v>
          </cell>
          <cell r="F14"/>
          <cell r="G14">
            <v>15.256906006694409</v>
          </cell>
        </row>
        <row r="15">
          <cell r="B15">
            <v>2028</v>
          </cell>
          <cell r="C15">
            <v>0</v>
          </cell>
          <cell r="D15"/>
          <cell r="E15">
            <v>18.603805119534595</v>
          </cell>
          <cell r="F15"/>
          <cell r="G15">
            <v>18.603805119534595</v>
          </cell>
        </row>
        <row r="16">
          <cell r="B16">
            <v>2029</v>
          </cell>
          <cell r="C16">
            <v>0</v>
          </cell>
          <cell r="D16"/>
          <cell r="E16">
            <v>21.72200884217672</v>
          </cell>
          <cell r="F16"/>
          <cell r="G16">
            <v>21.72200884217672</v>
          </cell>
        </row>
        <row r="17">
          <cell r="B17">
            <v>2030</v>
          </cell>
          <cell r="C17">
            <v>0</v>
          </cell>
          <cell r="D17"/>
          <cell r="E17">
            <v>30.390976530582112</v>
          </cell>
          <cell r="F17"/>
          <cell r="G17">
            <v>30.390976530582112</v>
          </cell>
        </row>
        <row r="18">
          <cell r="B18">
            <v>2031</v>
          </cell>
          <cell r="C18">
            <v>0</v>
          </cell>
          <cell r="D18"/>
          <cell r="E18">
            <v>37.412713625930067</v>
          </cell>
          <cell r="F18"/>
          <cell r="G18">
            <v>37.412713625930067</v>
          </cell>
        </row>
        <row r="19">
          <cell r="B19">
            <v>2032</v>
          </cell>
          <cell r="C19">
            <v>0</v>
          </cell>
          <cell r="D19"/>
          <cell r="E19">
            <v>37.614121832282031</v>
          </cell>
          <cell r="F19"/>
          <cell r="G19">
            <v>37.614121832282031</v>
          </cell>
        </row>
        <row r="20">
          <cell r="B20">
            <v>2033</v>
          </cell>
          <cell r="C20">
            <v>0</v>
          </cell>
          <cell r="D20"/>
          <cell r="E20">
            <v>36.994440170247607</v>
          </cell>
          <cell r="F20"/>
          <cell r="G20">
            <v>36.994440170247607</v>
          </cell>
        </row>
        <row r="21">
          <cell r="B21">
            <v>2034</v>
          </cell>
          <cell r="C21">
            <v>0</v>
          </cell>
          <cell r="D21"/>
          <cell r="E21">
            <v>38.646078954505477</v>
          </cell>
          <cell r="F21"/>
          <cell r="G21">
            <v>38.646078954505477</v>
          </cell>
        </row>
        <row r="22">
          <cell r="B22">
            <v>2035</v>
          </cell>
          <cell r="C22">
            <v>0</v>
          </cell>
          <cell r="D22"/>
          <cell r="E22">
            <v>41.49922199720195</v>
          </cell>
          <cell r="F22"/>
          <cell r="G22">
            <v>41.49922199720195</v>
          </cell>
        </row>
        <row r="23">
          <cell r="B23">
            <v>2036</v>
          </cell>
          <cell r="C23">
            <v>23.046130084362943</v>
          </cell>
          <cell r="D23"/>
          <cell r="E23">
            <v>31.72308759667273</v>
          </cell>
          <cell r="F23"/>
          <cell r="G23">
            <v>40.878429482359159</v>
          </cell>
        </row>
        <row r="24">
          <cell r="B24">
            <v>2037</v>
          </cell>
          <cell r="C24">
            <v>23.557095711376245</v>
          </cell>
          <cell r="D24"/>
          <cell r="E24">
            <v>34.383565569686901</v>
          </cell>
          <cell r="F24"/>
          <cell r="G24">
            <v>43.789019231791244</v>
          </cell>
        </row>
        <row r="25">
          <cell r="B25">
            <v>2038</v>
          </cell>
          <cell r="C25">
            <v>24.080703786892972</v>
          </cell>
          <cell r="D25"/>
          <cell r="E25">
            <v>34.142008285243669</v>
          </cell>
          <cell r="F25"/>
          <cell r="G25">
            <v>43.813059134745806</v>
          </cell>
        </row>
        <row r="26">
          <cell r="B26">
            <v>2039</v>
          </cell>
          <cell r="C26">
            <v>24.61484723616255</v>
          </cell>
          <cell r="D26"/>
          <cell r="E26">
            <v>35.203302438593603</v>
          </cell>
          <cell r="F26"/>
          <cell r="G26">
            <v>45.137284242729876</v>
          </cell>
        </row>
        <row r="27">
          <cell r="B27">
            <v>2040</v>
          </cell>
          <cell r="C27">
            <v>25.161633133935553</v>
          </cell>
          <cell r="D27"/>
          <cell r="E27">
            <v>35.545239195138677</v>
          </cell>
          <cell r="F27"/>
          <cell r="G27">
            <v>45.726963014169975</v>
          </cell>
        </row>
        <row r="28">
          <cell r="B28">
            <v>2041</v>
          </cell>
          <cell r="C28">
            <v>25.720007942836684</v>
          </cell>
          <cell r="D28"/>
          <cell r="E28">
            <v>37.005806851684319</v>
          </cell>
          <cell r="F28"/>
          <cell r="G28">
            <v>47.488157602745758</v>
          </cell>
        </row>
        <row r="29">
          <cell r="B29">
            <v>2042</v>
          </cell>
          <cell r="C29">
            <v>26.291025200241243</v>
          </cell>
          <cell r="D29"/>
          <cell r="E29">
            <v>39.369192908177098</v>
          </cell>
          <cell r="F29"/>
          <cell r="G29">
            <v>50.131385311288867</v>
          </cell>
        </row>
        <row r="30">
          <cell r="B30">
            <v>2043</v>
          </cell>
          <cell r="C30">
            <v>26.874684906149223</v>
          </cell>
          <cell r="D30"/>
          <cell r="E30">
            <v>42.680368199485883</v>
          </cell>
          <cell r="F30"/>
          <cell r="G30">
            <v>53.73755353366446</v>
          </cell>
        </row>
        <row r="31">
          <cell r="B31">
            <v>2044</v>
          </cell>
          <cell r="C31">
            <v>27.470987060560628</v>
          </cell>
          <cell r="D31"/>
          <cell r="E31">
            <v>45.156758168965581</v>
          </cell>
          <cell r="F31"/>
          <cell r="G31">
            <v>56.512707930609125</v>
          </cell>
        </row>
        <row r="32">
          <cell r="B32">
            <v>2045</v>
          </cell>
          <cell r="C32">
            <v>28.080985200850741</v>
          </cell>
          <cell r="D32"/>
          <cell r="E32">
            <v>47.825092442956937</v>
          </cell>
          <cell r="F32"/>
          <cell r="G32">
            <v>59.431727144637016</v>
          </cell>
        </row>
        <row r="33">
          <cell r="B33">
            <v>2046</v>
          </cell>
          <cell r="C33">
            <v>28.704679327019551</v>
          </cell>
          <cell r="D33"/>
          <cell r="E33">
            <v>48.886809495190576</v>
          </cell>
          <cell r="F33"/>
          <cell r="G33">
            <v>60.81085416070227</v>
          </cell>
        </row>
        <row r="34">
          <cell r="B34">
            <v>2047</v>
          </cell>
          <cell r="C34">
            <v>29.342069439067075</v>
          </cell>
          <cell r="D34"/>
          <cell r="E34">
            <v>49.97209666598382</v>
          </cell>
          <cell r="F34"/>
          <cell r="G34">
            <v>62.222166215786906</v>
          </cell>
        </row>
        <row r="35">
          <cell r="B35">
            <v>2048</v>
          </cell>
          <cell r="C35">
            <v>29.99315553699331</v>
          </cell>
          <cell r="D35"/>
          <cell r="E35">
            <v>51.082667811991136</v>
          </cell>
          <cell r="F35"/>
          <cell r="G35">
            <v>63.639502797517295</v>
          </cell>
        </row>
        <row r="36">
          <cell r="B36">
            <v>2049</v>
          </cell>
          <cell r="C36">
            <v>30.658991158173528</v>
          </cell>
          <cell r="D36"/>
          <cell r="E36">
            <v>52.215486006074357</v>
          </cell>
          <cell r="F36"/>
          <cell r="G36">
            <v>65.144324567326947</v>
          </cell>
        </row>
        <row r="37">
          <cell r="B37">
            <v>2050</v>
          </cell>
          <cell r="C37">
            <v>31.339576302607746</v>
          </cell>
          <cell r="D37"/>
          <cell r="E37">
            <v>53.374669795409204</v>
          </cell>
          <cell r="F37"/>
          <cell r="G37">
            <v>66.656921080755239</v>
          </cell>
        </row>
        <row r="38">
          <cell r="B38">
            <v>2051</v>
          </cell>
          <cell r="C38">
            <v>32.035964507671238</v>
          </cell>
          <cell r="D38"/>
          <cell r="E38">
            <v>54.559587464867278</v>
          </cell>
          <cell r="F38"/>
          <cell r="G38">
            <v>68.205208148539171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B.3"/>
      <sheetName val="Table 1"/>
      <sheetName val="Table 2"/>
      <sheetName val="Table 4"/>
      <sheetName val="Table 5"/>
      <sheetName val="Table3Compare"/>
      <sheetName val="BAT.PX.BDG._.ITC._4hr.2031"/>
      <sheetName val="Table 3 GCC.PX.UTS.2035"/>
      <sheetName val="GCC.PX.UTS.2036"/>
      <sheetName val="GCC.PX.UTS.2038"/>
      <sheetName val="GSC.PX.BDG.2038"/>
      <sheetName val="2025 IRPUpdt Assumptions"/>
      <sheetName val="PV_.PX.COR._.PTC.2028"/>
      <sheetName val="WD_.PX.WMV._.PTC.2029"/>
    </sheetNames>
    <sheetDataSet>
      <sheetData sheetId="0"/>
      <sheetData sheetId="1">
        <row r="13">
          <cell r="B13">
            <v>2026</v>
          </cell>
          <cell r="C13">
            <v>0</v>
          </cell>
          <cell r="D13"/>
          <cell r="E13">
            <v>13.456157571743319</v>
          </cell>
          <cell r="F13"/>
          <cell r="G13">
            <v>13.456157571743319</v>
          </cell>
        </row>
        <row r="14">
          <cell r="B14">
            <v>2027</v>
          </cell>
          <cell r="C14">
            <v>0</v>
          </cell>
          <cell r="D14"/>
          <cell r="E14">
            <v>19.113968959116672</v>
          </cell>
          <cell r="F14"/>
          <cell r="G14">
            <v>19.113968959116672</v>
          </cell>
        </row>
        <row r="15">
          <cell r="B15">
            <v>2028</v>
          </cell>
          <cell r="C15">
            <v>0</v>
          </cell>
          <cell r="D15"/>
          <cell r="E15">
            <v>22.196511451952059</v>
          </cell>
          <cell r="F15"/>
          <cell r="G15">
            <v>22.196511451952059</v>
          </cell>
        </row>
        <row r="16">
          <cell r="B16">
            <v>2029</v>
          </cell>
          <cell r="C16">
            <v>0</v>
          </cell>
          <cell r="D16"/>
          <cell r="E16">
            <v>25.97153854514621</v>
          </cell>
          <cell r="F16"/>
          <cell r="G16">
            <v>25.97153854514621</v>
          </cell>
        </row>
        <row r="17">
          <cell r="B17">
            <v>2030</v>
          </cell>
          <cell r="C17">
            <v>0</v>
          </cell>
          <cell r="D17"/>
          <cell r="E17">
            <v>37.413760836269006</v>
          </cell>
          <cell r="F17"/>
          <cell r="G17">
            <v>37.413760836269006</v>
          </cell>
        </row>
        <row r="18">
          <cell r="B18">
            <v>2031</v>
          </cell>
          <cell r="C18">
            <v>0</v>
          </cell>
          <cell r="D18"/>
          <cell r="E18">
            <v>47.72747216212445</v>
          </cell>
          <cell r="F18"/>
          <cell r="G18">
            <v>47.72747216212445</v>
          </cell>
        </row>
        <row r="19">
          <cell r="B19">
            <v>2032</v>
          </cell>
          <cell r="C19">
            <v>0</v>
          </cell>
          <cell r="D19"/>
          <cell r="E19">
            <v>47.429310486447143</v>
          </cell>
          <cell r="F19"/>
          <cell r="G19">
            <v>47.429310486447143</v>
          </cell>
        </row>
        <row r="20">
          <cell r="B20">
            <v>2033</v>
          </cell>
          <cell r="C20">
            <v>0</v>
          </cell>
          <cell r="D20"/>
          <cell r="E20">
            <v>46.732630668568376</v>
          </cell>
          <cell r="F20"/>
          <cell r="G20">
            <v>46.732630668568376</v>
          </cell>
        </row>
        <row r="21">
          <cell r="B21">
            <v>2034</v>
          </cell>
          <cell r="C21">
            <v>0</v>
          </cell>
          <cell r="D21"/>
          <cell r="E21">
            <v>49.8429851798088</v>
          </cell>
          <cell r="F21"/>
          <cell r="G21">
            <v>49.8429851798088</v>
          </cell>
        </row>
        <row r="22">
          <cell r="B22">
            <v>2035</v>
          </cell>
          <cell r="C22">
            <v>0</v>
          </cell>
          <cell r="D22"/>
          <cell r="E22">
            <v>52.583022363414166</v>
          </cell>
          <cell r="F22"/>
          <cell r="G22">
            <v>52.583022363414166</v>
          </cell>
        </row>
        <row r="23">
          <cell r="B23">
            <v>2036</v>
          </cell>
          <cell r="C23">
            <v>40.833333333333329</v>
          </cell>
          <cell r="D23"/>
          <cell r="E23">
            <v>35.18414641676366</v>
          </cell>
          <cell r="F23"/>
          <cell r="G23">
            <v>50.517516634008402</v>
          </cell>
        </row>
        <row r="24">
          <cell r="B24">
            <v>2037</v>
          </cell>
          <cell r="C24">
            <v>41.73866666666666</v>
          </cell>
          <cell r="D24"/>
          <cell r="E24">
            <v>36.404383260335457</v>
          </cell>
          <cell r="F24"/>
          <cell r="G24">
            <v>52.07593594117521</v>
          </cell>
        </row>
        <row r="25">
          <cell r="B25">
            <v>2038</v>
          </cell>
          <cell r="C25">
            <v>42.666399999999996</v>
          </cell>
          <cell r="D25"/>
          <cell r="E25">
            <v>37.527845733631452</v>
          </cell>
          <cell r="F25"/>
          <cell r="G25">
            <v>53.573504796471511</v>
          </cell>
        </row>
        <row r="26">
          <cell r="B26">
            <v>2039</v>
          </cell>
          <cell r="C26">
            <v>43.612799999999993</v>
          </cell>
          <cell r="D26"/>
          <cell r="E26">
            <v>38.021755588960218</v>
          </cell>
          <cell r="F26"/>
          <cell r="G26">
            <v>54.425226841870028</v>
          </cell>
        </row>
        <row r="27">
          <cell r="B27">
            <v>2040</v>
          </cell>
          <cell r="C27">
            <v>44.581599999999995</v>
          </cell>
          <cell r="D27"/>
          <cell r="E27">
            <v>39.78626610808287</v>
          </cell>
          <cell r="F27"/>
          <cell r="G27">
            <v>56.516554917408079</v>
          </cell>
        </row>
        <row r="28">
          <cell r="B28">
            <v>2041</v>
          </cell>
          <cell r="C28">
            <v>45.570933333333329</v>
          </cell>
          <cell r="D28"/>
          <cell r="E28">
            <v>41.435754806657989</v>
          </cell>
          <cell r="F28"/>
          <cell r="G28">
            <v>58.559054092845621</v>
          </cell>
        </row>
        <row r="29">
          <cell r="B29">
            <v>2042</v>
          </cell>
          <cell r="C29">
            <v>46.582666666666668</v>
          </cell>
          <cell r="D29"/>
          <cell r="E29">
            <v>43.776201533088368</v>
          </cell>
          <cell r="F29"/>
          <cell r="G29">
            <v>61.26237760865947</v>
          </cell>
        </row>
        <row r="30">
          <cell r="B30">
            <v>2043</v>
          </cell>
          <cell r="C30">
            <v>47.616799999999998</v>
          </cell>
          <cell r="D30"/>
          <cell r="E30">
            <v>46.685212551738367</v>
          </cell>
          <cell r="F30"/>
          <cell r="G30">
            <v>64.563818872648085</v>
          </cell>
        </row>
        <row r="31">
          <cell r="B31">
            <v>2044</v>
          </cell>
          <cell r="C31">
            <v>48.673333333333332</v>
          </cell>
          <cell r="D31"/>
          <cell r="E31">
            <v>48.15589638326415</v>
          </cell>
          <cell r="F31"/>
          <cell r="G31">
            <v>66.42066552915152</v>
          </cell>
        </row>
        <row r="32">
          <cell r="B32">
            <v>2045</v>
          </cell>
          <cell r="C32">
            <v>49.754133333333336</v>
          </cell>
          <cell r="D32"/>
          <cell r="E32">
            <v>50.623163107191317</v>
          </cell>
          <cell r="F32"/>
          <cell r="G32">
            <v>69.33241154646069</v>
          </cell>
        </row>
        <row r="33">
          <cell r="B33">
            <v>2046</v>
          </cell>
          <cell r="C33">
            <v>50.859199999999994</v>
          </cell>
          <cell r="D33"/>
          <cell r="E33">
            <v>51.746997328170977</v>
          </cell>
          <cell r="F33"/>
          <cell r="G33">
            <v>70.871788465573729</v>
          </cell>
        </row>
        <row r="34">
          <cell r="B34">
            <v>2047</v>
          </cell>
          <cell r="C34">
            <v>51.988533333333329</v>
          </cell>
          <cell r="D34"/>
          <cell r="E34">
            <v>52.895780668856361</v>
          </cell>
          <cell r="F34"/>
          <cell r="G34">
            <v>72.445239597425854</v>
          </cell>
        </row>
        <row r="35">
          <cell r="B35">
            <v>2048</v>
          </cell>
          <cell r="C35">
            <v>53.142133333333319</v>
          </cell>
          <cell r="D35"/>
          <cell r="E35">
            <v>54.10748598455271</v>
          </cell>
          <cell r="F35"/>
          <cell r="G35">
            <v>74.029934775197148</v>
          </cell>
        </row>
        <row r="36">
          <cell r="B36">
            <v>2049</v>
          </cell>
          <cell r="C36">
            <v>54.321866666666665</v>
          </cell>
          <cell r="D36"/>
          <cell r="E36">
            <v>55.270422487098415</v>
          </cell>
          <cell r="F36"/>
          <cell r="G36">
            <v>75.697294207334707</v>
          </cell>
        </row>
        <row r="37">
          <cell r="B37">
            <v>2050</v>
          </cell>
          <cell r="C37">
            <v>55.52773333333333</v>
          </cell>
          <cell r="D37"/>
          <cell r="E37">
            <v>56.497425866312007</v>
          </cell>
          <cell r="F37"/>
          <cell r="G37">
            <v>77.37774451728167</v>
          </cell>
        </row>
        <row r="38">
          <cell r="B38">
            <v>2051</v>
          </cell>
          <cell r="C38">
            <v>56.761599999999987</v>
          </cell>
          <cell r="D38"/>
          <cell r="E38">
            <v>57.751668720544124</v>
          </cell>
          <cell r="F38"/>
          <cell r="G38">
            <v>79.095963255747193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A6FB-82D4-4936-9074-820F63A5E11C}">
  <dimension ref="A1:L47"/>
  <sheetViews>
    <sheetView tabSelected="1" zoomScaleNormal="100" zoomScaleSheetLayoutView="110" workbookViewId="0">
      <selection activeCell="K28" sqref="K28"/>
    </sheetView>
  </sheetViews>
  <sheetFormatPr defaultColWidth="9.33203125" defaultRowHeight="12.75"/>
  <cols>
    <col min="1" max="1" width="17.6640625" style="43" customWidth="1"/>
    <col min="2" max="2" width="17.33203125" style="43" customWidth="1"/>
    <col min="3" max="3" width="13.6640625" style="43" customWidth="1"/>
    <col min="4" max="4" width="15.83203125" style="43" customWidth="1"/>
    <col min="5" max="5" width="13.83203125" style="43" customWidth="1"/>
    <col min="6" max="6" width="13.6640625" style="43" customWidth="1"/>
    <col min="7" max="7" width="15.83203125" style="43" customWidth="1"/>
    <col min="8" max="8" width="13.83203125" style="43" customWidth="1"/>
    <col min="9" max="9" width="13.6640625" style="43" customWidth="1"/>
    <col min="10" max="10" width="13.1640625" style="43" customWidth="1"/>
    <col min="11" max="11" width="12.33203125" style="43" bestFit="1" customWidth="1"/>
    <col min="12" max="12" width="28.6640625" style="43" customWidth="1"/>
    <col min="13" max="16384" width="9.33203125" style="43"/>
  </cols>
  <sheetData>
    <row r="1" spans="2:12" ht="15.75">
      <c r="B1" s="402" t="s">
        <v>331</v>
      </c>
      <c r="C1" s="402"/>
      <c r="D1" s="402"/>
      <c r="E1" s="402"/>
      <c r="F1" s="402"/>
      <c r="G1" s="402"/>
      <c r="H1" s="402"/>
      <c r="I1" s="350"/>
      <c r="J1" s="350"/>
      <c r="K1" s="350"/>
    </row>
    <row r="2" spans="2:12" ht="15.75">
      <c r="B2" s="351"/>
      <c r="C2" s="352"/>
      <c r="D2" s="352"/>
      <c r="E2" s="352"/>
      <c r="F2" s="352"/>
      <c r="G2" s="352"/>
      <c r="H2" s="352"/>
      <c r="I2" s="353"/>
      <c r="J2" s="353"/>
      <c r="K2" s="353"/>
    </row>
    <row r="3" spans="2:12" ht="15.75">
      <c r="B3" s="354" t="s">
        <v>317</v>
      </c>
      <c r="C3" s="354"/>
      <c r="D3" s="354"/>
      <c r="E3" s="354"/>
      <c r="F3" s="354"/>
      <c r="G3" s="354"/>
      <c r="H3" s="354"/>
      <c r="I3" s="351"/>
      <c r="J3" s="351"/>
      <c r="K3" s="351"/>
    </row>
    <row r="4" spans="2:12" ht="15.75">
      <c r="B4" s="4" t="s">
        <v>318</v>
      </c>
      <c r="C4" s="354"/>
      <c r="D4" s="354"/>
      <c r="E4" s="354"/>
      <c r="F4" s="354"/>
      <c r="G4" s="354"/>
      <c r="H4" s="354"/>
      <c r="I4" s="351"/>
      <c r="J4" s="351"/>
      <c r="K4" s="351"/>
    </row>
    <row r="5" spans="2:12" ht="15.75">
      <c r="B5" s="4"/>
      <c r="C5" s="354"/>
      <c r="D5" s="354"/>
      <c r="E5" s="354"/>
      <c r="F5" s="354"/>
      <c r="G5" s="354"/>
      <c r="H5" s="354"/>
      <c r="I5" s="351"/>
      <c r="J5" s="351"/>
      <c r="K5" s="351"/>
    </row>
    <row r="6" spans="2:12" ht="16.5" customHeight="1">
      <c r="C6" s="355" t="s">
        <v>319</v>
      </c>
      <c r="D6" s="356" t="s">
        <v>320</v>
      </c>
      <c r="E6" s="357" t="s">
        <v>321</v>
      </c>
      <c r="F6" s="355" t="s">
        <v>319</v>
      </c>
      <c r="G6" s="356" t="s">
        <v>320</v>
      </c>
      <c r="H6" s="357" t="s">
        <v>321</v>
      </c>
      <c r="I6" s="355" t="s">
        <v>319</v>
      </c>
      <c r="J6" s="356" t="s">
        <v>320</v>
      </c>
      <c r="K6" s="357" t="s">
        <v>321</v>
      </c>
      <c r="L6" s="358"/>
    </row>
    <row r="7" spans="2:12">
      <c r="B7" s="359" t="s">
        <v>0</v>
      </c>
      <c r="C7" s="360" t="s">
        <v>332</v>
      </c>
      <c r="D7" s="361" t="str">
        <f>C7</f>
        <v>UT 2026.Q2</v>
      </c>
      <c r="E7" s="362" t="str">
        <f>C7</f>
        <v>UT 2026.Q2</v>
      </c>
      <c r="F7" s="399" t="s">
        <v>336</v>
      </c>
      <c r="G7" s="400" t="str">
        <f>F7</f>
        <v>UT 2026.Q1</v>
      </c>
      <c r="H7" s="401" t="str">
        <f>F7</f>
        <v>UT 2026.Q1</v>
      </c>
      <c r="I7" s="363"/>
      <c r="J7" s="364"/>
      <c r="K7" s="365"/>
    </row>
    <row r="8" spans="2:12" ht="51">
      <c r="B8" s="359"/>
      <c r="C8" s="366" t="s">
        <v>322</v>
      </c>
      <c r="D8" s="367" t="s">
        <v>323</v>
      </c>
      <c r="E8" s="368" t="s">
        <v>324</v>
      </c>
      <c r="F8" s="366" t="s">
        <v>322</v>
      </c>
      <c r="G8" s="367" t="s">
        <v>323</v>
      </c>
      <c r="H8" s="368" t="s">
        <v>324</v>
      </c>
      <c r="I8" s="369" t="s">
        <v>325</v>
      </c>
      <c r="J8" s="370" t="str">
        <f>I8</f>
        <v>Difference From 2024.Q4 Filing Filing</v>
      </c>
      <c r="K8" s="371" t="str">
        <f>I8</f>
        <v>Difference From 2024.Q4 Filing Filing</v>
      </c>
    </row>
    <row r="9" spans="2:12" ht="48.75" customHeight="1">
      <c r="B9" s="372"/>
      <c r="C9" s="403" t="s">
        <v>326</v>
      </c>
      <c r="D9" s="404"/>
      <c r="E9" s="405"/>
      <c r="F9" s="403" t="s">
        <v>326</v>
      </c>
      <c r="G9" s="404"/>
      <c r="H9" s="405"/>
      <c r="I9" s="403"/>
      <c r="J9" s="404"/>
      <c r="K9" s="405"/>
    </row>
    <row r="10" spans="2:12">
      <c r="B10" s="372">
        <v>2026</v>
      </c>
      <c r="C10" s="373">
        <f>VLOOKUP($B10,'[1]Table 1'!$B$13:$G$38,6,FALSE)</f>
        <v>17.277833445233295</v>
      </c>
      <c r="D10" s="374">
        <f>VLOOKUP($B10,'[2]Table 1'!$B$13:$G$38,6,FALSE)</f>
        <v>11.582874648382386</v>
      </c>
      <c r="E10" s="375">
        <f ca="1">VLOOKUP($B10,'Table 1'!$B$13:$G$38,6,FALSE)</f>
        <v>13.037515506846866</v>
      </c>
      <c r="F10" s="373">
        <f>VLOOKUP($B10,'[3]Table 1'!$B$13:$G$38,6,FALSE)</f>
        <v>18.274099883118673</v>
      </c>
      <c r="G10" s="374">
        <f>VLOOKUP($B10,'[4]Table 1'!$B$13:$G$38,6,FALSE)</f>
        <v>11.33629326169893</v>
      </c>
      <c r="H10" s="375">
        <f>VLOOKUP($B10,'[5]Table 1'!$B$13:$G$38,6,FALSE)</f>
        <v>13.456157571743319</v>
      </c>
      <c r="I10" s="373">
        <f t="shared" ref="I10:I26" si="0">C10-F10</f>
        <v>-0.99626643788537805</v>
      </c>
      <c r="J10" s="374">
        <f t="shared" ref="J10:J26" si="1">D10-G10</f>
        <v>0.24658138668345586</v>
      </c>
      <c r="K10" s="375">
        <f t="shared" ref="K10:K26" ca="1" si="2">E10-H10</f>
        <v>-0.41864206489645284</v>
      </c>
      <c r="L10" s="376"/>
    </row>
    <row r="11" spans="2:12">
      <c r="B11" s="377">
        <f>B10+1</f>
        <v>2027</v>
      </c>
      <c r="C11" s="378">
        <f>VLOOKUP($B11,'[1]Table 1'!$B$13:$G$38,6,FALSE)</f>
        <v>25.205730445574819</v>
      </c>
      <c r="D11" s="376">
        <f>VLOOKUP($B11,'[2]Table 1'!$B$13:$G$38,6,FALSE)</f>
        <v>16.36926269126732</v>
      </c>
      <c r="E11" s="379">
        <f ca="1">VLOOKUP($B11,'Table 1'!$B$13:$G$38,6,FALSE)</f>
        <v>19.057261976279765</v>
      </c>
      <c r="F11" s="378">
        <f>VLOOKUP($B11,'[3]Table 1'!$B$13:$G$38,6,FALSE)</f>
        <v>26.664403273498795</v>
      </c>
      <c r="G11" s="376">
        <f>VLOOKUP($B11,'[4]Table 1'!$B$13:$G$38,6,FALSE)</f>
        <v>15.256906006694409</v>
      </c>
      <c r="H11" s="379">
        <f>VLOOKUP($B11,'[5]Table 1'!$B$13:$G$38,6,FALSE)</f>
        <v>19.113968959116672</v>
      </c>
      <c r="I11" s="378">
        <f t="shared" si="0"/>
        <v>-1.4586728279239765</v>
      </c>
      <c r="J11" s="376">
        <f t="shared" si="1"/>
        <v>1.1123566845729105</v>
      </c>
      <c r="K11" s="379">
        <f t="shared" ca="1" si="2"/>
        <v>-5.6706982836907116E-2</v>
      </c>
      <c r="L11" s="376"/>
    </row>
    <row r="12" spans="2:12">
      <c r="B12" s="377">
        <f t="shared" ref="B12:B26" si="3">B11+1</f>
        <v>2028</v>
      </c>
      <c r="C12" s="378">
        <f>VLOOKUP($B12,'[1]Table 1'!$B$13:$G$38,6,FALSE)</f>
        <v>29.543890974194653</v>
      </c>
      <c r="D12" s="376">
        <f>VLOOKUP($B12,'[2]Table 1'!$B$13:$G$38,6,FALSE)</f>
        <v>20.612135170111806</v>
      </c>
      <c r="E12" s="379">
        <f ca="1">VLOOKUP($B12,'Table 1'!$B$13:$G$38,6,FALSE)</f>
        <v>23.168734484363039</v>
      </c>
      <c r="F12" s="378">
        <f>VLOOKUP($B12,'[3]Table 1'!$B$13:$G$38,6,FALSE)</f>
        <v>29.698666426615272</v>
      </c>
      <c r="G12" s="376">
        <f>VLOOKUP($B12,'[4]Table 1'!$B$13:$G$38,6,FALSE)</f>
        <v>18.603805119534595</v>
      </c>
      <c r="H12" s="379">
        <f>VLOOKUP($B12,'[5]Table 1'!$B$13:$G$38,6,FALSE)</f>
        <v>22.196511451952059</v>
      </c>
      <c r="I12" s="378">
        <f t="shared" si="0"/>
        <v>-0.15477545242061908</v>
      </c>
      <c r="J12" s="376">
        <f t="shared" si="1"/>
        <v>2.0083300505772108</v>
      </c>
      <c r="K12" s="379">
        <f t="shared" ca="1" si="2"/>
        <v>0.97222303241098018</v>
      </c>
      <c r="L12" s="376"/>
    </row>
    <row r="13" spans="2:12">
      <c r="B13" s="377">
        <f t="shared" si="3"/>
        <v>2029</v>
      </c>
      <c r="C13" s="378">
        <f>VLOOKUP($B13,'[1]Table 1'!$B$13:$G$38,6,FALSE)</f>
        <v>32.86436837515059</v>
      </c>
      <c r="D13" s="376">
        <f>VLOOKUP($B13,'[2]Table 1'!$B$13:$G$38,6,FALSE)</f>
        <v>21.245571651740484</v>
      </c>
      <c r="E13" s="379">
        <f ca="1">VLOOKUP($B13,'Table 1'!$B$13:$G$38,6,FALSE)</f>
        <v>25.251296645263103</v>
      </c>
      <c r="F13" s="378">
        <f>VLOOKUP($B13,'[3]Table 1'!$B$13:$G$38,6,FALSE)</f>
        <v>35.917676328313441</v>
      </c>
      <c r="G13" s="376">
        <f>VLOOKUP($B13,'[4]Table 1'!$B$13:$G$38,6,FALSE)</f>
        <v>21.72200884217672</v>
      </c>
      <c r="H13" s="379">
        <f>VLOOKUP($B13,'[5]Table 1'!$B$13:$G$38,6,FALSE)</f>
        <v>25.97153854514621</v>
      </c>
      <c r="I13" s="378">
        <f t="shared" si="0"/>
        <v>-3.0533079531628502</v>
      </c>
      <c r="J13" s="376">
        <f t="shared" si="1"/>
        <v>-0.47643719043623634</v>
      </c>
      <c r="K13" s="379">
        <f t="shared" ca="1" si="2"/>
        <v>-0.72024189988310638</v>
      </c>
      <c r="L13" s="376"/>
    </row>
    <row r="14" spans="2:12">
      <c r="B14" s="377">
        <f t="shared" si="3"/>
        <v>2030</v>
      </c>
      <c r="C14" s="378">
        <f>VLOOKUP($B14,'[1]Table 1'!$B$13:$G$38,6,FALSE)</f>
        <v>46.309796519548655</v>
      </c>
      <c r="D14" s="376">
        <f>VLOOKUP($B14,'[2]Table 1'!$B$13:$G$38,6,FALSE)</f>
        <v>31.231663524724098</v>
      </c>
      <c r="E14" s="379">
        <f ca="1">VLOOKUP($B14,'Table 1'!$B$13:$G$38,6,FALSE)</f>
        <v>38.005498517093287</v>
      </c>
      <c r="F14" s="378">
        <f>VLOOKUP($B14,'[3]Table 1'!$B$13:$G$38,6,FALSE)</f>
        <v>47.687552546666936</v>
      </c>
      <c r="G14" s="376">
        <f>VLOOKUP($B14,'[4]Table 1'!$B$13:$G$38,6,FALSE)</f>
        <v>30.390976530582112</v>
      </c>
      <c r="H14" s="379">
        <f>VLOOKUP($B14,'[5]Table 1'!$B$13:$G$38,6,FALSE)</f>
        <v>37.413760836269006</v>
      </c>
      <c r="I14" s="378">
        <f t="shared" si="0"/>
        <v>-1.3777560271182807</v>
      </c>
      <c r="J14" s="376">
        <f t="shared" si="1"/>
        <v>0.84068699414198633</v>
      </c>
      <c r="K14" s="379">
        <f t="shared" ca="1" si="2"/>
        <v>0.59173768082428069</v>
      </c>
      <c r="L14" s="376"/>
    </row>
    <row r="15" spans="2:12">
      <c r="B15" s="377">
        <f t="shared" si="3"/>
        <v>2031</v>
      </c>
      <c r="C15" s="378">
        <f>VLOOKUP($B15,'[1]Table 1'!$B$13:$G$38,6,FALSE)</f>
        <v>60.683246538511938</v>
      </c>
      <c r="D15" s="376">
        <f>VLOOKUP($B15,'[2]Table 1'!$B$13:$G$38,6,FALSE)</f>
        <v>41.329738780316042</v>
      </c>
      <c r="E15" s="379">
        <f ca="1">VLOOKUP($B15,'Table 1'!$B$13:$G$38,6,FALSE)</f>
        <v>49.87283572374033</v>
      </c>
      <c r="F15" s="378">
        <f>VLOOKUP($B15,'[3]Table 1'!$B$13:$G$38,6,FALSE)</f>
        <v>58.901130327263232</v>
      </c>
      <c r="G15" s="376">
        <f>VLOOKUP($B15,'[4]Table 1'!$B$13:$G$38,6,FALSE)</f>
        <v>37.412713625930067</v>
      </c>
      <c r="H15" s="379">
        <f>VLOOKUP($B15,'[5]Table 1'!$B$13:$G$38,6,FALSE)</f>
        <v>47.72747216212445</v>
      </c>
      <c r="I15" s="378">
        <f t="shared" si="0"/>
        <v>1.7821162112487059</v>
      </c>
      <c r="J15" s="376">
        <f t="shared" si="1"/>
        <v>3.9170251543859749</v>
      </c>
      <c r="K15" s="379">
        <f t="shared" ca="1" si="2"/>
        <v>2.1453635616158806</v>
      </c>
      <c r="L15" s="376"/>
    </row>
    <row r="16" spans="2:12">
      <c r="B16" s="377">
        <f t="shared" si="3"/>
        <v>2032</v>
      </c>
      <c r="C16" s="378">
        <f>VLOOKUP($B16,'[1]Table 1'!$B$13:$G$38,6,FALSE)</f>
        <v>61.580683286495585</v>
      </c>
      <c r="D16" s="376">
        <f>VLOOKUP($B16,'[2]Table 1'!$B$13:$G$38,6,FALSE)</f>
        <v>42.47303142583764</v>
      </c>
      <c r="E16" s="379">
        <f ca="1">VLOOKUP($B16,'Table 1'!$B$13:$G$38,6,FALSE)</f>
        <v>50.53977369991803</v>
      </c>
      <c r="F16" s="378">
        <f>VLOOKUP($B16,'[3]Table 1'!$B$13:$G$38,6,FALSE)</f>
        <v>59.796018795797728</v>
      </c>
      <c r="G16" s="376">
        <f>VLOOKUP($B16,'[4]Table 1'!$B$13:$G$38,6,FALSE)</f>
        <v>37.614121832282031</v>
      </c>
      <c r="H16" s="379">
        <f>VLOOKUP($B16,'[5]Table 1'!$B$13:$G$38,6,FALSE)</f>
        <v>47.429310486447143</v>
      </c>
      <c r="I16" s="378">
        <f t="shared" si="0"/>
        <v>1.7846644906978568</v>
      </c>
      <c r="J16" s="376">
        <f t="shared" si="1"/>
        <v>4.8589095935556088</v>
      </c>
      <c r="K16" s="379">
        <f t="shared" ca="1" si="2"/>
        <v>3.1104632134708865</v>
      </c>
      <c r="L16" s="376"/>
    </row>
    <row r="17" spans="1:12">
      <c r="B17" s="377">
        <f t="shared" si="3"/>
        <v>2033</v>
      </c>
      <c r="C17" s="378">
        <f>VLOOKUP($B17,'[1]Table 1'!$B$13:$G$38,6,FALSE)</f>
        <v>62.420910792332421</v>
      </c>
      <c r="D17" s="376">
        <f>VLOOKUP($B17,'[2]Table 1'!$B$13:$G$38,6,FALSE)</f>
        <v>40.888477047134181</v>
      </c>
      <c r="E17" s="379">
        <f ca="1">VLOOKUP($B17,'Table 1'!$B$13:$G$38,6,FALSE)</f>
        <v>48.992485254244755</v>
      </c>
      <c r="F17" s="378">
        <f>VLOOKUP($B17,'[3]Table 1'!$B$13:$G$38,6,FALSE)</f>
        <v>60.854239701630028</v>
      </c>
      <c r="G17" s="376">
        <f>VLOOKUP($B17,'[4]Table 1'!$B$13:$G$38,6,FALSE)</f>
        <v>36.994440170247607</v>
      </c>
      <c r="H17" s="379">
        <f>VLOOKUP($B17,'[5]Table 1'!$B$13:$G$38,6,FALSE)</f>
        <v>46.732630668568376</v>
      </c>
      <c r="I17" s="378">
        <f t="shared" si="0"/>
        <v>1.5666710907023926</v>
      </c>
      <c r="J17" s="376">
        <f t="shared" si="1"/>
        <v>3.8940368768865739</v>
      </c>
      <c r="K17" s="379">
        <f t="shared" ca="1" si="2"/>
        <v>2.2598545856763792</v>
      </c>
      <c r="L17" s="376"/>
    </row>
    <row r="18" spans="1:12">
      <c r="B18" s="377">
        <f t="shared" si="3"/>
        <v>2034</v>
      </c>
      <c r="C18" s="378">
        <f>VLOOKUP($B18,'[1]Table 1'!$B$13:$G$38,6,FALSE)</f>
        <v>64.006477230810987</v>
      </c>
      <c r="D18" s="376">
        <f>VLOOKUP($B18,'[2]Table 1'!$B$13:$G$38,6,FALSE)</f>
        <v>41.169946876485263</v>
      </c>
      <c r="E18" s="379">
        <f ca="1">VLOOKUP($B18,'Table 1'!$B$13:$G$38,6,FALSE)</f>
        <v>50.225191603905174</v>
      </c>
      <c r="F18" s="378">
        <f>VLOOKUP($B18,'[3]Table 1'!$B$13:$G$38,6,FALSE)</f>
        <v>64.220701976598704</v>
      </c>
      <c r="G18" s="376">
        <f>VLOOKUP($B18,'[4]Table 1'!$B$13:$G$38,6,FALSE)</f>
        <v>38.646078954505477</v>
      </c>
      <c r="H18" s="379">
        <f>VLOOKUP($B18,'[5]Table 1'!$B$13:$G$38,6,FALSE)</f>
        <v>49.8429851798088</v>
      </c>
      <c r="I18" s="378">
        <f t="shared" si="0"/>
        <v>-0.21422474578771755</v>
      </c>
      <c r="J18" s="376">
        <f t="shared" si="1"/>
        <v>2.5238679219797859</v>
      </c>
      <c r="K18" s="379">
        <f t="shared" ca="1" si="2"/>
        <v>0.38220642409637406</v>
      </c>
      <c r="L18" s="376"/>
    </row>
    <row r="19" spans="1:12">
      <c r="B19" s="377">
        <f t="shared" si="3"/>
        <v>2035</v>
      </c>
      <c r="C19" s="378">
        <f>VLOOKUP($B19,'[1]Table 1'!$B$13:$G$38,6,FALSE)</f>
        <v>65.450039411695755</v>
      </c>
      <c r="D19" s="376">
        <f>VLOOKUP($B19,'[2]Table 1'!$B$13:$G$38,6,FALSE)</f>
        <v>42.537942028150617</v>
      </c>
      <c r="E19" s="379">
        <f ca="1">VLOOKUP($B19,'Table 1'!$B$13:$G$38,6,FALSE)</f>
        <v>51.800649148317362</v>
      </c>
      <c r="F19" s="378">
        <f>VLOOKUP($B19,'[3]Table 1'!$B$13:$G$38,6,FALSE)</f>
        <v>68.075689438315777</v>
      </c>
      <c r="G19" s="376">
        <f>VLOOKUP($B19,'[4]Table 1'!$B$13:$G$38,6,FALSE)</f>
        <v>41.49922199720195</v>
      </c>
      <c r="H19" s="379">
        <f>VLOOKUP($B19,'[5]Table 1'!$B$13:$G$38,6,FALSE)</f>
        <v>52.583022363414166</v>
      </c>
      <c r="I19" s="378">
        <f t="shared" si="0"/>
        <v>-2.625650026620022</v>
      </c>
      <c r="J19" s="376">
        <f t="shared" si="1"/>
        <v>1.0387200309486673</v>
      </c>
      <c r="K19" s="379">
        <f t="shared" ca="1" si="2"/>
        <v>-0.78237321509680413</v>
      </c>
      <c r="L19" s="376"/>
    </row>
    <row r="20" spans="1:12">
      <c r="B20" s="377">
        <f t="shared" si="3"/>
        <v>2036</v>
      </c>
      <c r="C20" s="378">
        <f>VLOOKUP($B20,'[1]Table 1'!$B$13:$G$38,6,FALSE)</f>
        <v>67.804713913820805</v>
      </c>
      <c r="D20" s="376">
        <f>VLOOKUP($B20,'[2]Table 1'!$B$13:$G$38,6,FALSE)</f>
        <v>42.992610523183892</v>
      </c>
      <c r="E20" s="379">
        <f ca="1">VLOOKUP($B20,'Table 1'!$B$13:$G$38,6,FALSE)</f>
        <v>51.411607248462943</v>
      </c>
      <c r="F20" s="378">
        <f>VLOOKUP($B20,'[3]Table 1'!$B$13:$G$38,6,FALSE)</f>
        <v>67.191137895703577</v>
      </c>
      <c r="G20" s="376">
        <f>VLOOKUP($B20,'[4]Table 1'!$B$13:$G$38,6,FALSE)</f>
        <v>40.878429482359159</v>
      </c>
      <c r="H20" s="379">
        <f>VLOOKUP($B20,'[5]Table 1'!$B$13:$G$38,6,FALSE)</f>
        <v>50.517516634008402</v>
      </c>
      <c r="I20" s="378">
        <f t="shared" si="0"/>
        <v>0.61357601811722873</v>
      </c>
      <c r="J20" s="376">
        <f t="shared" si="1"/>
        <v>2.1141810408247323</v>
      </c>
      <c r="K20" s="379">
        <f t="shared" ca="1" si="2"/>
        <v>0.89409061445454086</v>
      </c>
      <c r="L20" s="376"/>
    </row>
    <row r="21" spans="1:12">
      <c r="B21" s="377">
        <f t="shared" si="3"/>
        <v>2037</v>
      </c>
      <c r="C21" s="378">
        <f>VLOOKUP($B21,'[1]Table 1'!$B$13:$G$38,6,FALSE)</f>
        <v>69.795171957759038</v>
      </c>
      <c r="D21" s="376">
        <f>VLOOKUP($B21,'[2]Table 1'!$B$13:$G$38,6,FALSE)</f>
        <v>46.230982936706845</v>
      </c>
      <c r="E21" s="379">
        <f ca="1">VLOOKUP($B21,'Table 1'!$B$13:$G$38,6,FALSE)</f>
        <v>53.860388584573379</v>
      </c>
      <c r="F21" s="378">
        <f>VLOOKUP($B21,'[3]Table 1'!$B$13:$G$38,6,FALSE)</f>
        <v>69.092561433760409</v>
      </c>
      <c r="G21" s="376">
        <f>VLOOKUP($B21,'[4]Table 1'!$B$13:$G$38,6,FALSE)</f>
        <v>43.789019231791244</v>
      </c>
      <c r="H21" s="379">
        <f>VLOOKUP($B21,'[5]Table 1'!$B$13:$G$38,6,FALSE)</f>
        <v>52.07593594117521</v>
      </c>
      <c r="I21" s="378">
        <f t="shared" si="0"/>
        <v>0.70261052399862933</v>
      </c>
      <c r="J21" s="376">
        <f t="shared" si="1"/>
        <v>2.4419637049156009</v>
      </c>
      <c r="K21" s="379">
        <f t="shared" ca="1" si="2"/>
        <v>1.7844526433981684</v>
      </c>
      <c r="L21" s="376"/>
    </row>
    <row r="22" spans="1:12">
      <c r="B22" s="377">
        <f t="shared" si="3"/>
        <v>2038</v>
      </c>
      <c r="C22" s="378">
        <f>VLOOKUP($B22,'[1]Table 1'!$B$13:$G$38,6,FALSE)</f>
        <v>71.242246860671415</v>
      </c>
      <c r="D22" s="376">
        <f>VLOOKUP($B22,'[2]Table 1'!$B$13:$G$38,6,FALSE)</f>
        <v>46.925519803191101</v>
      </c>
      <c r="E22" s="379">
        <f ca="1">VLOOKUP($B22,'Table 1'!$B$13:$G$38,6,FALSE)</f>
        <v>54.365126780405895</v>
      </c>
      <c r="F22" s="378">
        <f>VLOOKUP($B22,'[3]Table 1'!$B$13:$G$38,6,FALSE)</f>
        <v>70.457432520380195</v>
      </c>
      <c r="G22" s="376">
        <f>VLOOKUP($B22,'[4]Table 1'!$B$13:$G$38,6,FALSE)</f>
        <v>43.813059134745806</v>
      </c>
      <c r="H22" s="379">
        <f>VLOOKUP($B22,'[5]Table 1'!$B$13:$G$38,6,FALSE)</f>
        <v>53.573504796471511</v>
      </c>
      <c r="I22" s="378">
        <f t="shared" si="0"/>
        <v>0.78481434029121999</v>
      </c>
      <c r="J22" s="376">
        <f t="shared" si="1"/>
        <v>3.1124606684452942</v>
      </c>
      <c r="K22" s="379">
        <f t="shared" ca="1" si="2"/>
        <v>0.79162198393438388</v>
      </c>
      <c r="L22" s="376"/>
    </row>
    <row r="23" spans="1:12">
      <c r="B23" s="377">
        <f t="shared" si="3"/>
        <v>2039</v>
      </c>
      <c r="C23" s="378">
        <f>VLOOKUP($B23,'[1]Table 1'!$B$13:$G$38,6,FALSE)</f>
        <v>73.031548548847155</v>
      </c>
      <c r="D23" s="376">
        <f>VLOOKUP($B23,'[2]Table 1'!$B$13:$G$38,6,FALSE)</f>
        <v>47.31062582630657</v>
      </c>
      <c r="E23" s="379">
        <f ca="1">VLOOKUP($B23,'Table 1'!$B$13:$G$38,6,FALSE)</f>
        <v>55.919329737449587</v>
      </c>
      <c r="F23" s="378">
        <f>VLOOKUP($B23,'[3]Table 1'!$B$13:$G$38,6,FALSE)</f>
        <v>72.327929693928908</v>
      </c>
      <c r="G23" s="376">
        <f>VLOOKUP($B23,'[4]Table 1'!$B$13:$G$38,6,FALSE)</f>
        <v>45.137284242729876</v>
      </c>
      <c r="H23" s="379">
        <f>VLOOKUP($B23,'[5]Table 1'!$B$13:$G$38,6,FALSE)</f>
        <v>54.425226841870028</v>
      </c>
      <c r="I23" s="378">
        <f t="shared" si="0"/>
        <v>0.70361885491824694</v>
      </c>
      <c r="J23" s="376">
        <f t="shared" si="1"/>
        <v>2.1733415835766934</v>
      </c>
      <c r="K23" s="379">
        <f t="shared" ca="1" si="2"/>
        <v>1.4941028955795588</v>
      </c>
      <c r="L23" s="376"/>
    </row>
    <row r="24" spans="1:12">
      <c r="B24" s="377">
        <f t="shared" si="3"/>
        <v>2040</v>
      </c>
      <c r="C24" s="378">
        <f>VLOOKUP($B24,'[1]Table 1'!$B$13:$G$38,6,FALSE)</f>
        <v>75.066937961745339</v>
      </c>
      <c r="D24" s="376">
        <f>VLOOKUP($B24,'[2]Table 1'!$B$13:$G$38,6,FALSE)</f>
        <v>47.970707519120332</v>
      </c>
      <c r="E24" s="379">
        <f ca="1">VLOOKUP($B24,'Table 1'!$B$13:$G$38,6,FALSE)</f>
        <v>57.63010423882222</v>
      </c>
      <c r="F24" s="378">
        <f>VLOOKUP($B24,'[3]Table 1'!$B$13:$G$38,6,FALSE)</f>
        <v>74.300557048838201</v>
      </c>
      <c r="G24" s="376">
        <f>VLOOKUP($B24,'[4]Table 1'!$B$13:$G$38,6,FALSE)</f>
        <v>45.726963014169975</v>
      </c>
      <c r="H24" s="379">
        <f>VLOOKUP($B24,'[5]Table 1'!$B$13:$G$38,6,FALSE)</f>
        <v>56.516554917408079</v>
      </c>
      <c r="I24" s="378">
        <f t="shared" si="0"/>
        <v>0.76638091290713817</v>
      </c>
      <c r="J24" s="376">
        <f t="shared" si="1"/>
        <v>2.2437445049503566</v>
      </c>
      <c r="K24" s="379">
        <f t="shared" ca="1" si="2"/>
        <v>1.1135493214141405</v>
      </c>
      <c r="L24" s="376"/>
    </row>
    <row r="25" spans="1:12">
      <c r="B25" s="377">
        <f t="shared" si="3"/>
        <v>2041</v>
      </c>
      <c r="C25" s="378">
        <f>VLOOKUP($B25,'[1]Table 1'!$B$13:$G$38,6,FALSE)</f>
        <v>77.171124857263806</v>
      </c>
      <c r="D25" s="376">
        <f>VLOOKUP($B25,'[2]Table 1'!$B$13:$G$38,6,FALSE)</f>
        <v>49.460112688437718</v>
      </c>
      <c r="E25" s="379">
        <f ca="1">VLOOKUP($B25,'Table 1'!$B$13:$G$38,6,FALSE)</f>
        <v>59.75451639863352</v>
      </c>
      <c r="F25" s="378">
        <f>VLOOKUP($B25,'[3]Table 1'!$B$13:$G$38,6,FALSE)</f>
        <v>76.437624003507707</v>
      </c>
      <c r="G25" s="376">
        <f>VLOOKUP($B25,'[4]Table 1'!$B$13:$G$38,6,FALSE)</f>
        <v>47.488157602745758</v>
      </c>
      <c r="H25" s="379">
        <f>VLOOKUP($B25,'[5]Table 1'!$B$13:$G$38,6,FALSE)</f>
        <v>58.559054092845621</v>
      </c>
      <c r="I25" s="378">
        <f t="shared" si="0"/>
        <v>0.73350085375609808</v>
      </c>
      <c r="J25" s="376">
        <f t="shared" si="1"/>
        <v>1.9719550856919597</v>
      </c>
      <c r="K25" s="379">
        <f t="shared" ca="1" si="2"/>
        <v>1.195462305787899</v>
      </c>
      <c r="L25" s="376"/>
    </row>
    <row r="26" spans="1:12">
      <c r="B26" s="380">
        <f t="shared" si="3"/>
        <v>2042</v>
      </c>
      <c r="C26" s="381">
        <f>VLOOKUP($B26,'[1]Table 1'!$B$13:$G$38,6,FALSE)</f>
        <v>79.72573816038657</v>
      </c>
      <c r="D26" s="382">
        <f>VLOOKUP($B26,'[2]Table 1'!$B$13:$G$38,6,FALSE)</f>
        <v>52.468035334514937</v>
      </c>
      <c r="E26" s="383">
        <f ca="1">VLOOKUP($B26,'Table 1'!$B$13:$G$38,6,FALSE)</f>
        <v>62.525542903924119</v>
      </c>
      <c r="F26" s="381">
        <f>VLOOKUP($B26,'[3]Table 1'!$B$13:$G$38,6,FALSE)</f>
        <v>78.979237474991692</v>
      </c>
      <c r="G26" s="382">
        <f>VLOOKUP($B26,'[4]Table 1'!$B$13:$G$38,6,FALSE)</f>
        <v>50.131385311288867</v>
      </c>
      <c r="H26" s="383">
        <f>VLOOKUP($B26,'[5]Table 1'!$B$13:$G$38,6,FALSE)</f>
        <v>61.26237760865947</v>
      </c>
      <c r="I26" s="381">
        <f t="shared" si="0"/>
        <v>0.74650068539487791</v>
      </c>
      <c r="J26" s="382">
        <f t="shared" si="1"/>
        <v>2.3366500232260705</v>
      </c>
      <c r="K26" s="383">
        <f t="shared" ca="1" si="2"/>
        <v>1.263165295264649</v>
      </c>
      <c r="L26" s="376"/>
    </row>
    <row r="27" spans="1:12">
      <c r="B27" s="384"/>
      <c r="C27" s="385"/>
      <c r="D27" s="385"/>
      <c r="E27" s="385"/>
      <c r="I27" s="385"/>
      <c r="J27" s="385"/>
      <c r="K27" s="386"/>
    </row>
    <row r="28" spans="1:12">
      <c r="B28" s="387" t="s">
        <v>327</v>
      </c>
      <c r="K28" s="388"/>
    </row>
    <row r="29" spans="1:12" ht="17.25" customHeight="1">
      <c r="B29" s="391"/>
      <c r="C29" s="378"/>
      <c r="D29" s="376"/>
      <c r="E29" s="376"/>
      <c r="F29" s="376"/>
      <c r="G29" s="376"/>
      <c r="H29" s="376"/>
      <c r="I29" s="392"/>
      <c r="J29" s="392"/>
      <c r="K29" s="393"/>
    </row>
    <row r="30" spans="1:12">
      <c r="A30" t="s">
        <v>328</v>
      </c>
      <c r="B30" s="389" t="s">
        <v>31</v>
      </c>
      <c r="C30" s="378">
        <f t="shared" ref="C30:E30" si="4">ROUND(PMT(Discount_Rate,COUNT(C11:C25),-NPV(Discount_Rate,C11:C25)),2)</f>
        <v>54.69</v>
      </c>
      <c r="D30" s="376">
        <f t="shared" si="4"/>
        <v>36.020000000000003</v>
      </c>
      <c r="E30" s="376">
        <f t="shared" ca="1" si="4"/>
        <v>42.91</v>
      </c>
      <c r="F30" s="378">
        <f>ROUND(PMT(Discount_Rate,COUNT(F11:F25),-NPV(Discount_Rate,F11:F25)),2)</f>
        <v>54.81</v>
      </c>
      <c r="G30" s="376">
        <f>ROUND(PMT(Discount_Rate,COUNT(G11:G25),-NPV(Discount_Rate,G11:G25)),2)</f>
        <v>33.85</v>
      </c>
      <c r="H30" s="376">
        <f>ROUND(PMT(Discount_Rate,COUNT(H11:H25),-NPV(Discount_Rate,H11:H25)),2)</f>
        <v>41.96</v>
      </c>
      <c r="I30" s="376">
        <f t="shared" ref="I30:K30" si="5">ROUND(PMT(Discount_Rate,COUNT(I11:I25),-NPV(Discount_Rate,I11:I25)),2)</f>
        <v>-0.13</v>
      </c>
      <c r="J30" s="376">
        <f t="shared" si="5"/>
        <v>2.17</v>
      </c>
      <c r="K30" s="379">
        <f t="shared" ca="1" si="5"/>
        <v>0.95</v>
      </c>
      <c r="L30" s="390"/>
    </row>
    <row r="31" spans="1:12" ht="17.25" customHeight="1">
      <c r="B31" s="391"/>
      <c r="C31" s="378"/>
      <c r="D31" s="376"/>
      <c r="E31" s="376"/>
      <c r="F31" s="376"/>
      <c r="G31" s="376"/>
      <c r="H31" s="376"/>
      <c r="I31" s="392">
        <f>I30/F30</f>
        <v>-2.3718299580368545E-3</v>
      </c>
      <c r="J31" s="392">
        <f>J30/G30</f>
        <v>6.4106351550960117E-2</v>
      </c>
      <c r="K31" s="393">
        <f ca="1">K30/H30</f>
        <v>2.2640610104861771E-2</v>
      </c>
    </row>
    <row r="32" spans="1:12">
      <c r="A32"/>
      <c r="B32" s="394"/>
      <c r="C32" s="376"/>
      <c r="D32" s="376"/>
      <c r="E32" s="376"/>
      <c r="F32" s="376"/>
      <c r="G32" s="376"/>
      <c r="H32" s="376"/>
      <c r="I32" s="376"/>
      <c r="J32" s="376"/>
      <c r="K32" s="376"/>
    </row>
    <row r="33" spans="2:11" ht="17.25" customHeight="1">
      <c r="B33" s="395"/>
      <c r="C33" s="376"/>
      <c r="D33" s="376"/>
      <c r="E33" s="376"/>
      <c r="F33" s="376"/>
      <c r="G33" s="376"/>
      <c r="H33" s="376"/>
      <c r="I33" s="392"/>
      <c r="J33" s="392"/>
      <c r="K33" s="392"/>
    </row>
    <row r="34" spans="2:11" ht="10.5" customHeight="1">
      <c r="B34" s="394"/>
      <c r="C34" s="376"/>
      <c r="D34" s="376"/>
      <c r="E34" s="376"/>
      <c r="F34" s="376"/>
      <c r="G34" s="376"/>
      <c r="H34" s="376"/>
      <c r="I34" s="376"/>
      <c r="J34" s="376"/>
      <c r="K34" s="376"/>
    </row>
    <row r="35" spans="2:11" ht="5.25" customHeight="1">
      <c r="F35" s="376"/>
      <c r="G35" s="376"/>
      <c r="H35" s="376"/>
    </row>
    <row r="36" spans="2:11">
      <c r="B36" s="43" t="s">
        <v>329</v>
      </c>
      <c r="C36" s="396"/>
      <c r="D36" s="396"/>
      <c r="E36" s="396"/>
      <c r="I36" s="397"/>
      <c r="J36" s="397"/>
      <c r="K36" s="397"/>
    </row>
    <row r="37" spans="2:11">
      <c r="B37" s="41" t="s">
        <v>330</v>
      </c>
      <c r="C37" s="396"/>
      <c r="D37" s="396"/>
      <c r="E37" s="396"/>
      <c r="F37" s="396"/>
      <c r="G37" s="396"/>
      <c r="H37" s="396"/>
      <c r="I37" s="397"/>
      <c r="J37" s="397"/>
      <c r="K37" s="397"/>
    </row>
    <row r="38" spans="2:11">
      <c r="B38" s="398" t="str">
        <f>"(2)   Total Avoided Costs with Capacity, based on stated CF"</f>
        <v>(2)   Total Avoided Costs with Capacity, based on stated CF</v>
      </c>
      <c r="F38" s="396"/>
      <c r="G38" s="396"/>
      <c r="H38" s="396"/>
    </row>
    <row r="39" spans="2:11">
      <c r="B39" s="43" t="str">
        <f>"(3)   15-Years: "&amp;B10&amp;" - "&amp;B24&amp;", levelized Annually"</f>
        <v>(3)   15-Years: 2026 - 2040, levelized Annually</v>
      </c>
    </row>
    <row r="40" spans="2:11">
      <c r="B40" s="9"/>
    </row>
    <row r="41" spans="2:11">
      <c r="B41" s="9"/>
    </row>
    <row r="42" spans="2:11">
      <c r="B42" s="9"/>
    </row>
    <row r="43" spans="2:11" ht="12.75" hidden="1" customHeight="1"/>
    <row r="44" spans="2:11">
      <c r="C44" s="376"/>
      <c r="D44" s="376"/>
      <c r="E44" s="376"/>
    </row>
    <row r="45" spans="2:11">
      <c r="F45" s="376"/>
      <c r="G45" s="376"/>
      <c r="H45" s="376"/>
    </row>
    <row r="46" spans="2:11">
      <c r="C46" s="390"/>
      <c r="D46" s="390"/>
      <c r="E46" s="390"/>
      <c r="I46" s="390"/>
      <c r="J46" s="390"/>
      <c r="K46" s="390"/>
    </row>
    <row r="47" spans="2:11">
      <c r="F47" s="390"/>
      <c r="G47" s="390"/>
      <c r="H47" s="390"/>
    </row>
  </sheetData>
  <mergeCells count="4">
    <mergeCell ref="B1:H1"/>
    <mergeCell ref="C9:E9"/>
    <mergeCell ref="F9:H9"/>
    <mergeCell ref="I9:K9"/>
  </mergeCells>
  <conditionalFormatting sqref="I10:K26">
    <cfRule type="expression" dxfId="3" priority="1">
      <formula>ISNA(#REF!)</formula>
    </cfRule>
  </conditionalFormatting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E93"/>
  <sheetViews>
    <sheetView view="pageBreakPreview" topLeftCell="A8" zoomScaleNormal="90" zoomScaleSheetLayoutView="100" workbookViewId="0">
      <selection activeCell="A45" sqref="A45"/>
    </sheetView>
  </sheetViews>
  <sheetFormatPr defaultRowHeight="12.75"/>
  <cols>
    <col min="1" max="1" width="12.5" style="3" customWidth="1"/>
    <col min="2" max="2" width="14.5" style="3" customWidth="1"/>
    <col min="3" max="3" width="14.1640625" style="3" customWidth="1"/>
    <col min="4" max="4" width="6.5" style="3" customWidth="1"/>
    <col min="5" max="5" width="18.83203125" style="3" customWidth="1"/>
    <col min="6" max="6" width="3.5" style="3" bestFit="1" customWidth="1"/>
    <col min="7" max="7" width="20" style="3" customWidth="1"/>
    <col min="8" max="8" width="14.1640625" style="3" customWidth="1"/>
    <col min="9" max="9" width="13.5" style="3" customWidth="1"/>
    <col min="10" max="10" width="12.83203125" customWidth="1"/>
    <col min="11" max="11" width="16.6640625" customWidth="1"/>
    <col min="12" max="12" width="19.1640625" customWidth="1"/>
    <col min="16" max="16" width="21.6640625" customWidth="1"/>
    <col min="17" max="17" width="24.83203125" customWidth="1"/>
    <col min="18" max="18" width="27.6640625" customWidth="1"/>
    <col min="19" max="19" width="28.33203125" customWidth="1"/>
    <col min="20" max="24" width="0.1640625" customWidth="1"/>
    <col min="25" max="25" width="4" customWidth="1"/>
    <col min="26" max="26" width="0.1640625" style="45" customWidth="1"/>
    <col min="27" max="46" width="0.1640625" customWidth="1"/>
    <col min="47" max="47" width="7" customWidth="1"/>
    <col min="48" max="49" width="0.1640625" customWidth="1"/>
    <col min="50" max="52" width="13.83203125" customWidth="1"/>
    <col min="53" max="53" width="25.33203125" customWidth="1"/>
    <col min="54" max="59" width="13.83203125" hidden="1" customWidth="1"/>
    <col min="60" max="60" width="11" hidden="1" customWidth="1"/>
    <col min="61" max="83" width="4.1640625" customWidth="1"/>
    <col min="84" max="84" width="13.83203125" customWidth="1"/>
    <col min="85" max="85" width="10.6640625" customWidth="1"/>
    <col min="86" max="86" width="16.1640625" customWidth="1"/>
    <col min="87" max="91" width="14.6640625" customWidth="1"/>
    <col min="92" max="95" width="12.6640625" customWidth="1"/>
    <col min="96" max="105" width="2.33203125" customWidth="1"/>
    <col min="106" max="109" width="1.33203125" customWidth="1"/>
    <col min="110" max="120" width="3.5" customWidth="1"/>
    <col min="121" max="121" width="3.1640625" customWidth="1"/>
    <col min="122" max="126" width="15.33203125" customWidth="1"/>
    <col min="127" max="150" width="1.83203125" customWidth="1"/>
    <col min="151" max="157" width="15.33203125" customWidth="1"/>
    <col min="160" max="160" width="17.33203125" customWidth="1"/>
    <col min="161" max="161" width="16.6640625" customWidth="1"/>
    <col min="162" max="162" width="15" customWidth="1"/>
  </cols>
  <sheetData>
    <row r="1" spans="1:161" ht="15.75" hidden="1">
      <c r="A1"/>
      <c r="B1" s="1" t="s">
        <v>34</v>
      </c>
      <c r="C1" s="2"/>
      <c r="D1" s="2"/>
      <c r="E1" s="2"/>
      <c r="F1" s="2"/>
      <c r="G1" s="10"/>
      <c r="H1" s="33"/>
    </row>
    <row r="2" spans="1:161" ht="5.25" customHeight="1">
      <c r="A2"/>
      <c r="B2" s="1"/>
      <c r="C2" s="2"/>
      <c r="D2" s="2"/>
      <c r="E2" s="2"/>
      <c r="G2" s="10"/>
      <c r="H2" s="33"/>
    </row>
    <row r="3" spans="1:161" ht="15.75">
      <c r="A3"/>
      <c r="B3" s="1" t="s">
        <v>20</v>
      </c>
      <c r="C3" s="2"/>
      <c r="D3" s="2"/>
      <c r="E3" s="2"/>
      <c r="F3" s="2"/>
      <c r="G3" s="10"/>
      <c r="H3" s="33"/>
      <c r="K3">
        <f>MATCH('Table 5'!K5,'Table 5'!$B$12:$B$264,FALSE)+ROW('Table 5'!B11)</f>
        <v>13</v>
      </c>
    </row>
    <row r="4" spans="1:161" ht="15.75">
      <c r="A4"/>
      <c r="B4" s="4" t="s">
        <v>17</v>
      </c>
      <c r="C4" s="4"/>
      <c r="D4" s="4"/>
      <c r="E4" s="4"/>
      <c r="F4" s="4"/>
      <c r="G4" s="1"/>
      <c r="H4" s="33"/>
      <c r="K4">
        <v>348</v>
      </c>
      <c r="P4" s="83" t="s">
        <v>54</v>
      </c>
      <c r="Q4" s="83"/>
      <c r="R4" s="83"/>
    </row>
    <row r="5" spans="1:161" ht="15.75">
      <c r="A5"/>
      <c r="B5" s="4" t="str">
        <f ca="1">'Table 5'!M4&amp; " - "&amp;TEXT(Study_MW,"#.0")&amp;" MW and "&amp;TEXT(Study_CF,"#.0%")&amp;" CF"</f>
        <v>QF - Sch38 - UT - Wind - 80.0 MW and 30.4% CF</v>
      </c>
      <c r="C5" s="4"/>
      <c r="D5" s="4"/>
      <c r="E5" s="4"/>
      <c r="F5" s="4"/>
      <c r="G5" s="1"/>
      <c r="H5" s="33"/>
      <c r="P5" s="267">
        <v>0.72755656108597289</v>
      </c>
      <c r="Q5" s="267">
        <f>1-'GCC.PX.UTS.2035'!D113</f>
        <v>0.97499999999999998</v>
      </c>
      <c r="R5" s="267">
        <f>1-'GCC.PX.UTS.2036'!D113</f>
        <v>0.97499999999999998</v>
      </c>
      <c r="S5" s="267">
        <f>1-'GCC.PX.UTS.2038'!D113</f>
        <v>0.97499999999999998</v>
      </c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FD5" s="269"/>
      <c r="FE5" t="s">
        <v>71</v>
      </c>
    </row>
    <row r="6" spans="1:161" ht="14.25" hidden="1">
      <c r="A6"/>
      <c r="B6" s="17"/>
      <c r="C6" s="4"/>
      <c r="D6" s="4"/>
      <c r="E6" s="4"/>
      <c r="F6" s="4"/>
      <c r="G6" s="10"/>
      <c r="H6" s="33"/>
    </row>
    <row r="7" spans="1:161" s="91" customFormat="1" ht="27.6" customHeight="1">
      <c r="B7" s="92"/>
      <c r="C7" s="207"/>
      <c r="D7" s="207"/>
      <c r="E7" s="92"/>
      <c r="F7" s="92"/>
      <c r="G7" s="92"/>
      <c r="H7" s="96"/>
      <c r="N7" s="91" t="s">
        <v>301</v>
      </c>
      <c r="P7" s="91" t="str">
        <f>CH7</f>
        <v>BAT.PX.BDG._.ITC.Li_ion_4hr</v>
      </c>
      <c r="Q7" s="91" t="str">
        <f t="shared" ref="Q7:S7" si="0">CI7</f>
        <v>GCC.PX.UTS._.DF_.H_2x1</v>
      </c>
      <c r="R7" s="91" t="str">
        <f t="shared" si="0"/>
        <v>GCC.PX.UTS._.DF_.H_2x1</v>
      </c>
      <c r="S7" s="91" t="str">
        <f t="shared" si="0"/>
        <v>GCC.PX.UTS._.DF_.H_2x1</v>
      </c>
      <c r="AW7" s="99"/>
      <c r="AX7" s="91" t="str">
        <f>CH7</f>
        <v>BAT.PX.BDG._.ITC.Li_ion_4hr</v>
      </c>
      <c r="AY7" s="91" t="str">
        <f t="shared" ref="AY7:BG9" si="1">CI7</f>
        <v>GCC.PX.UTS._.DF_.H_2x1</v>
      </c>
      <c r="AZ7" s="91" t="str">
        <f t="shared" si="1"/>
        <v>GCC.PX.UTS._.DF_.H_2x1</v>
      </c>
      <c r="BA7" s="91" t="str">
        <f t="shared" si="1"/>
        <v>GCC.PX.UTS._.DF_.H_2x1</v>
      </c>
      <c r="CG7" s="91" t="s">
        <v>177</v>
      </c>
      <c r="CH7" s="91" t="s">
        <v>304</v>
      </c>
      <c r="CI7" s="91" t="s">
        <v>208</v>
      </c>
      <c r="CJ7" s="91" t="s">
        <v>208</v>
      </c>
      <c r="CK7" s="91" t="s">
        <v>208</v>
      </c>
    </row>
    <row r="8" spans="1:161" s="91" customFormat="1" ht="40.700000000000003" customHeight="1">
      <c r="B8" s="92"/>
      <c r="C8" s="92"/>
      <c r="D8" s="92"/>
      <c r="E8" s="93"/>
      <c r="F8" s="94"/>
      <c r="G8" s="93" t="s">
        <v>14</v>
      </c>
      <c r="H8" s="96"/>
      <c r="I8" s="98"/>
      <c r="J8" s="93"/>
      <c r="K8"/>
      <c r="L8"/>
      <c r="M8"/>
      <c r="P8" s="91" t="str">
        <f t="shared" ref="P8:S9" si="2">AX8</f>
        <v>BAT.PX.BDG._.ITC.Li_ion_4hr</v>
      </c>
      <c r="Q8" s="91" t="str">
        <f t="shared" si="2"/>
        <v>GCC.PX.UTS._.DF_.H_2x1</v>
      </c>
      <c r="R8" s="91" t="str">
        <f t="shared" si="2"/>
        <v>GCC.PX.UTS._.DF_.H_2x1</v>
      </c>
      <c r="S8" s="91" t="str">
        <f t="shared" si="2"/>
        <v>GCC.PX.UTS._.DF_.H_2x1</v>
      </c>
      <c r="AX8" s="91" t="str">
        <f>CH8</f>
        <v>BAT.PX.BDG._.ITC.Li_ion_4hr</v>
      </c>
      <c r="AY8" s="91" t="str">
        <f t="shared" si="1"/>
        <v>GCC.PX.UTS._.DF_.H_2x1</v>
      </c>
      <c r="AZ8" s="91" t="str">
        <f t="shared" si="1"/>
        <v>GCC.PX.UTS._.DF_.H_2x1</v>
      </c>
      <c r="BA8" s="91" t="str">
        <f t="shared" si="1"/>
        <v>GCC.PX.UTS._.DF_.H_2x1</v>
      </c>
      <c r="CG8" s="99" t="s">
        <v>64</v>
      </c>
      <c r="CH8" s="91" t="str">
        <f t="shared" ref="CH8:CM9" si="3">CH7</f>
        <v>BAT.PX.BDG._.ITC.Li_ion_4hr</v>
      </c>
      <c r="CI8" s="91" t="str">
        <f t="shared" si="3"/>
        <v>GCC.PX.UTS._.DF_.H_2x1</v>
      </c>
      <c r="CJ8" s="91" t="str">
        <f t="shared" si="3"/>
        <v>GCC.PX.UTS._.DF_.H_2x1</v>
      </c>
      <c r="CK8" s="91" t="str">
        <f t="shared" si="3"/>
        <v>GCC.PX.UTS._.DF_.H_2x1</v>
      </c>
      <c r="DR8" s="99" t="s">
        <v>65</v>
      </c>
      <c r="DS8" s="99"/>
      <c r="DT8" s="99"/>
      <c r="FD8" s="87" t="s">
        <v>64</v>
      </c>
      <c r="FE8" s="88" t="s">
        <v>65</v>
      </c>
    </row>
    <row r="9" spans="1:161" s="91" customFormat="1" ht="76.7" customHeight="1">
      <c r="B9" s="92"/>
      <c r="C9" s="93" t="s">
        <v>6</v>
      </c>
      <c r="D9" s="93"/>
      <c r="E9" s="93" t="s">
        <v>18</v>
      </c>
      <c r="F9" s="94"/>
      <c r="G9" s="95">
        <f ca="1">Study_CF</f>
        <v>0.30409999999999998</v>
      </c>
      <c r="H9" s="33"/>
      <c r="I9" s="98"/>
      <c r="J9" s="93"/>
      <c r="K9"/>
      <c r="L9"/>
      <c r="M9"/>
      <c r="P9" s="189" t="str">
        <f t="shared" si="2"/>
        <v>BAT.PX.BDG._.ITC.Li_ion_4hr</v>
      </c>
      <c r="Q9" s="189" t="str">
        <f t="shared" si="2"/>
        <v>GCC.PX.UTS._.DF_.H_2x1</v>
      </c>
      <c r="R9" s="189" t="str">
        <f t="shared" si="2"/>
        <v>GCC.PX.UTS._.DF_.H_2x1</v>
      </c>
      <c r="S9" s="189" t="str">
        <f t="shared" si="2"/>
        <v>GCC.PX.UTS._.DF_.H_2x1</v>
      </c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X9" s="189" t="str">
        <f>CH9</f>
        <v>BAT.PX.BDG._.ITC.Li_ion_4hr</v>
      </c>
      <c r="AY9" s="189" t="str">
        <f t="shared" si="1"/>
        <v>GCC.PX.UTS._.DF_.H_2x1</v>
      </c>
      <c r="AZ9" s="189" t="str">
        <f t="shared" si="1"/>
        <v>GCC.PX.UTS._.DF_.H_2x1</v>
      </c>
      <c r="BA9" s="189" t="str">
        <f t="shared" si="1"/>
        <v>GCC.PX.UTS._.DF_.H_2x1</v>
      </c>
      <c r="BB9" s="189">
        <f t="shared" si="1"/>
        <v>0</v>
      </c>
      <c r="BC9" s="189">
        <f t="shared" si="1"/>
        <v>0</v>
      </c>
      <c r="BD9" s="189">
        <f t="shared" si="1"/>
        <v>0</v>
      </c>
      <c r="BE9" s="189">
        <f t="shared" si="1"/>
        <v>0</v>
      </c>
      <c r="BF9" s="189">
        <f t="shared" si="1"/>
        <v>0</v>
      </c>
      <c r="BG9" s="189">
        <f t="shared" si="1"/>
        <v>0</v>
      </c>
      <c r="BH9" s="189"/>
      <c r="BI9" s="189"/>
      <c r="BJ9" s="189"/>
      <c r="BK9" s="189"/>
      <c r="BL9" s="189"/>
      <c r="BM9" s="189"/>
      <c r="BN9" s="189"/>
      <c r="BO9" s="189"/>
      <c r="BP9" s="189"/>
      <c r="BQ9" s="189"/>
      <c r="BR9" s="189"/>
      <c r="BS9" s="189"/>
      <c r="BT9" s="189"/>
      <c r="BU9" s="189"/>
      <c r="BV9" s="189"/>
      <c r="BW9" s="189"/>
      <c r="BX9" s="189"/>
      <c r="BY9" s="189"/>
      <c r="BZ9" s="189"/>
      <c r="CA9" s="189"/>
      <c r="CB9" s="189"/>
      <c r="CC9" s="189"/>
      <c r="CD9" s="189"/>
      <c r="CE9" s="189"/>
      <c r="CH9" s="189" t="str">
        <f t="shared" si="3"/>
        <v>BAT.PX.BDG._.ITC.Li_ion_4hr</v>
      </c>
      <c r="CI9" s="189" t="str">
        <f t="shared" si="3"/>
        <v>GCC.PX.UTS._.DF_.H_2x1</v>
      </c>
      <c r="CJ9" s="189" t="str">
        <f t="shared" si="3"/>
        <v>GCC.PX.UTS._.DF_.H_2x1</v>
      </c>
      <c r="CK9" s="189" t="str">
        <f t="shared" si="3"/>
        <v>GCC.PX.UTS._.DF_.H_2x1</v>
      </c>
      <c r="CL9" s="189">
        <f t="shared" si="3"/>
        <v>0</v>
      </c>
      <c r="CM9" s="189">
        <f t="shared" si="3"/>
        <v>0</v>
      </c>
      <c r="CN9" s="163"/>
      <c r="CO9" s="163"/>
      <c r="CP9" s="163"/>
      <c r="CQ9" s="163"/>
      <c r="CR9" s="163"/>
      <c r="CS9" s="163"/>
      <c r="CT9" s="163"/>
      <c r="CU9" s="163"/>
      <c r="CV9" s="163"/>
      <c r="CW9" s="163"/>
      <c r="CX9" s="163"/>
      <c r="CY9" s="163"/>
      <c r="CZ9" s="163"/>
      <c r="DA9" s="163"/>
      <c r="DR9" s="91" t="str">
        <f t="shared" ref="DR9:ET9" si="4">CH9</f>
        <v>BAT.PX.BDG._.ITC.Li_ion_4hr</v>
      </c>
      <c r="DS9" s="91" t="str">
        <f t="shared" si="4"/>
        <v>GCC.PX.UTS._.DF_.H_2x1</v>
      </c>
      <c r="DT9" s="91" t="str">
        <f t="shared" si="4"/>
        <v>GCC.PX.UTS._.DF_.H_2x1</v>
      </c>
      <c r="DU9" s="91" t="str">
        <f t="shared" si="4"/>
        <v>GCC.PX.UTS._.DF_.H_2x1</v>
      </c>
      <c r="DV9" s="101">
        <f t="shared" si="4"/>
        <v>0</v>
      </c>
      <c r="DW9" s="91">
        <f t="shared" si="4"/>
        <v>0</v>
      </c>
      <c r="DX9" s="101">
        <f t="shared" si="4"/>
        <v>0</v>
      </c>
      <c r="DY9" s="91">
        <f t="shared" si="4"/>
        <v>0</v>
      </c>
      <c r="DZ9" s="91">
        <f t="shared" si="4"/>
        <v>0</v>
      </c>
      <c r="EA9" s="91">
        <f t="shared" si="4"/>
        <v>0</v>
      </c>
      <c r="EB9" s="91">
        <f t="shared" si="4"/>
        <v>0</v>
      </c>
      <c r="EC9" s="91">
        <f t="shared" si="4"/>
        <v>0</v>
      </c>
      <c r="ED9" s="91">
        <f t="shared" si="4"/>
        <v>0</v>
      </c>
      <c r="EE9" s="91">
        <f t="shared" si="4"/>
        <v>0</v>
      </c>
      <c r="EF9" s="91">
        <f t="shared" si="4"/>
        <v>0</v>
      </c>
      <c r="EG9" s="91">
        <f t="shared" si="4"/>
        <v>0</v>
      </c>
      <c r="EH9" s="91">
        <f t="shared" si="4"/>
        <v>0</v>
      </c>
      <c r="EI9" s="91">
        <f t="shared" si="4"/>
        <v>0</v>
      </c>
      <c r="EJ9" s="91">
        <f t="shared" si="4"/>
        <v>0</v>
      </c>
      <c r="EK9" s="91">
        <f t="shared" si="4"/>
        <v>0</v>
      </c>
      <c r="EL9" s="91">
        <f t="shared" si="4"/>
        <v>0</v>
      </c>
      <c r="EM9" s="91">
        <f t="shared" si="4"/>
        <v>0</v>
      </c>
      <c r="EN9" s="91">
        <f t="shared" si="4"/>
        <v>0</v>
      </c>
      <c r="EO9" s="91">
        <f t="shared" si="4"/>
        <v>0</v>
      </c>
      <c r="EP9" s="91">
        <f t="shared" si="4"/>
        <v>0</v>
      </c>
      <c r="EQ9" s="91">
        <f t="shared" si="4"/>
        <v>0</v>
      </c>
      <c r="ER9" s="91">
        <f t="shared" si="4"/>
        <v>0</v>
      </c>
      <c r="ES9" s="91">
        <f t="shared" si="4"/>
        <v>0</v>
      </c>
      <c r="ET9" s="91">
        <f t="shared" si="4"/>
        <v>0</v>
      </c>
      <c r="FA9" s="91" t="s">
        <v>66</v>
      </c>
      <c r="FD9" s="91" t="s">
        <v>178</v>
      </c>
      <c r="FE9" s="91" t="str">
        <f>FD9</f>
        <v>Cluster 2/3 - Willamette Valley - Fry-Full Circle 230 kV</v>
      </c>
    </row>
    <row r="10" spans="1:161">
      <c r="A10"/>
      <c r="B10" s="5" t="s">
        <v>0</v>
      </c>
      <c r="C10" s="5" t="str">
        <f>"Price"&amp;IF(I8&lt;&gt;1," ","")</f>
        <v xml:space="preserve">Price </v>
      </c>
      <c r="D10" s="5"/>
      <c r="E10" s="5" t="s">
        <v>19</v>
      </c>
      <c r="F10" s="35"/>
      <c r="G10" s="5" t="s">
        <v>15</v>
      </c>
      <c r="H10" s="159"/>
      <c r="I10" s="98"/>
      <c r="J10" s="93"/>
      <c r="Z10"/>
    </row>
    <row r="11" spans="1:161" ht="13.5">
      <c r="A11"/>
      <c r="B11" s="5"/>
      <c r="C11" s="5" t="s">
        <v>16</v>
      </c>
      <c r="D11" s="5"/>
      <c r="E11" s="192" t="s">
        <v>49</v>
      </c>
      <c r="F11" s="35"/>
      <c r="G11" s="5" t="s">
        <v>31</v>
      </c>
      <c r="H11" s="5"/>
      <c r="I11" s="98"/>
      <c r="J11" s="93"/>
      <c r="P11" t="s">
        <v>32</v>
      </c>
      <c r="Q11" t="s">
        <v>32</v>
      </c>
      <c r="R11" t="s">
        <v>32</v>
      </c>
      <c r="S11" t="s">
        <v>32</v>
      </c>
      <c r="Z11"/>
      <c r="AX11" t="s">
        <v>32</v>
      </c>
      <c r="AY11" t="s">
        <v>32</v>
      </c>
      <c r="AZ11" t="s">
        <v>32</v>
      </c>
      <c r="BA11" t="s">
        <v>32</v>
      </c>
      <c r="CH11" t="s">
        <v>67</v>
      </c>
      <c r="CI11" t="s">
        <v>67</v>
      </c>
      <c r="CJ11" t="s">
        <v>67</v>
      </c>
      <c r="CK11" t="s">
        <v>67</v>
      </c>
      <c r="CL11" t="s">
        <v>67</v>
      </c>
      <c r="CM11" t="s">
        <v>67</v>
      </c>
      <c r="CN11" t="s">
        <v>67</v>
      </c>
      <c r="CO11" t="s">
        <v>67</v>
      </c>
      <c r="CP11" t="s">
        <v>67</v>
      </c>
      <c r="CQ11" t="s">
        <v>67</v>
      </c>
      <c r="DR11" t="s">
        <v>68</v>
      </c>
      <c r="DS11" t="s">
        <v>68</v>
      </c>
      <c r="DT11" t="s">
        <v>68</v>
      </c>
      <c r="DU11" t="s">
        <v>68</v>
      </c>
      <c r="DV11" t="s">
        <v>68</v>
      </c>
      <c r="DW11" t="s">
        <v>68</v>
      </c>
      <c r="DX11" t="s">
        <v>68</v>
      </c>
      <c r="DY11" t="s">
        <v>68</v>
      </c>
      <c r="DZ11" t="s">
        <v>68</v>
      </c>
      <c r="EA11" t="s">
        <v>68</v>
      </c>
      <c r="EB11" t="s">
        <v>68</v>
      </c>
      <c r="EC11" t="s">
        <v>68</v>
      </c>
      <c r="ED11" t="s">
        <v>68</v>
      </c>
      <c r="EE11" t="s">
        <v>68</v>
      </c>
      <c r="EF11" t="s">
        <v>68</v>
      </c>
      <c r="EG11" t="s">
        <v>68</v>
      </c>
      <c r="EH11" t="s">
        <v>68</v>
      </c>
      <c r="EI11" t="s">
        <v>68</v>
      </c>
      <c r="EJ11" t="s">
        <v>68</v>
      </c>
      <c r="EK11" t="s">
        <v>68</v>
      </c>
      <c r="EL11" t="s">
        <v>68</v>
      </c>
      <c r="EM11" t="s">
        <v>68</v>
      </c>
      <c r="EN11" t="s">
        <v>68</v>
      </c>
      <c r="EO11" t="s">
        <v>68</v>
      </c>
      <c r="EP11" t="s">
        <v>68</v>
      </c>
      <c r="EQ11" t="s">
        <v>68</v>
      </c>
      <c r="ER11" t="s">
        <v>68</v>
      </c>
      <c r="ES11" t="s">
        <v>68</v>
      </c>
      <c r="ET11" t="s">
        <v>68</v>
      </c>
      <c r="FA11" t="s">
        <v>68</v>
      </c>
      <c r="FD11" t="s">
        <v>67</v>
      </c>
      <c r="FE11" t="s">
        <v>68</v>
      </c>
    </row>
    <row r="12" spans="1:161">
      <c r="A12"/>
      <c r="B12" s="5"/>
      <c r="C12" s="106"/>
      <c r="D12" s="5"/>
      <c r="E12" s="5"/>
      <c r="F12" s="5"/>
      <c r="H12" s="96"/>
      <c r="I12" s="98"/>
      <c r="J12" s="93"/>
      <c r="L12" s="91"/>
      <c r="M12" s="91"/>
    </row>
    <row r="13" spans="1:161">
      <c r="A13"/>
      <c r="B13" s="193">
        <f>'Table 5'!J13</f>
        <v>2026</v>
      </c>
      <c r="C13" s="8">
        <f t="shared" ref="C13:C38" si="5">(INDEX($FA:$FA,MATCH(B13,$O:$O,0),1)+INDEX($FE:$FE,MATCH(B13,$O:$O,0),1))*1000/Study_MW</f>
        <v>0</v>
      </c>
      <c r="D13" s="194"/>
      <c r="E13" s="8">
        <f ca="1">SUMIF(INDIRECT("'Table 5'!$J$"&amp;$K$3&amp;":$J$"&amp;$K$4),B13,INDIRECT("'Table 5'!$c$"&amp;$K$3&amp;":$c$"&amp;$K$4))/SUMIF(INDIRECT("'Table 5'!$J$"&amp;$K$3&amp;":$J$"&amp;$K$4),B13,INDIRECT("'Table 5'!$f$"&amp;$K$3&amp;":$f$"&amp;$K$4))</f>
        <v>13.037515506846866</v>
      </c>
      <c r="F13" s="33"/>
      <c r="G13" s="8">
        <f ca="1">SUMIF(INDIRECT("'Table 5'!$J$"&amp;$K$3&amp;":$J$"&amp;$K$4),B13,INDIRECT("'Table 5'!$e$"&amp;$K$3&amp;":$e$"&amp;$K$4))/SUMIF(INDIRECT("'Table 5'!$J$"&amp;$K$3&amp;":$J$"&amp;$K$4),B13,INDIRECT("'Table 5'!$f$"&amp;$K$3&amp;":$f$"&amp;$K$4))</f>
        <v>13.037515506846866</v>
      </c>
      <c r="H13" s="8"/>
      <c r="I13" s="98"/>
      <c r="J13" s="93"/>
      <c r="O13">
        <f t="shared" ref="O13:O32" si="6">B13</f>
        <v>2026</v>
      </c>
      <c r="P13" s="45">
        <v>0</v>
      </c>
      <c r="Q13">
        <v>0</v>
      </c>
      <c r="R13">
        <v>0</v>
      </c>
      <c r="S13">
        <v>0</v>
      </c>
      <c r="Z13"/>
      <c r="AX13" s="45">
        <f>P13/P$5</f>
        <v>0</v>
      </c>
      <c r="AY13">
        <f>Q13/Q$5</f>
        <v>0</v>
      </c>
      <c r="AZ13">
        <f t="shared" ref="AZ13:AZ38" si="7">R13/R$5</f>
        <v>0</v>
      </c>
      <c r="BA13">
        <f t="shared" ref="BA13:BA38" si="8">S13/S$5</f>
        <v>0</v>
      </c>
      <c r="CG13" s="145">
        <f t="shared" ref="CG13:CG34" si="9">O13</f>
        <v>2026</v>
      </c>
      <c r="CH13" s="70">
        <f>INDEX(Table3Compare!$E$6:$E$37,MATCH($CG13,Table3Compare!$A$6:$A$37,0),1)</f>
        <v>0</v>
      </c>
      <c r="CI13" s="70">
        <f>INDEX(Table3Compare!$B$6:$B$37,MATCH($CG13,Table3Compare!$A$6:$A$37,0),1)</f>
        <v>0</v>
      </c>
      <c r="CJ13" s="70">
        <f>INDEX(Table3Compare!$C$6:$C$37,MATCH($CG13,Table3Compare!$A$6:$A$37,0),MATCH(CJ$9,Table3Compare!$B$5:$K$5,0))</f>
        <v>0</v>
      </c>
      <c r="CK13" s="70">
        <f>INDEX(Table3Compare!$D$6:$D$37,MATCH($CG13,Table3Compare!$A$6:$A$37,0),MATCH(CK$9,Table3Compare!$B$5:$K$5,0))</f>
        <v>0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150"/>
      <c r="DR13" s="45">
        <f>SUM(AX$13:AX13)*CH13/1000</f>
        <v>0</v>
      </c>
      <c r="DS13">
        <f>SUM(AY$13:AY13)*CI13/1000</f>
        <v>0</v>
      </c>
      <c r="DT13">
        <f>SUM(AZ$13:AZ13)*CJ13/1000</f>
        <v>0</v>
      </c>
      <c r="DU13">
        <f>SUM(BA$13:BA13)*CK13/1000</f>
        <v>0</v>
      </c>
      <c r="ED13">
        <f>SUM(BJ$13:BJ13)*CT13/1000</f>
        <v>0</v>
      </c>
      <c r="EE13">
        <f>SUM(BK$13:BK13)*CU13/1000</f>
        <v>0</v>
      </c>
      <c r="EF13">
        <f>SUM(BL$13:BL13)*CV13/1000</f>
        <v>0</v>
      </c>
      <c r="EG13">
        <f>SUM(BM$13:BM13)*CW13/1000</f>
        <v>0</v>
      </c>
      <c r="EH13">
        <f>SUM(BN$13:BN13)*CX13/1000</f>
        <v>0</v>
      </c>
      <c r="EI13">
        <f>SUM(BO$13:BO13)*CY13/1000</f>
        <v>0</v>
      </c>
      <c r="EJ13">
        <f>SUM(BP$13:BP13)*CZ13/1000</f>
        <v>0</v>
      </c>
      <c r="EK13">
        <f>SUM(BQ$13:BQ13)*DA13/1000</f>
        <v>0</v>
      </c>
      <c r="EL13">
        <f>SUM(BR$13:BR13)*DB13/1000</f>
        <v>0</v>
      </c>
      <c r="EM13">
        <f>SUM(BS$13:BS13)*DC13/1000</f>
        <v>0</v>
      </c>
      <c r="EN13">
        <f>SUM(BT$13:BT13)*DD13/1000</f>
        <v>0</v>
      </c>
      <c r="EO13">
        <f>SUM(BU$13:BU13)*DE13/1000</f>
        <v>0</v>
      </c>
      <c r="EP13">
        <f>SUM(BV$13:BV13)*DF13/1000</f>
        <v>0</v>
      </c>
      <c r="EQ13">
        <f>SUM(BW$13:BW13)*DG13/1000</f>
        <v>0</v>
      </c>
      <c r="ER13">
        <f>SUM(BX$13:BX13)*DH13/1000</f>
        <v>0</v>
      </c>
      <c r="ES13">
        <f>SUM(BY$13:BY13)*DI13/1000</f>
        <v>0</v>
      </c>
      <c r="ET13">
        <f>SUM(BZ$13:BZ13)*DJ13/1000</f>
        <v>0</v>
      </c>
      <c r="FA13">
        <f>SUM(DR13:EZ13)</f>
        <v>0</v>
      </c>
      <c r="FC13">
        <f t="shared" ref="FC13:FC34" si="10">O13</f>
        <v>2026</v>
      </c>
      <c r="FD13" s="45"/>
      <c r="FE13" s="86">
        <f>$FD$5*FD13/1000</f>
        <v>0</v>
      </c>
    </row>
    <row r="14" spans="1:161">
      <c r="A14"/>
      <c r="B14" s="193">
        <f t="shared" ref="B14:B38" si="11">B13+1</f>
        <v>2027</v>
      </c>
      <c r="C14" s="8">
        <f t="shared" si="5"/>
        <v>0</v>
      </c>
      <c r="D14" s="194"/>
      <c r="E14" s="8">
        <f t="shared" ref="E14:E32" ca="1" si="12">SUMIF(INDIRECT("'Table 5'!$J$"&amp;$K$3&amp;":$J$"&amp;$K$4),B14,INDIRECT("'Table 5'!$c$"&amp;$K$3&amp;":$c$"&amp;$K$4))/SUMIF(INDIRECT("'Table 5'!$J$"&amp;$K$3&amp;":$J$"&amp;$K$4),B14,INDIRECT("'Table 5'!$f$"&amp;$K$3&amp;":$f$"&amp;$K$4))</f>
        <v>19.057261976279765</v>
      </c>
      <c r="F14" s="33"/>
      <c r="G14" s="8">
        <f t="shared" ref="G14:G32" ca="1" si="13">SUMIF(INDIRECT("'Table 5'!$J$"&amp;$K$3&amp;":$J$"&amp;$K$4),B14,INDIRECT("'Table 5'!$e$"&amp;$K$3&amp;":$e$"&amp;$K$4))/SUMIF(INDIRECT("'Table 5'!$J$"&amp;$K$3&amp;":$J$"&amp;$K$4),B14,INDIRECT("'Table 5'!$f$"&amp;$K$3&amp;":$f$"&amp;$K$4))</f>
        <v>19.057261976279765</v>
      </c>
      <c r="H14" s="8"/>
      <c r="I14" s="98"/>
      <c r="J14" s="93"/>
      <c r="O14">
        <f t="shared" si="6"/>
        <v>2027</v>
      </c>
      <c r="P14" s="45">
        <v>0</v>
      </c>
      <c r="Q14">
        <v>0</v>
      </c>
      <c r="R14">
        <v>0</v>
      </c>
      <c r="S14">
        <v>0</v>
      </c>
      <c r="Z14"/>
      <c r="AX14" s="45">
        <f t="shared" ref="AX14:AY38" si="14">P14/P$5</f>
        <v>0</v>
      </c>
      <c r="AY14">
        <f t="shared" si="14"/>
        <v>0</v>
      </c>
      <c r="AZ14">
        <f t="shared" si="7"/>
        <v>0</v>
      </c>
      <c r="BA14">
        <f t="shared" si="8"/>
        <v>0</v>
      </c>
      <c r="CG14" s="145">
        <f t="shared" si="9"/>
        <v>2027</v>
      </c>
      <c r="CH14" s="70">
        <f>INDEX(Table3Compare!$E$6:$E$37,MATCH($CG14,Table3Compare!$A$6:$A$37,0),1)</f>
        <v>0</v>
      </c>
      <c r="CI14" s="70">
        <f>INDEX(Table3Compare!$B$6:$B$37,MATCH($CG14,Table3Compare!$A$6:$A$37,0),1)</f>
        <v>0</v>
      </c>
      <c r="CJ14" s="70">
        <f>INDEX(Table3Compare!$C$6:$C$37,MATCH($CG14,Table3Compare!$A$6:$A$37,0),MATCH(CJ$9,Table3Compare!$B$5:$K$5,0))</f>
        <v>0</v>
      </c>
      <c r="CK14" s="70">
        <f>INDEX(Table3Compare!$D$6:$D$37,MATCH($CG14,Table3Compare!$A$6:$A$37,0),MATCH(CK$9,Table3Compare!$B$5:$K$5,0))</f>
        <v>0</v>
      </c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150"/>
      <c r="DG14" s="150"/>
      <c r="DH14" s="70"/>
      <c r="DI14" s="150"/>
      <c r="DJ14" s="150"/>
      <c r="DK14" s="150"/>
      <c r="DL14" s="150"/>
      <c r="DM14" s="150"/>
      <c r="DR14" s="45">
        <f>SUM(AX$13:AX14)*CH14/1000</f>
        <v>0</v>
      </c>
      <c r="DS14">
        <f>SUM(AY$13:AY14)*CI14/1000</f>
        <v>0</v>
      </c>
      <c r="DT14">
        <f>SUM(AZ$13:AZ14)*CJ14/1000</f>
        <v>0</v>
      </c>
      <c r="DU14">
        <f>SUM(BA$13:BA14)*CK14/1000</f>
        <v>0</v>
      </c>
      <c r="ED14">
        <f>SUM(BJ$13:BJ14)*CT14/1000</f>
        <v>0</v>
      </c>
      <c r="EE14">
        <f>SUM(BK$13:BK14)*CU14/1000</f>
        <v>0</v>
      </c>
      <c r="EF14">
        <f>SUM(BL$13:BL14)*CV14/1000</f>
        <v>0</v>
      </c>
      <c r="EG14">
        <f>SUM(BM$13:BM14)*CW14/1000</f>
        <v>0</v>
      </c>
      <c r="EH14">
        <f>SUM(BN$13:BN14)*CX14/1000</f>
        <v>0</v>
      </c>
      <c r="EI14">
        <f>SUM(BO$13:BO14)*CY14/1000</f>
        <v>0</v>
      </c>
      <c r="EJ14">
        <f>SUM(BP$13:BP14)*CZ14/1000</f>
        <v>0</v>
      </c>
      <c r="EK14">
        <f>SUM(BQ$13:BQ14)*DA14/1000</f>
        <v>0</v>
      </c>
      <c r="EL14">
        <f>SUM(BR$13:BR14)*DB14/1000</f>
        <v>0</v>
      </c>
      <c r="EM14">
        <f>SUM(BS$13:BS14)*DC14/1000</f>
        <v>0</v>
      </c>
      <c r="EN14">
        <f>SUM(BT$13:BT14)*DD14/1000</f>
        <v>0</v>
      </c>
      <c r="EO14">
        <f>SUM(BU$13:BU14)*DE14/1000</f>
        <v>0</v>
      </c>
      <c r="EP14">
        <f>SUM(BV$13:BV14)*DF14/1000</f>
        <v>0</v>
      </c>
      <c r="EQ14">
        <f>SUM(BW$13:BW14)*DG14/1000</f>
        <v>0</v>
      </c>
      <c r="ER14">
        <f>SUM(BX$13:BX14)*DH14/1000</f>
        <v>0</v>
      </c>
      <c r="ES14">
        <f>SUM(BY$13:BY14)*DI14/1000</f>
        <v>0</v>
      </c>
      <c r="ET14">
        <f>SUM(BZ$13:BZ14)*DJ14/1000</f>
        <v>0</v>
      </c>
      <c r="FA14">
        <f t="shared" ref="FA14:FA34" si="15">SUM(DR14:EZ14)</f>
        <v>0</v>
      </c>
      <c r="FC14">
        <f t="shared" si="10"/>
        <v>2027</v>
      </c>
      <c r="FD14" s="45"/>
      <c r="FE14" s="86">
        <f t="shared" ref="FE14:FE32" si="16">$FD$5*FD14/1000</f>
        <v>0</v>
      </c>
    </row>
    <row r="15" spans="1:161">
      <c r="A15"/>
      <c r="B15" s="193">
        <f t="shared" si="11"/>
        <v>2028</v>
      </c>
      <c r="C15" s="8">
        <f t="shared" si="5"/>
        <v>0</v>
      </c>
      <c r="D15" s="194"/>
      <c r="E15" s="8">
        <f t="shared" ca="1" si="12"/>
        <v>23.168734484363039</v>
      </c>
      <c r="F15" s="33"/>
      <c r="G15" s="8">
        <f t="shared" ca="1" si="13"/>
        <v>23.168734484363039</v>
      </c>
      <c r="H15" s="8"/>
      <c r="I15" s="98"/>
      <c r="J15" s="93"/>
      <c r="O15">
        <f t="shared" si="6"/>
        <v>2028</v>
      </c>
      <c r="P15" s="45">
        <v>0</v>
      </c>
      <c r="Q15">
        <v>0</v>
      </c>
      <c r="R15">
        <v>0</v>
      </c>
      <c r="S15">
        <v>0</v>
      </c>
      <c r="Z15"/>
      <c r="AX15" s="45">
        <f t="shared" si="14"/>
        <v>0</v>
      </c>
      <c r="AY15">
        <f t="shared" si="14"/>
        <v>0</v>
      </c>
      <c r="AZ15">
        <f t="shared" si="7"/>
        <v>0</v>
      </c>
      <c r="BA15">
        <f t="shared" si="8"/>
        <v>0</v>
      </c>
      <c r="CG15" s="145">
        <f t="shared" si="9"/>
        <v>2028</v>
      </c>
      <c r="CH15" s="70">
        <f>INDEX(Table3Compare!$E$6:$E$37,MATCH($CG15,Table3Compare!$A$6:$A$37,0),1)</f>
        <v>0</v>
      </c>
      <c r="CI15" s="70">
        <f>INDEX(Table3Compare!$B$6:$B$37,MATCH($CG15,Table3Compare!$A$6:$A$37,0),1)</f>
        <v>0</v>
      </c>
      <c r="CJ15" s="70">
        <f>INDEX(Table3Compare!$C$6:$C$37,MATCH($CG15,Table3Compare!$A$6:$A$37,0),MATCH(CJ$9,Table3Compare!$B$5:$K$5,0))</f>
        <v>0</v>
      </c>
      <c r="CK15" s="70">
        <f>INDEX(Table3Compare!$D$6:$D$37,MATCH($CG15,Table3Compare!$A$6:$A$37,0),MATCH(CK$9,Table3Compare!$B$5:$K$5,0))</f>
        <v>0</v>
      </c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150"/>
      <c r="DG15" s="150"/>
      <c r="DH15" s="70"/>
      <c r="DI15" s="150"/>
      <c r="DJ15" s="150"/>
      <c r="DK15" s="150"/>
      <c r="DL15" s="150"/>
      <c r="DM15" s="150"/>
      <c r="DR15" s="45">
        <f>SUM(AX$13:AX15)*CH15/1000</f>
        <v>0</v>
      </c>
      <c r="DS15">
        <f>SUM(AY$13:AY15)*CI15/1000</f>
        <v>0</v>
      </c>
      <c r="DT15">
        <f>SUM(AZ$13:AZ15)*CJ15/1000</f>
        <v>0</v>
      </c>
      <c r="DU15">
        <f>SUM(BA$13:BA15)*CK15/1000</f>
        <v>0</v>
      </c>
      <c r="ED15">
        <f>SUM(BJ$13:BJ15)*CT15/1000</f>
        <v>0</v>
      </c>
      <c r="EE15">
        <f>SUM(BK$13:BK15)*CU15/1000</f>
        <v>0</v>
      </c>
      <c r="EF15">
        <f>SUM(BL$13:BL15)*CV15/1000</f>
        <v>0</v>
      </c>
      <c r="EG15">
        <f>SUM(BM$13:BM15)*CW15/1000</f>
        <v>0</v>
      </c>
      <c r="EH15">
        <f>SUM(BN$13:BN15)*CX15/1000</f>
        <v>0</v>
      </c>
      <c r="EI15">
        <f>SUM(BO$13:BO15)*CY15/1000</f>
        <v>0</v>
      </c>
      <c r="EJ15">
        <f>SUM(BP$13:BP15)*CZ15/1000</f>
        <v>0</v>
      </c>
      <c r="EK15">
        <f>SUM(BQ$13:BQ15)*DA15/1000</f>
        <v>0</v>
      </c>
      <c r="EL15">
        <f>SUM(BR$13:BR15)*DB15/1000</f>
        <v>0</v>
      </c>
      <c r="EM15">
        <f>SUM(BS$13:BS15)*DC15/1000</f>
        <v>0</v>
      </c>
      <c r="EN15">
        <f>SUM(BT$13:BT15)*DD15/1000</f>
        <v>0</v>
      </c>
      <c r="EO15">
        <f>SUM(BU$13:BU15)*DE15/1000</f>
        <v>0</v>
      </c>
      <c r="EP15">
        <f>SUM(BV$13:BV15)*DF15/1000</f>
        <v>0</v>
      </c>
      <c r="EQ15">
        <f>SUM(BW$13:BW15)*DG15/1000</f>
        <v>0</v>
      </c>
      <c r="ER15">
        <f>SUM(BX$13:BX15)*DH15/1000</f>
        <v>0</v>
      </c>
      <c r="ES15">
        <f>SUM(BY$13:BY15)*DI15/1000</f>
        <v>0</v>
      </c>
      <c r="ET15">
        <f>SUM(BZ$13:BZ15)*DJ15/1000</f>
        <v>0</v>
      </c>
      <c r="FA15">
        <f t="shared" si="15"/>
        <v>0</v>
      </c>
      <c r="FC15">
        <f t="shared" si="10"/>
        <v>2028</v>
      </c>
      <c r="FD15" s="45"/>
      <c r="FE15" s="86">
        <f t="shared" si="16"/>
        <v>0</v>
      </c>
    </row>
    <row r="16" spans="1:161">
      <c r="A16"/>
      <c r="B16" s="193">
        <f t="shared" si="11"/>
        <v>2029</v>
      </c>
      <c r="C16" s="8">
        <f t="shared" si="5"/>
        <v>0</v>
      </c>
      <c r="D16" s="194"/>
      <c r="E16" s="8">
        <f t="shared" ca="1" si="12"/>
        <v>25.251296645263103</v>
      </c>
      <c r="F16" s="33"/>
      <c r="G16" s="8">
        <f t="shared" ca="1" si="13"/>
        <v>25.251296645263103</v>
      </c>
      <c r="H16" s="8"/>
      <c r="I16" s="98"/>
      <c r="J16" s="93"/>
      <c r="O16">
        <f t="shared" si="6"/>
        <v>2029</v>
      </c>
      <c r="P16" s="45">
        <v>0</v>
      </c>
      <c r="Q16">
        <v>0</v>
      </c>
      <c r="R16">
        <v>0</v>
      </c>
      <c r="S16">
        <v>0</v>
      </c>
      <c r="T16" s="45"/>
      <c r="U16" s="45"/>
      <c r="V16" s="45"/>
      <c r="W16" s="45"/>
      <c r="X16" s="45"/>
      <c r="Y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X16" s="45">
        <f t="shared" si="14"/>
        <v>0</v>
      </c>
      <c r="AY16" s="206">
        <f t="shared" si="14"/>
        <v>0</v>
      </c>
      <c r="AZ16" s="206">
        <f t="shared" si="7"/>
        <v>0</v>
      </c>
      <c r="BA16" s="206">
        <f t="shared" si="8"/>
        <v>0</v>
      </c>
      <c r="BB16" s="206"/>
      <c r="BC16" s="206"/>
      <c r="BD16" s="206"/>
      <c r="BE16" s="206"/>
      <c r="BF16" s="206"/>
      <c r="BG16" s="206"/>
      <c r="CG16" s="145">
        <f t="shared" si="9"/>
        <v>2029</v>
      </c>
      <c r="CH16" s="70">
        <f>INDEX(Table3Compare!$E$6:$E$37,MATCH($CG16,Table3Compare!$A$6:$A$37,0),1)</f>
        <v>0</v>
      </c>
      <c r="CI16" s="70">
        <f>INDEX(Table3Compare!$B$6:$B$37,MATCH($CG16,Table3Compare!$A$6:$A$37,0),1)</f>
        <v>0</v>
      </c>
      <c r="CJ16" s="70">
        <f>INDEX(Table3Compare!$C$6:$C$37,MATCH($CG16,Table3Compare!$A$6:$A$37,0),MATCH(CJ$9,Table3Compare!$B$5:$K$5,0))</f>
        <v>0</v>
      </c>
      <c r="CK16" s="70">
        <f>INDEX(Table3Compare!$D$6:$D$37,MATCH($CG16,Table3Compare!$A$6:$A$37,0),MATCH(CK$9,Table3Compare!$B$5:$K$5,0))</f>
        <v>0</v>
      </c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150"/>
      <c r="DG16" s="150"/>
      <c r="DH16" s="70"/>
      <c r="DI16" s="150"/>
      <c r="DJ16" s="150"/>
      <c r="DK16" s="150"/>
      <c r="DL16" s="150"/>
      <c r="DM16" s="150"/>
      <c r="DR16" s="45">
        <f>SUM(AX$13:AX16)*CH16/1000</f>
        <v>0</v>
      </c>
      <c r="DS16">
        <f>SUM(AY$13:AY16)*CI16/1000</f>
        <v>0</v>
      </c>
      <c r="DT16">
        <f>SUM(AZ$13:AZ16)*CJ16/1000</f>
        <v>0</v>
      </c>
      <c r="DU16">
        <f>SUM(BA$13:BA16)*CK16/1000</f>
        <v>0</v>
      </c>
      <c r="EB16" s="45"/>
      <c r="ED16">
        <f>SUM(BJ$13:BJ16)*CT16/1000</f>
        <v>0</v>
      </c>
      <c r="EE16">
        <f>SUM(BK$13:BK16)*CU16/1000</f>
        <v>0</v>
      </c>
      <c r="EF16">
        <f>SUM(BL$13:BL16)*CV16/1000</f>
        <v>0</v>
      </c>
      <c r="EG16">
        <f>SUM(BM$13:BM16)*CW16/1000</f>
        <v>0</v>
      </c>
      <c r="EH16">
        <f>SUM(BN$13:BN16)*CX16/1000</f>
        <v>0</v>
      </c>
      <c r="EI16">
        <f>SUM(BO$13:BO16)*CY16/1000</f>
        <v>0</v>
      </c>
      <c r="EJ16">
        <f>SUM(BP$13:BP16)*CZ16/1000</f>
        <v>0</v>
      </c>
      <c r="EK16">
        <f>SUM(BQ$13:BQ16)*DA16/1000</f>
        <v>0</v>
      </c>
      <c r="EL16">
        <f>SUM(BR$13:BR16)*DB16/1000</f>
        <v>0</v>
      </c>
      <c r="EM16">
        <f>SUM(BS$13:BS16)*DC16/1000</f>
        <v>0</v>
      </c>
      <c r="EN16">
        <f>SUM(BT$13:BT16)*DD16/1000</f>
        <v>0</v>
      </c>
      <c r="EO16">
        <f>SUM(BU$13:BU16)*DE16/1000</f>
        <v>0</v>
      </c>
      <c r="EP16">
        <f>SUM(BV$13:BV16)*DF16/1000</f>
        <v>0</v>
      </c>
      <c r="EQ16">
        <f>SUM(BW$13:BW16)*DG16/1000</f>
        <v>0</v>
      </c>
      <c r="ER16">
        <f>SUM(BX$13:BX16)*DH16/1000</f>
        <v>0</v>
      </c>
      <c r="ES16">
        <f>SUM(BY$13:BY16)*DI16/1000</f>
        <v>0</v>
      </c>
      <c r="ET16">
        <f>SUM(BZ$13:BZ16)*DJ16/1000</f>
        <v>0</v>
      </c>
      <c r="FA16">
        <f t="shared" si="15"/>
        <v>0</v>
      </c>
      <c r="FC16">
        <f t="shared" si="10"/>
        <v>2029</v>
      </c>
      <c r="FD16" s="45"/>
      <c r="FE16" s="86">
        <f t="shared" si="16"/>
        <v>0</v>
      </c>
    </row>
    <row r="17" spans="2:161">
      <c r="B17" s="193">
        <f t="shared" si="11"/>
        <v>2030</v>
      </c>
      <c r="C17" s="8">
        <f t="shared" si="5"/>
        <v>0</v>
      </c>
      <c r="D17" s="194"/>
      <c r="E17" s="8">
        <f t="shared" ca="1" si="12"/>
        <v>38.005498517093287</v>
      </c>
      <c r="F17" s="33"/>
      <c r="G17" s="8">
        <f t="shared" ca="1" si="13"/>
        <v>38.005498517093287</v>
      </c>
      <c r="H17" s="8"/>
      <c r="I17" s="98"/>
      <c r="J17" s="93"/>
      <c r="O17">
        <f t="shared" si="6"/>
        <v>2030</v>
      </c>
      <c r="P17" s="45">
        <v>0</v>
      </c>
      <c r="Q17">
        <v>0</v>
      </c>
      <c r="R17">
        <v>0</v>
      </c>
      <c r="S17">
        <v>0</v>
      </c>
      <c r="Z17"/>
      <c r="AX17" s="45">
        <f t="shared" si="14"/>
        <v>0</v>
      </c>
      <c r="AY17">
        <f t="shared" si="14"/>
        <v>0</v>
      </c>
      <c r="AZ17">
        <f t="shared" si="7"/>
        <v>0</v>
      </c>
      <c r="BA17">
        <f t="shared" si="8"/>
        <v>0</v>
      </c>
      <c r="CC17" s="86"/>
      <c r="CG17" s="145">
        <f t="shared" si="9"/>
        <v>2030</v>
      </c>
      <c r="CH17" s="70">
        <f>INDEX(Table3Compare!$E$6:$E$37,MATCH($CG17,Table3Compare!$A$6:$A$37,0),1)</f>
        <v>0</v>
      </c>
      <c r="CI17" s="70">
        <f>INDEX(Table3Compare!$B$6:$B$37,MATCH($CG17,Table3Compare!$A$6:$A$37,0),1)</f>
        <v>0</v>
      </c>
      <c r="CJ17" s="70">
        <f>INDEX(Table3Compare!$C$6:$C$37,MATCH($CG17,Table3Compare!$A$6:$A$37,0),MATCH(CJ$9,Table3Compare!$B$5:$K$5,0))</f>
        <v>0</v>
      </c>
      <c r="CK17" s="70">
        <f>INDEX(Table3Compare!$D$6:$D$37,MATCH($CG17,Table3Compare!$A$6:$A$37,0),MATCH(CK$9,Table3Compare!$B$5:$K$5,0))</f>
        <v>0</v>
      </c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150"/>
      <c r="DG17" s="150"/>
      <c r="DH17" s="70"/>
      <c r="DI17" s="150"/>
      <c r="DJ17" s="150"/>
      <c r="DK17" s="150"/>
      <c r="DL17" s="150"/>
      <c r="DM17" s="150"/>
      <c r="DR17" s="45">
        <f>SUM(AX$13:AX17)*CH17/1000</f>
        <v>0</v>
      </c>
      <c r="DS17">
        <f>SUM(AY$13:AY17)*CI17/1000</f>
        <v>0</v>
      </c>
      <c r="DT17">
        <f>SUM(AZ$13:AZ17)*CJ17/1000</f>
        <v>0</v>
      </c>
      <c r="DU17">
        <f>SUM(BA$13:BA17)*CK17/1000</f>
        <v>0</v>
      </c>
      <c r="ED17">
        <f>SUM(BJ$13:BJ17)*CT17/1000</f>
        <v>0</v>
      </c>
      <c r="EE17">
        <f>SUM(BK$13:BK17)*CU17/1000</f>
        <v>0</v>
      </c>
      <c r="EF17">
        <f>SUM(BL$13:BL17)*CV17/1000</f>
        <v>0</v>
      </c>
      <c r="EG17">
        <f>SUM(BM$13:BM17)*CW17/1000</f>
        <v>0</v>
      </c>
      <c r="EH17">
        <f>SUM(BN$13:BN17)*CX17/1000</f>
        <v>0</v>
      </c>
      <c r="EI17">
        <f>SUM(BO$13:BO17)*CY17/1000</f>
        <v>0</v>
      </c>
      <c r="EJ17">
        <f>SUM(BP$13:BP17)*CZ17/1000</f>
        <v>0</v>
      </c>
      <c r="EK17">
        <f>SUM(BQ$13:BQ17)*DA17/1000</f>
        <v>0</v>
      </c>
      <c r="EL17">
        <f>SUM(BR$13:BR17)*DB17/1000</f>
        <v>0</v>
      </c>
      <c r="EM17">
        <f>SUM(BS$13:BS17)*DC17/1000</f>
        <v>0</v>
      </c>
      <c r="EN17">
        <f>SUM(BT$13:BT17)*DD17/1000</f>
        <v>0</v>
      </c>
      <c r="EO17">
        <f>SUM(BU$13:BU17)*DE17/1000</f>
        <v>0</v>
      </c>
      <c r="EP17">
        <f>SUM(BV$13:BV17)*DF17/1000</f>
        <v>0</v>
      </c>
      <c r="EQ17">
        <f>SUM(BW$13:BW17)*DG17/1000</f>
        <v>0</v>
      </c>
      <c r="ER17">
        <f>SUM(BX$13:BX17)*DH17/1000</f>
        <v>0</v>
      </c>
      <c r="ES17">
        <f>SUM(BY$13:BY17)*DI17/1000</f>
        <v>0</v>
      </c>
      <c r="ET17">
        <f>SUM(BZ$13:BZ17)*DJ17/1000</f>
        <v>0</v>
      </c>
      <c r="FA17">
        <f t="shared" si="15"/>
        <v>0</v>
      </c>
      <c r="FC17">
        <f t="shared" si="10"/>
        <v>2030</v>
      </c>
      <c r="FD17" s="45"/>
      <c r="FE17" s="86">
        <f t="shared" si="16"/>
        <v>0</v>
      </c>
    </row>
    <row r="18" spans="2:161">
      <c r="B18" s="193">
        <f t="shared" si="11"/>
        <v>2031</v>
      </c>
      <c r="C18" s="8">
        <f t="shared" si="5"/>
        <v>0</v>
      </c>
      <c r="D18" s="194"/>
      <c r="E18" s="8">
        <f t="shared" ca="1" si="12"/>
        <v>49.87283572374033</v>
      </c>
      <c r="F18" s="33"/>
      <c r="G18" s="8">
        <f t="shared" ca="1" si="13"/>
        <v>49.87283572374033</v>
      </c>
      <c r="H18" s="8"/>
      <c r="I18" s="98"/>
      <c r="J18" s="93"/>
      <c r="O18">
        <f t="shared" si="6"/>
        <v>2031</v>
      </c>
      <c r="P18" s="45">
        <v>0</v>
      </c>
      <c r="Q18">
        <v>0</v>
      </c>
      <c r="R18">
        <v>0</v>
      </c>
      <c r="S18">
        <v>0</v>
      </c>
      <c r="Z18"/>
      <c r="AX18" s="45">
        <f t="shared" si="14"/>
        <v>0</v>
      </c>
      <c r="AY18">
        <f t="shared" si="14"/>
        <v>0</v>
      </c>
      <c r="AZ18">
        <f t="shared" si="7"/>
        <v>0</v>
      </c>
      <c r="BA18">
        <f t="shared" si="8"/>
        <v>0</v>
      </c>
      <c r="CG18" s="145">
        <f t="shared" si="9"/>
        <v>2031</v>
      </c>
      <c r="CH18" s="70">
        <f>INDEX(Table3Compare!$E$6:$E$37,MATCH($CG18,Table3Compare!$A$6:$A$37,0),1)</f>
        <v>123.166857315038</v>
      </c>
      <c r="CI18" s="70">
        <f>INDEX(Table3Compare!$B$6:$B$37,MATCH($CG18,Table3Compare!$A$6:$A$37,0),1)</f>
        <v>0</v>
      </c>
      <c r="CJ18" s="70">
        <f>INDEX(Table3Compare!$C$6:$C$37,MATCH($CG18,Table3Compare!$A$6:$A$37,0),MATCH(CJ$9,Table3Compare!$B$5:$K$5,0))</f>
        <v>0</v>
      </c>
      <c r="CK18" s="70">
        <f>INDEX(Table3Compare!$D$6:$D$37,MATCH($CG18,Table3Compare!$A$6:$A$37,0),MATCH(CK$9,Table3Compare!$B$5:$K$5,0))</f>
        <v>0</v>
      </c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150"/>
      <c r="DG18" s="150"/>
      <c r="DH18" s="70"/>
      <c r="DI18" s="150"/>
      <c r="DJ18" s="150"/>
      <c r="DK18" s="150"/>
      <c r="DL18" s="150"/>
      <c r="DM18" s="150"/>
      <c r="DR18" s="45">
        <f>SUM(AX$13:AX18)*CH18/1000</f>
        <v>0</v>
      </c>
      <c r="DS18">
        <f>SUM(AY$13:AY18)*CI18/1000</f>
        <v>0</v>
      </c>
      <c r="DT18">
        <f>SUM(AZ$13:AZ18)*CJ18/1000</f>
        <v>0</v>
      </c>
      <c r="DU18">
        <f>SUM(BA$13:BA18)*CK18/1000</f>
        <v>0</v>
      </c>
      <c r="ED18">
        <f>SUM(BJ$13:BJ18)*CT18/1000</f>
        <v>0</v>
      </c>
      <c r="EE18">
        <f>SUM(BK$13:BK18)*CU18/1000</f>
        <v>0</v>
      </c>
      <c r="EF18">
        <f>SUM(BL$13:BL18)*CV18/1000</f>
        <v>0</v>
      </c>
      <c r="EG18">
        <f>SUM(BM$13:BM18)*CW18/1000</f>
        <v>0</v>
      </c>
      <c r="EH18">
        <f>SUM(BN$13:BN18)*CX18/1000</f>
        <v>0</v>
      </c>
      <c r="EI18">
        <f>SUM(BO$13:BO18)*CY18/1000</f>
        <v>0</v>
      </c>
      <c r="EJ18">
        <f>SUM(BP$13:BP18)*CZ18/1000</f>
        <v>0</v>
      </c>
      <c r="EK18">
        <f>SUM(BQ$13:BQ18)*DA18/1000</f>
        <v>0</v>
      </c>
      <c r="EL18">
        <f>SUM(BR$13:BR18)*DB18/1000</f>
        <v>0</v>
      </c>
      <c r="EM18">
        <f>SUM(BS$13:BS18)*DC18/1000</f>
        <v>0</v>
      </c>
      <c r="EN18">
        <f>SUM(BT$13:BT18)*DD18/1000</f>
        <v>0</v>
      </c>
      <c r="EO18">
        <f>SUM(BU$13:BU18)*DE18/1000</f>
        <v>0</v>
      </c>
      <c r="EP18">
        <f>SUM(BV$13:BV18)*DF18/1000</f>
        <v>0</v>
      </c>
      <c r="EQ18">
        <f>SUM(BW$13:BW18)*DG18/1000</f>
        <v>0</v>
      </c>
      <c r="ER18">
        <f>SUM(BX$13:BX18)*DH18/1000</f>
        <v>0</v>
      </c>
      <c r="ES18">
        <f>SUM(BY$13:BY18)*DI18/1000</f>
        <v>0</v>
      </c>
      <c r="ET18">
        <f>SUM(BZ$13:BZ18)*DJ18/1000</f>
        <v>0</v>
      </c>
      <c r="FA18">
        <f t="shared" si="15"/>
        <v>0</v>
      </c>
      <c r="FC18">
        <f t="shared" si="10"/>
        <v>2031</v>
      </c>
      <c r="FD18" s="45"/>
      <c r="FE18" s="86">
        <f t="shared" si="16"/>
        <v>0</v>
      </c>
    </row>
    <row r="19" spans="2:161">
      <c r="B19" s="193">
        <f t="shared" si="11"/>
        <v>2032</v>
      </c>
      <c r="C19" s="8">
        <f t="shared" si="5"/>
        <v>0</v>
      </c>
      <c r="D19" s="194"/>
      <c r="E19" s="8">
        <f t="shared" ca="1" si="12"/>
        <v>50.53977369991803</v>
      </c>
      <c r="F19" s="33"/>
      <c r="G19" s="8">
        <f t="shared" ca="1" si="13"/>
        <v>50.53977369991803</v>
      </c>
      <c r="H19" s="8"/>
      <c r="I19" s="98"/>
      <c r="J19" s="93"/>
      <c r="O19">
        <f t="shared" si="6"/>
        <v>2032</v>
      </c>
      <c r="P19" s="45">
        <v>0</v>
      </c>
      <c r="Q19">
        <v>0</v>
      </c>
      <c r="R19">
        <v>0</v>
      </c>
      <c r="S19">
        <v>0</v>
      </c>
      <c r="V19" s="45"/>
      <c r="Z19"/>
      <c r="AX19" s="45">
        <f t="shared" si="14"/>
        <v>0</v>
      </c>
      <c r="AY19">
        <f t="shared" si="14"/>
        <v>0</v>
      </c>
      <c r="AZ19">
        <f t="shared" si="7"/>
        <v>0</v>
      </c>
      <c r="BA19">
        <f t="shared" si="8"/>
        <v>0</v>
      </c>
      <c r="CG19" s="145">
        <f t="shared" si="9"/>
        <v>2032</v>
      </c>
      <c r="CH19" s="70">
        <f>INDEX(Table3Compare!$E$6:$E$37,MATCH($CG19,Table3Compare!$A$6:$A$37,0),1)</f>
        <v>125.90116154743184</v>
      </c>
      <c r="CI19" s="70">
        <f>INDEX(Table3Compare!$B$6:$B$37,MATCH($CG19,Table3Compare!$A$6:$A$37,0),1)</f>
        <v>0</v>
      </c>
      <c r="CJ19" s="70">
        <f>INDEX(Table3Compare!$C$6:$C$37,MATCH($CG19,Table3Compare!$A$6:$A$37,0),MATCH(CJ$9,Table3Compare!$B$5:$K$5,0))</f>
        <v>0</v>
      </c>
      <c r="CK19" s="70">
        <f>INDEX(Table3Compare!$D$6:$D$37,MATCH($CG19,Table3Compare!$A$6:$A$37,0),MATCH(CK$9,Table3Compare!$B$5:$K$5,0))</f>
        <v>0</v>
      </c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150"/>
      <c r="DG19" s="150"/>
      <c r="DH19" s="70"/>
      <c r="DI19" s="150"/>
      <c r="DJ19" s="150"/>
      <c r="DK19" s="150"/>
      <c r="DL19" s="150"/>
      <c r="DM19" s="150"/>
      <c r="DR19" s="45">
        <f>SUM(AX$13:AX19)*CH19/1000</f>
        <v>0</v>
      </c>
      <c r="DS19">
        <f>SUM(AY$13:AY19)*CI19/1000</f>
        <v>0</v>
      </c>
      <c r="DT19">
        <f>SUM(AZ$13:AZ19)*CJ19/1000</f>
        <v>0</v>
      </c>
      <c r="DU19">
        <f>SUM(BA$13:BA19)*CK19/1000</f>
        <v>0</v>
      </c>
      <c r="ED19">
        <f>SUM(BJ$13:BJ19)*CT19/1000</f>
        <v>0</v>
      </c>
      <c r="EE19">
        <f>SUM(BK$13:BK19)*CU19/1000</f>
        <v>0</v>
      </c>
      <c r="EF19">
        <f>SUM(BL$13:BL19)*CV19/1000</f>
        <v>0</v>
      </c>
      <c r="EG19">
        <f>SUM(BM$13:BM19)*CW19/1000</f>
        <v>0</v>
      </c>
      <c r="EH19">
        <f>SUM(BN$13:BN19)*CX19/1000</f>
        <v>0</v>
      </c>
      <c r="EI19">
        <f>SUM(BO$13:BO19)*CY19/1000</f>
        <v>0</v>
      </c>
      <c r="EJ19">
        <f>SUM(BP$13:BP19)*CZ19/1000</f>
        <v>0</v>
      </c>
      <c r="EK19">
        <f>SUM(BQ$13:BQ19)*DA19/1000</f>
        <v>0</v>
      </c>
      <c r="EL19">
        <f>SUM(BR$13:BR19)*DB19/1000</f>
        <v>0</v>
      </c>
      <c r="EM19">
        <f>SUM(BS$13:BS19)*DC19/1000</f>
        <v>0</v>
      </c>
      <c r="EN19">
        <f>SUM(BT$13:BT19)*DD19/1000</f>
        <v>0</v>
      </c>
      <c r="EO19">
        <f>SUM(BU$13:BU19)*DE19/1000</f>
        <v>0</v>
      </c>
      <c r="EP19">
        <f>SUM(BV$13:BV19)*DF19/1000</f>
        <v>0</v>
      </c>
      <c r="EQ19">
        <f>SUM(BW$13:BW19)*DG19/1000</f>
        <v>0</v>
      </c>
      <c r="ER19">
        <f>SUM(BX$13:BX19)*DH19/1000</f>
        <v>0</v>
      </c>
      <c r="ES19">
        <f>SUM(BY$13:BY19)*DI19/1000</f>
        <v>0</v>
      </c>
      <c r="ET19">
        <f>SUM(BZ$13:BZ19)*DJ19/1000</f>
        <v>0</v>
      </c>
      <c r="FA19">
        <f t="shared" si="15"/>
        <v>0</v>
      </c>
      <c r="FC19">
        <f t="shared" si="10"/>
        <v>2032</v>
      </c>
      <c r="FD19" s="45"/>
      <c r="FE19" s="86">
        <f t="shared" si="16"/>
        <v>0</v>
      </c>
    </row>
    <row r="20" spans="2:161">
      <c r="B20" s="193">
        <f t="shared" si="11"/>
        <v>2033</v>
      </c>
      <c r="C20" s="8">
        <f t="shared" si="5"/>
        <v>0</v>
      </c>
      <c r="D20" s="194"/>
      <c r="E20" s="8">
        <f t="shared" ca="1" si="12"/>
        <v>48.992485254244755</v>
      </c>
      <c r="F20" s="33"/>
      <c r="G20" s="8">
        <f t="shared" ca="1" si="13"/>
        <v>48.992485254244755</v>
      </c>
      <c r="H20" s="8"/>
      <c r="I20" s="98"/>
      <c r="J20" s="93"/>
      <c r="O20">
        <f t="shared" si="6"/>
        <v>2033</v>
      </c>
      <c r="P20" s="45">
        <v>0</v>
      </c>
      <c r="Q20">
        <v>0</v>
      </c>
      <c r="R20">
        <v>0</v>
      </c>
      <c r="S20">
        <v>0</v>
      </c>
      <c r="Z20"/>
      <c r="AX20" s="45">
        <f t="shared" si="14"/>
        <v>0</v>
      </c>
      <c r="AY20">
        <f t="shared" si="14"/>
        <v>0</v>
      </c>
      <c r="AZ20">
        <f t="shared" si="7"/>
        <v>0</v>
      </c>
      <c r="BA20">
        <f t="shared" si="8"/>
        <v>0</v>
      </c>
      <c r="BN20" s="45"/>
      <c r="CG20" s="145">
        <f t="shared" si="9"/>
        <v>2033</v>
      </c>
      <c r="CH20" s="70">
        <f>INDEX(Table3Compare!$E$6:$E$37,MATCH($CG20,Table3Compare!$A$6:$A$37,0),1)</f>
        <v>128.69616733378481</v>
      </c>
      <c r="CI20" s="70">
        <f>INDEX(Table3Compare!$B$6:$B$37,MATCH($CG20,Table3Compare!$A$6:$A$37,0),1)</f>
        <v>0</v>
      </c>
      <c r="CJ20" s="70">
        <f>INDEX(Table3Compare!$C$6:$C$37,MATCH($CG20,Table3Compare!$A$6:$A$37,0),MATCH(CJ$9,Table3Compare!$B$5:$K$5,0))</f>
        <v>0</v>
      </c>
      <c r="CK20" s="70">
        <f>INDEX(Table3Compare!$D$6:$D$37,MATCH($CG20,Table3Compare!$A$6:$A$37,0),MATCH(CK$9,Table3Compare!$B$5:$K$5,0))</f>
        <v>0</v>
      </c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150"/>
      <c r="DG20" s="150"/>
      <c r="DH20" s="70"/>
      <c r="DI20" s="150"/>
      <c r="DJ20" s="150"/>
      <c r="DK20" s="150"/>
      <c r="DL20" s="150"/>
      <c r="DM20" s="150"/>
      <c r="DR20" s="45">
        <f>SUM(AX$13:AX20)*CH20/1000</f>
        <v>0</v>
      </c>
      <c r="DS20">
        <f>SUM(AY$13:AY20)*CI20/1000</f>
        <v>0</v>
      </c>
      <c r="DT20">
        <f>SUM(AZ$13:AZ20)*CJ20/1000</f>
        <v>0</v>
      </c>
      <c r="DU20">
        <f>SUM(BA$13:BA20)*CK20/1000</f>
        <v>0</v>
      </c>
      <c r="ED20">
        <f>SUM(BJ$13:BJ20)*CT20/1000</f>
        <v>0</v>
      </c>
      <c r="EE20">
        <f>SUM(BK$13:BK20)*CU20/1000</f>
        <v>0</v>
      </c>
      <c r="EF20">
        <f>SUM(BL$13:BL20)*CV20/1000</f>
        <v>0</v>
      </c>
      <c r="EG20">
        <f>SUM(BM$13:BM20)*CW20/1000</f>
        <v>0</v>
      </c>
      <c r="EH20">
        <f>SUM(BN$13:BN20)*CX20/1000</f>
        <v>0</v>
      </c>
      <c r="EI20">
        <f>SUM(BO$13:BO20)*CY20/1000</f>
        <v>0</v>
      </c>
      <c r="EJ20">
        <f>SUM(BP$13:BP20)*CZ20/1000</f>
        <v>0</v>
      </c>
      <c r="EK20">
        <f>SUM(BQ$13:BQ20)*DA20/1000</f>
        <v>0</v>
      </c>
      <c r="EL20">
        <f>SUM(BR$13:BR20)*DB20/1000</f>
        <v>0</v>
      </c>
      <c r="EM20">
        <f>SUM(BS$13:BS20)*DC20/1000</f>
        <v>0</v>
      </c>
      <c r="EN20">
        <f>SUM(BT$13:BT20)*DD20/1000</f>
        <v>0</v>
      </c>
      <c r="EO20">
        <f>SUM(BU$13:BU20)*DE20/1000</f>
        <v>0</v>
      </c>
      <c r="EP20">
        <f>SUM(BV$13:BV20)*DF20/1000</f>
        <v>0</v>
      </c>
      <c r="EQ20">
        <f>SUM(BW$13:BW20)*DG20/1000</f>
        <v>0</v>
      </c>
      <c r="ER20">
        <f>SUM(BX$13:BX20)*DH20/1000</f>
        <v>0</v>
      </c>
      <c r="ES20">
        <f>SUM(BY$13:BY20)*DI20/1000</f>
        <v>0</v>
      </c>
      <c r="ET20">
        <f>SUM(BZ$13:BZ20)*DJ20/1000</f>
        <v>0</v>
      </c>
      <c r="FA20">
        <f t="shared" si="15"/>
        <v>0</v>
      </c>
      <c r="FC20">
        <f t="shared" si="10"/>
        <v>2033</v>
      </c>
      <c r="FD20" s="268"/>
      <c r="FE20" s="86">
        <f t="shared" si="16"/>
        <v>0</v>
      </c>
    </row>
    <row r="21" spans="2:161">
      <c r="B21" s="193">
        <f t="shared" si="11"/>
        <v>2034</v>
      </c>
      <c r="C21" s="8">
        <f t="shared" si="5"/>
        <v>0</v>
      </c>
      <c r="D21" s="194"/>
      <c r="E21" s="8">
        <f t="shared" ca="1" si="12"/>
        <v>50.225191603905174</v>
      </c>
      <c r="F21" s="33"/>
      <c r="G21" s="8">
        <f t="shared" ca="1" si="13"/>
        <v>50.225191603905174</v>
      </c>
      <c r="H21" s="8"/>
      <c r="I21" s="98"/>
      <c r="J21" s="93"/>
      <c r="O21">
        <f t="shared" si="6"/>
        <v>2034</v>
      </c>
      <c r="P21" s="45">
        <v>0</v>
      </c>
      <c r="Q21">
        <v>0</v>
      </c>
      <c r="R21">
        <v>0</v>
      </c>
      <c r="S21">
        <v>0</v>
      </c>
      <c r="Z21"/>
      <c r="AX21" s="45">
        <f t="shared" si="14"/>
        <v>0</v>
      </c>
      <c r="AY21">
        <f t="shared" si="14"/>
        <v>0</v>
      </c>
      <c r="AZ21">
        <f t="shared" si="7"/>
        <v>0</v>
      </c>
      <c r="BA21">
        <f t="shared" si="8"/>
        <v>0</v>
      </c>
      <c r="CG21" s="145">
        <f t="shared" si="9"/>
        <v>2034</v>
      </c>
      <c r="CH21" s="70">
        <f>INDEX(Table3Compare!$E$6:$E$37,MATCH($CG21,Table3Compare!$A$6:$A$37,0),1)</f>
        <v>131.55322224859486</v>
      </c>
      <c r="CI21" s="70">
        <f>INDEX(Table3Compare!$B$6:$B$37,MATCH($CG21,Table3Compare!$A$6:$A$37,0),1)</f>
        <v>0</v>
      </c>
      <c r="CJ21" s="70">
        <f>INDEX(Table3Compare!$C$6:$C$37,MATCH($CG21,Table3Compare!$A$6:$A$37,0),MATCH(CJ$9,Table3Compare!$B$5:$K$5,0))</f>
        <v>0</v>
      </c>
      <c r="CK21" s="70">
        <f>INDEX(Table3Compare!$D$6:$D$37,MATCH($CG21,Table3Compare!$A$6:$A$37,0),MATCH(CK$9,Table3Compare!$B$5:$K$5,0))</f>
        <v>0</v>
      </c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150"/>
      <c r="DG21" s="150"/>
      <c r="DH21" s="70"/>
      <c r="DI21" s="150"/>
      <c r="DJ21" s="150"/>
      <c r="DK21" s="150"/>
      <c r="DL21" s="150"/>
      <c r="DM21" s="150"/>
      <c r="DR21" s="45">
        <f>SUM(AX$13:AX21)*CH21/1000</f>
        <v>0</v>
      </c>
      <c r="DS21">
        <f>SUM(AY$13:AY21)*CI21/1000</f>
        <v>0</v>
      </c>
      <c r="DT21">
        <f>SUM(AZ$13:AZ21)*CJ21/1000</f>
        <v>0</v>
      </c>
      <c r="DU21">
        <f>SUM(BA$13:BA21)*CK21/1000</f>
        <v>0</v>
      </c>
      <c r="ED21">
        <f>SUM(BJ$13:BJ21)*CT21/1000</f>
        <v>0</v>
      </c>
      <c r="EE21">
        <f>SUM(BK$13:BK21)*CU21/1000</f>
        <v>0</v>
      </c>
      <c r="EF21">
        <f>SUM(BL$13:BL21)*CV21/1000</f>
        <v>0</v>
      </c>
      <c r="EG21">
        <f>SUM(BM$13:BM21)*CW21/1000</f>
        <v>0</v>
      </c>
      <c r="EH21">
        <f>SUM(BN$13:BN21)*CX21/1000</f>
        <v>0</v>
      </c>
      <c r="EI21">
        <f>SUM(BO$13:BO21)*CY21/1000</f>
        <v>0</v>
      </c>
      <c r="EJ21">
        <f>SUM(BP$13:BP21)*CZ21/1000</f>
        <v>0</v>
      </c>
      <c r="EK21">
        <f>SUM(BQ$13:BQ21)*DA21/1000</f>
        <v>0</v>
      </c>
      <c r="EL21">
        <f>SUM(BR$13:BR21)*DB21/1000</f>
        <v>0</v>
      </c>
      <c r="EM21">
        <f>SUM(BS$13:BS21)*DC21/1000</f>
        <v>0</v>
      </c>
      <c r="EN21">
        <f>SUM(BT$13:BT21)*DD21/1000</f>
        <v>0</v>
      </c>
      <c r="EO21">
        <f>SUM(BU$13:BU21)*DE21/1000</f>
        <v>0</v>
      </c>
      <c r="EP21">
        <f>SUM(BV$13:BV21)*DF21/1000</f>
        <v>0</v>
      </c>
      <c r="EQ21">
        <f>SUM(BW$13:BW21)*DG21/1000</f>
        <v>0</v>
      </c>
      <c r="ER21">
        <f>SUM(BX$13:BX21)*DH21/1000</f>
        <v>0</v>
      </c>
      <c r="ES21">
        <f>SUM(BY$13:BY21)*DI21/1000</f>
        <v>0</v>
      </c>
      <c r="ET21">
        <f>SUM(BZ$13:BZ21)*DJ21/1000</f>
        <v>0</v>
      </c>
      <c r="FA21">
        <f t="shared" si="15"/>
        <v>0</v>
      </c>
      <c r="FC21">
        <f t="shared" si="10"/>
        <v>2034</v>
      </c>
      <c r="FD21" s="69"/>
      <c r="FE21" s="86">
        <f t="shared" si="16"/>
        <v>0</v>
      </c>
    </row>
    <row r="22" spans="2:161">
      <c r="B22" s="193">
        <f t="shared" si="11"/>
        <v>2035</v>
      </c>
      <c r="C22" s="8">
        <f t="shared" si="5"/>
        <v>0</v>
      </c>
      <c r="D22" s="194"/>
      <c r="E22" s="8">
        <f t="shared" ca="1" si="12"/>
        <v>51.800649148317362</v>
      </c>
      <c r="F22" s="33"/>
      <c r="G22" s="8">
        <f t="shared" ca="1" si="13"/>
        <v>51.800649148317362</v>
      </c>
      <c r="H22" s="8"/>
      <c r="I22" s="98"/>
      <c r="J22" s="93"/>
      <c r="O22">
        <f t="shared" si="6"/>
        <v>2035</v>
      </c>
      <c r="P22" s="45">
        <v>0</v>
      </c>
      <c r="Q22" s="86">
        <v>0</v>
      </c>
      <c r="R22">
        <v>0</v>
      </c>
      <c r="S22" s="45">
        <v>0</v>
      </c>
      <c r="T22" s="45"/>
      <c r="U22" s="45"/>
      <c r="V22" s="45"/>
      <c r="W22" s="45"/>
      <c r="X22" s="45"/>
      <c r="Y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>
        <f t="shared" si="14"/>
        <v>0</v>
      </c>
      <c r="AY22" s="45">
        <f t="shared" si="14"/>
        <v>0</v>
      </c>
      <c r="AZ22" s="45">
        <f t="shared" si="7"/>
        <v>0</v>
      </c>
      <c r="BA22" s="45">
        <f t="shared" si="8"/>
        <v>0</v>
      </c>
      <c r="CG22" s="145">
        <f t="shared" si="9"/>
        <v>2035</v>
      </c>
      <c r="CH22" s="70">
        <f>INDEX(Table3Compare!$E$6:$E$37,MATCH($CG22,Table3Compare!$A$6:$A$37,0),1)</f>
        <v>134.47370378251364</v>
      </c>
      <c r="CI22" s="70">
        <f>INDEX(Table3Compare!$B$6:$B$37,MATCH($CG22,Table3Compare!$A$6:$A$37,0),1)</f>
        <v>199.88</v>
      </c>
      <c r="CJ22" s="70">
        <f>INDEX(Table3Compare!$C$6:$C$37,MATCH($CG22,Table3Compare!$A$6:$A$37,0),MATCH(CJ$9,Table3Compare!$B$5:$K$5,0))</f>
        <v>0</v>
      </c>
      <c r="CK22" s="70">
        <f>INDEX(Table3Compare!$D$6:$D$37,MATCH($CG22,Table3Compare!$A$6:$A$37,0),MATCH(CK$9,Table3Compare!$B$5:$K$5,0))</f>
        <v>0</v>
      </c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0"/>
      <c r="DC22" s="70"/>
      <c r="DD22" s="70"/>
      <c r="DE22" s="70"/>
      <c r="DF22" s="150"/>
      <c r="DG22" s="150"/>
      <c r="DH22" s="70"/>
      <c r="DI22" s="150"/>
      <c r="DJ22" s="150"/>
      <c r="DK22" s="150"/>
      <c r="DL22" s="150"/>
      <c r="DM22" s="150"/>
      <c r="DR22" s="45">
        <f>SUM(AX$13:AX22)*CH22/1000</f>
        <v>0</v>
      </c>
      <c r="DS22">
        <f>SUM(AY$13:AY22)*CI22/1000</f>
        <v>0</v>
      </c>
      <c r="DT22">
        <f>SUM(AZ$13:AZ22)*CJ22/1000</f>
        <v>0</v>
      </c>
      <c r="DU22">
        <f>SUM(BA$13:BA22)*CK22/1000</f>
        <v>0</v>
      </c>
      <c r="ED22">
        <f>SUM(BJ$13:BJ22)*CT22/1000</f>
        <v>0</v>
      </c>
      <c r="EE22">
        <f>SUM(BK$13:BK22)*CU22/1000</f>
        <v>0</v>
      </c>
      <c r="EF22">
        <f>SUM(BL$13:BL22)*CV22/1000</f>
        <v>0</v>
      </c>
      <c r="EG22">
        <f>SUM(BM$13:BM22)*CW22/1000</f>
        <v>0</v>
      </c>
      <c r="EH22">
        <f>SUM(BN$13:BN22)*CX22/1000</f>
        <v>0</v>
      </c>
      <c r="EI22">
        <f>SUM(BO$13:BO22)*CY22/1000</f>
        <v>0</v>
      </c>
      <c r="EJ22">
        <f>SUM(BP$13:BP22)*CZ22/1000</f>
        <v>0</v>
      </c>
      <c r="EK22">
        <f>SUM(BQ$13:BQ22)*DA22/1000</f>
        <v>0</v>
      </c>
      <c r="EL22">
        <f>SUM(BR$13:BR22)*DB22/1000</f>
        <v>0</v>
      </c>
      <c r="EM22">
        <f>SUM(BS$13:BS22)*DC22/1000</f>
        <v>0</v>
      </c>
      <c r="EN22">
        <f>SUM(BT$13:BT22)*DD22/1000</f>
        <v>0</v>
      </c>
      <c r="EO22">
        <f>SUM(BU$13:BU22)*DE22/1000</f>
        <v>0</v>
      </c>
      <c r="EP22">
        <f>SUM(BV$13:BV22)*DF22/1000</f>
        <v>0</v>
      </c>
      <c r="EQ22">
        <f>SUM(BW$13:BW22)*DG22/1000</f>
        <v>0</v>
      </c>
      <c r="ER22">
        <f>SUM(BX$13:BX22)*DH22/1000</f>
        <v>0</v>
      </c>
      <c r="ES22">
        <f>SUM(BY$13:BY22)*DI22/1000</f>
        <v>0</v>
      </c>
      <c r="ET22">
        <f>SUM(BZ$13:BZ22)*DJ22/1000</f>
        <v>0</v>
      </c>
      <c r="FA22">
        <f t="shared" si="15"/>
        <v>0</v>
      </c>
      <c r="FC22">
        <f t="shared" si="10"/>
        <v>2035</v>
      </c>
      <c r="FD22" s="69"/>
      <c r="FE22" s="86">
        <f t="shared" si="16"/>
        <v>0</v>
      </c>
    </row>
    <row r="23" spans="2:161">
      <c r="B23" s="193">
        <f t="shared" si="11"/>
        <v>2036</v>
      </c>
      <c r="C23" s="8">
        <f t="shared" si="5"/>
        <v>40.833333333333329</v>
      </c>
      <c r="D23" s="194"/>
      <c r="E23" s="8">
        <f t="shared" ca="1" si="12"/>
        <v>36.078237031218201</v>
      </c>
      <c r="F23" s="33"/>
      <c r="G23" s="8">
        <f t="shared" ca="1" si="13"/>
        <v>51.411607248462943</v>
      </c>
      <c r="H23" s="8"/>
      <c r="I23" s="98"/>
      <c r="J23" s="93"/>
      <c r="O23">
        <f t="shared" si="6"/>
        <v>2036</v>
      </c>
      <c r="P23" s="45">
        <v>0</v>
      </c>
      <c r="Q23">
        <v>0</v>
      </c>
      <c r="R23" s="45">
        <v>14.559999999999999</v>
      </c>
      <c r="S23">
        <v>0</v>
      </c>
      <c r="Z23"/>
      <c r="AX23" s="45">
        <f t="shared" si="14"/>
        <v>0</v>
      </c>
      <c r="AY23">
        <f t="shared" si="14"/>
        <v>0</v>
      </c>
      <c r="AZ23">
        <f t="shared" si="7"/>
        <v>14.933333333333332</v>
      </c>
      <c r="BA23">
        <f t="shared" si="8"/>
        <v>0</v>
      </c>
      <c r="CG23" s="145">
        <f t="shared" si="9"/>
        <v>2036</v>
      </c>
      <c r="CH23" s="70">
        <f>INDEX(Table3Compare!$E$6:$E$37,MATCH($CG23,Table3Compare!$A$6:$A$37,0),1)</f>
        <v>137.45902000648545</v>
      </c>
      <c r="CI23" s="70">
        <f>INDEX(Table3Compare!$B$6:$B$37,MATCH($CG23,Table3Compare!$A$6:$A$37,0),1)</f>
        <v>204.31</v>
      </c>
      <c r="CJ23" s="70">
        <f>INDEX(Table3Compare!$C$6:$C$37,MATCH($CG23,Table3Compare!$A$6:$A$37,0),MATCH(CJ$9,Table3Compare!$B$5:$K$5,0))</f>
        <v>218.75</v>
      </c>
      <c r="CK23" s="70">
        <f>INDEX(Table3Compare!$D$6:$D$37,MATCH($CG23,Table3Compare!$A$6:$A$37,0),MATCH(CK$9,Table3Compare!$B$5:$K$5,0))</f>
        <v>0</v>
      </c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150"/>
      <c r="DG23" s="150"/>
      <c r="DH23" s="70"/>
      <c r="DI23" s="150"/>
      <c r="DJ23" s="150"/>
      <c r="DK23" s="150"/>
      <c r="DL23" s="150"/>
      <c r="DM23" s="150"/>
      <c r="DR23" s="45">
        <f>SUM(AX$13:AX23)*CH23/1000</f>
        <v>0</v>
      </c>
      <c r="DS23">
        <f>SUM(AY$13:AY23)*CI23/1000</f>
        <v>0</v>
      </c>
      <c r="DT23">
        <f>SUM(AZ$13:AZ23)*CJ23/1000</f>
        <v>3.2666666666666666</v>
      </c>
      <c r="DU23">
        <f>SUM(BA$13:BA23)*CK23/1000</f>
        <v>0</v>
      </c>
      <c r="ED23">
        <f>SUM(BJ$13:BJ23)*CT23/1000</f>
        <v>0</v>
      </c>
      <c r="EE23">
        <f>SUM(BK$13:BK23)*CU23/1000</f>
        <v>0</v>
      </c>
      <c r="EF23">
        <f>SUM(BL$13:BL23)*CV23/1000</f>
        <v>0</v>
      </c>
      <c r="EG23">
        <f>SUM(BM$13:BM23)*CW23/1000</f>
        <v>0</v>
      </c>
      <c r="EH23">
        <f>SUM(BN$13:BN23)*CX23/1000</f>
        <v>0</v>
      </c>
      <c r="EI23">
        <f>SUM(BO$13:BO23)*CY23/1000</f>
        <v>0</v>
      </c>
      <c r="EJ23">
        <f>SUM(BP$13:BP23)*CZ23/1000</f>
        <v>0</v>
      </c>
      <c r="EK23">
        <f>SUM(BQ$13:BQ23)*DA23/1000</f>
        <v>0</v>
      </c>
      <c r="EL23">
        <f>SUM(BR$13:BR23)*DB23/1000</f>
        <v>0</v>
      </c>
      <c r="EM23">
        <f>SUM(BS$13:BS23)*DC23/1000</f>
        <v>0</v>
      </c>
      <c r="EN23">
        <f>SUM(BT$13:BT23)*DD23/1000</f>
        <v>0</v>
      </c>
      <c r="EO23">
        <f>SUM(BU$13:BU23)*DE23/1000</f>
        <v>0</v>
      </c>
      <c r="EP23">
        <f>SUM(BV$13:BV23)*DF23/1000</f>
        <v>0</v>
      </c>
      <c r="EQ23">
        <f>SUM(BW$13:BW23)*DG23/1000</f>
        <v>0</v>
      </c>
      <c r="ER23">
        <f>SUM(BX$13:BX23)*DH23/1000</f>
        <v>0</v>
      </c>
      <c r="ES23">
        <f>SUM(BY$13:BY23)*DI23/1000</f>
        <v>0</v>
      </c>
      <c r="ET23">
        <f>SUM(BZ$13:BZ23)*DJ23/1000</f>
        <v>0</v>
      </c>
      <c r="FA23">
        <f t="shared" si="15"/>
        <v>3.2666666666666666</v>
      </c>
      <c r="FC23">
        <f t="shared" si="10"/>
        <v>2036</v>
      </c>
      <c r="FD23" s="69"/>
      <c r="FE23" s="86">
        <f t="shared" si="16"/>
        <v>0</v>
      </c>
    </row>
    <row r="24" spans="2:161">
      <c r="B24" s="193">
        <f t="shared" si="11"/>
        <v>2037</v>
      </c>
      <c r="C24" s="8">
        <f t="shared" si="5"/>
        <v>41.73866666666666</v>
      </c>
      <c r="D24" s="194"/>
      <c r="E24" s="8">
        <f t="shared" ca="1" si="12"/>
        <v>38.188835903733619</v>
      </c>
      <c r="F24" s="33"/>
      <c r="G24" s="8">
        <f t="shared" ca="1" si="13"/>
        <v>53.860388584573379</v>
      </c>
      <c r="H24" s="8"/>
      <c r="I24" s="98"/>
      <c r="J24" s="93"/>
      <c r="O24">
        <f t="shared" si="6"/>
        <v>2037</v>
      </c>
      <c r="P24" s="45">
        <v>0</v>
      </c>
      <c r="Q24">
        <v>0</v>
      </c>
      <c r="R24">
        <v>0</v>
      </c>
      <c r="S24">
        <v>0</v>
      </c>
      <c r="Z24"/>
      <c r="AX24" s="45">
        <f t="shared" si="14"/>
        <v>0</v>
      </c>
      <c r="AY24">
        <f t="shared" si="14"/>
        <v>0</v>
      </c>
      <c r="AZ24">
        <f t="shared" si="7"/>
        <v>0</v>
      </c>
      <c r="BA24">
        <f t="shared" si="8"/>
        <v>0</v>
      </c>
      <c r="CG24" s="145">
        <f t="shared" si="9"/>
        <v>2037</v>
      </c>
      <c r="CH24" s="70">
        <f>INDEX(Table3Compare!$E$6:$E$37,MATCH($CG24,Table3Compare!$A$6:$A$37,0),1)</f>
        <v>140.51061025062944</v>
      </c>
      <c r="CI24" s="70">
        <f>INDEX(Table3Compare!$B$6:$B$37,MATCH($CG24,Table3Compare!$A$6:$A$37,0),1)</f>
        <v>208.85</v>
      </c>
      <c r="CJ24" s="70">
        <f>INDEX(Table3Compare!$C$6:$C$37,MATCH($CG24,Table3Compare!$A$6:$A$37,0),MATCH(CJ$9,Table3Compare!$B$5:$K$5,0))</f>
        <v>223.6</v>
      </c>
      <c r="CK24" s="70">
        <f>INDEX(Table3Compare!$D$6:$D$37,MATCH($CG24,Table3Compare!$A$6:$A$37,0),MATCH(CK$9,Table3Compare!$B$5:$K$5,0))</f>
        <v>0</v>
      </c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150"/>
      <c r="DG24" s="150"/>
      <c r="DH24" s="70"/>
      <c r="DI24" s="150"/>
      <c r="DJ24" s="150"/>
      <c r="DK24" s="150"/>
      <c r="DL24" s="150"/>
      <c r="DM24" s="150"/>
      <c r="DR24" s="45">
        <f>SUM(AX$13:AX24)*CH24/1000</f>
        <v>0</v>
      </c>
      <c r="DS24">
        <f>SUM(AY$13:AY24)*CI24/1000</f>
        <v>0</v>
      </c>
      <c r="DT24">
        <f>SUM(AZ$13:AZ24)*CJ24/1000</f>
        <v>3.3390933333333326</v>
      </c>
      <c r="DU24">
        <f>SUM(BA$13:BA24)*CK24/1000</f>
        <v>0</v>
      </c>
      <c r="ED24">
        <f>SUM(BJ$13:BJ24)*CT24/1000</f>
        <v>0</v>
      </c>
      <c r="EE24">
        <f>SUM(BK$13:BK24)*CU24/1000</f>
        <v>0</v>
      </c>
      <c r="EF24">
        <f>SUM(BL$13:BL24)*CV24/1000</f>
        <v>0</v>
      </c>
      <c r="EG24">
        <f>SUM(BM$13:BM24)*CW24/1000</f>
        <v>0</v>
      </c>
      <c r="EH24">
        <f>SUM(BN$13:BN24)*CX24/1000</f>
        <v>0</v>
      </c>
      <c r="EI24">
        <f>SUM(BO$13:BO24)*CY24/1000</f>
        <v>0</v>
      </c>
      <c r="EJ24">
        <f>SUM(BP$13:BP24)*CZ24/1000</f>
        <v>0</v>
      </c>
      <c r="EK24">
        <f>SUM(BQ$13:BQ24)*DA24/1000</f>
        <v>0</v>
      </c>
      <c r="EL24">
        <f>SUM(BR$13:BR24)*DB24/1000</f>
        <v>0</v>
      </c>
      <c r="EM24">
        <f>SUM(BS$13:BS24)*DC24/1000</f>
        <v>0</v>
      </c>
      <c r="EN24">
        <f>SUM(BT$13:BT24)*DD24/1000</f>
        <v>0</v>
      </c>
      <c r="EO24">
        <f>SUM(BU$13:BU24)*DE24/1000</f>
        <v>0</v>
      </c>
      <c r="EP24">
        <f>SUM(BV$13:BV24)*DF24/1000</f>
        <v>0</v>
      </c>
      <c r="EQ24">
        <f>SUM(BW$13:BW24)*DG24/1000</f>
        <v>0</v>
      </c>
      <c r="ER24">
        <f>SUM(BX$13:BX24)*DH24/1000</f>
        <v>0</v>
      </c>
      <c r="ES24">
        <f>SUM(BY$13:BY24)*DI24/1000</f>
        <v>0</v>
      </c>
      <c r="ET24">
        <f>SUM(BZ$13:BZ24)*DJ24/1000</f>
        <v>0</v>
      </c>
      <c r="FA24">
        <f t="shared" si="15"/>
        <v>3.3390933333333326</v>
      </c>
      <c r="FC24">
        <f t="shared" si="10"/>
        <v>2037</v>
      </c>
      <c r="FD24" s="69"/>
      <c r="FE24" s="86">
        <f t="shared" si="16"/>
        <v>0</v>
      </c>
    </row>
    <row r="25" spans="2:161">
      <c r="B25" s="193">
        <f t="shared" si="11"/>
        <v>2038</v>
      </c>
      <c r="C25" s="8">
        <f t="shared" si="5"/>
        <v>42.666399999999996</v>
      </c>
      <c r="D25" s="194"/>
      <c r="E25" s="8">
        <f t="shared" ca="1" si="12"/>
        <v>38.319467717565828</v>
      </c>
      <c r="F25" s="33"/>
      <c r="G25" s="8">
        <f t="shared" ca="1" si="13"/>
        <v>54.365126780405895</v>
      </c>
      <c r="H25" s="8"/>
      <c r="I25" s="98"/>
      <c r="J25" s="93"/>
      <c r="O25">
        <f t="shared" si="6"/>
        <v>2038</v>
      </c>
      <c r="P25" s="45">
        <v>0</v>
      </c>
      <c r="Q25">
        <v>0</v>
      </c>
      <c r="R25">
        <v>0</v>
      </c>
      <c r="S25">
        <v>0</v>
      </c>
      <c r="Z25"/>
      <c r="AX25" s="45">
        <f t="shared" si="14"/>
        <v>0</v>
      </c>
      <c r="AY25">
        <f t="shared" si="14"/>
        <v>0</v>
      </c>
      <c r="AZ25">
        <f t="shared" si="7"/>
        <v>0</v>
      </c>
      <c r="BA25">
        <f t="shared" si="8"/>
        <v>0</v>
      </c>
      <c r="CG25" s="145">
        <f t="shared" si="9"/>
        <v>2038</v>
      </c>
      <c r="CH25" s="70">
        <f>INDEX(Table3Compare!$E$6:$E$37,MATCH($CG25,Table3Compare!$A$6:$A$37,0),1)</f>
        <v>143.6299457981934</v>
      </c>
      <c r="CI25" s="70">
        <f>INDEX(Table3Compare!$B$6:$B$37,MATCH($CG25,Table3Compare!$A$6:$A$37,0),1)</f>
        <v>213.49</v>
      </c>
      <c r="CJ25" s="70">
        <f>INDEX(Table3Compare!$C$6:$C$37,MATCH($CG25,Table3Compare!$A$6:$A$37,0),MATCH(CJ$9,Table3Compare!$B$5:$K$5,0))</f>
        <v>228.57</v>
      </c>
      <c r="CK25" s="70">
        <f>INDEX(Table3Compare!$D$6:$D$37,MATCH($CG25,Table3Compare!$A$6:$A$37,0),MATCH(CK$9,Table3Compare!$B$5:$K$5,0))</f>
        <v>228.57</v>
      </c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150"/>
      <c r="DG25" s="150"/>
      <c r="DH25" s="70"/>
      <c r="DI25" s="150"/>
      <c r="DJ25" s="150"/>
      <c r="DK25" s="150"/>
      <c r="DL25" s="150"/>
      <c r="DM25" s="150"/>
      <c r="DR25" s="45">
        <f>SUM(AX$13:AX25)*CH25/1000</f>
        <v>0</v>
      </c>
      <c r="DS25">
        <f>SUM(AY$13:AY25)*CI25/1000</f>
        <v>0</v>
      </c>
      <c r="DT25">
        <f>SUM(AZ$13:AZ25)*CJ25/1000</f>
        <v>3.4133119999999995</v>
      </c>
      <c r="DU25">
        <f>SUM(BA$13:BA25)*CK25/1000</f>
        <v>0</v>
      </c>
      <c r="ED25">
        <f>SUM(BJ$13:BJ25)*CT25/1000</f>
        <v>0</v>
      </c>
      <c r="EE25">
        <f>SUM(BK$13:BK25)*CU25/1000</f>
        <v>0</v>
      </c>
      <c r="EF25">
        <f>SUM(BL$13:BL25)*CV25/1000</f>
        <v>0</v>
      </c>
      <c r="EG25">
        <f>SUM(BM$13:BM25)*CW25/1000</f>
        <v>0</v>
      </c>
      <c r="EH25">
        <f>SUM(BN$13:BN25)*CX25/1000</f>
        <v>0</v>
      </c>
      <c r="EI25">
        <f>SUM(BO$13:BO25)*CY25/1000</f>
        <v>0</v>
      </c>
      <c r="EJ25">
        <f>SUM(BP$13:BP25)*CZ25/1000</f>
        <v>0</v>
      </c>
      <c r="EK25">
        <f>SUM(BQ$13:BQ25)*DA25/1000</f>
        <v>0</v>
      </c>
      <c r="EL25">
        <f>SUM(BR$13:BR25)*DB25/1000</f>
        <v>0</v>
      </c>
      <c r="EM25">
        <f>SUM(BS$13:BS25)*DC25/1000</f>
        <v>0</v>
      </c>
      <c r="EN25">
        <f>SUM(BT$13:BT25)*DD25/1000</f>
        <v>0</v>
      </c>
      <c r="EO25">
        <f>SUM(BU$13:BU25)*DE25/1000</f>
        <v>0</v>
      </c>
      <c r="EP25">
        <f>SUM(BV$13:BV25)*DF25/1000</f>
        <v>0</v>
      </c>
      <c r="EQ25">
        <f>SUM(BW$13:BW25)*DG25/1000</f>
        <v>0</v>
      </c>
      <c r="ER25">
        <f>SUM(BX$13:BX25)*DH25/1000</f>
        <v>0</v>
      </c>
      <c r="ES25">
        <f>SUM(BY$13:BY25)*DI25/1000</f>
        <v>0</v>
      </c>
      <c r="ET25">
        <f>SUM(BZ$13:BZ25)*DJ25/1000</f>
        <v>0</v>
      </c>
      <c r="FA25">
        <f t="shared" si="15"/>
        <v>3.4133119999999995</v>
      </c>
      <c r="FC25">
        <f t="shared" si="10"/>
        <v>2038</v>
      </c>
      <c r="FD25" s="69"/>
      <c r="FE25" s="86">
        <f t="shared" si="16"/>
        <v>0</v>
      </c>
    </row>
    <row r="26" spans="2:161">
      <c r="B26" s="193">
        <f t="shared" si="11"/>
        <v>2039</v>
      </c>
      <c r="C26" s="8">
        <f t="shared" si="5"/>
        <v>43.612799999999993</v>
      </c>
      <c r="D26" s="194"/>
      <c r="E26" s="8">
        <f t="shared" ca="1" si="12"/>
        <v>39.515858484539784</v>
      </c>
      <c r="F26" s="33"/>
      <c r="G26" s="8">
        <f t="shared" ca="1" si="13"/>
        <v>55.919329737449587</v>
      </c>
      <c r="H26" s="8"/>
      <c r="I26" s="98"/>
      <c r="J26" s="93"/>
      <c r="O26">
        <f t="shared" si="6"/>
        <v>2039</v>
      </c>
      <c r="P26" s="45">
        <v>0</v>
      </c>
      <c r="Q26">
        <v>0</v>
      </c>
      <c r="R26">
        <v>0</v>
      </c>
      <c r="S26">
        <v>0</v>
      </c>
      <c r="Z26"/>
      <c r="AX26" s="45">
        <f t="shared" si="14"/>
        <v>0</v>
      </c>
      <c r="AY26">
        <f t="shared" si="14"/>
        <v>0</v>
      </c>
      <c r="AZ26">
        <f t="shared" si="7"/>
        <v>0</v>
      </c>
      <c r="BA26">
        <f t="shared" si="8"/>
        <v>0</v>
      </c>
      <c r="CG26" s="145">
        <f t="shared" si="9"/>
        <v>2039</v>
      </c>
      <c r="CH26" s="70">
        <f>INDEX(Table3Compare!$E$6:$E$37,MATCH($CG26,Table3Compare!$A$6:$A$37,0),1)</f>
        <v>146.81853059491328</v>
      </c>
      <c r="CI26" s="70">
        <f>INDEX(Table3Compare!$B$6:$B$37,MATCH($CG26,Table3Compare!$A$6:$A$37,0),1)</f>
        <v>218.23</v>
      </c>
      <c r="CJ26" s="70">
        <f>INDEX(Table3Compare!$C$6:$C$37,MATCH($CG26,Table3Compare!$A$6:$A$37,0),MATCH(CJ$9,Table3Compare!$B$5:$K$5,0))</f>
        <v>233.64</v>
      </c>
      <c r="CK26" s="70">
        <f>INDEX(Table3Compare!$D$6:$D$37,MATCH($CG26,Table3Compare!$A$6:$A$37,0),MATCH(CK$9,Table3Compare!$B$5:$K$5,0))</f>
        <v>233.65</v>
      </c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150"/>
      <c r="DG26" s="150"/>
      <c r="DH26" s="70"/>
      <c r="DI26" s="150"/>
      <c r="DJ26" s="150"/>
      <c r="DK26" s="150"/>
      <c r="DL26" s="150"/>
      <c r="DM26" s="150"/>
      <c r="DR26" s="45">
        <f>SUM(AX$13:AX26)*CH26/1000</f>
        <v>0</v>
      </c>
      <c r="DS26">
        <f>SUM(AY$13:AY26)*CI26/1000</f>
        <v>0</v>
      </c>
      <c r="DT26">
        <f>SUM(AZ$13:AZ26)*CJ26/1000</f>
        <v>3.4890239999999992</v>
      </c>
      <c r="DU26">
        <f>SUM(BA$13:BA26)*CK26/1000</f>
        <v>0</v>
      </c>
      <c r="ED26">
        <f>SUM(BJ$13:BJ26)*CT26/1000</f>
        <v>0</v>
      </c>
      <c r="EE26">
        <f>SUM(BK$13:BK26)*CU26/1000</f>
        <v>0</v>
      </c>
      <c r="EF26">
        <f>SUM(BL$13:BL26)*CV26/1000</f>
        <v>0</v>
      </c>
      <c r="EG26">
        <f>SUM(BM$13:BM26)*CW26/1000</f>
        <v>0</v>
      </c>
      <c r="EH26">
        <f>SUM(BN$13:BN26)*CX26/1000</f>
        <v>0</v>
      </c>
      <c r="EI26">
        <f>SUM(BO$13:BO26)*CY26/1000</f>
        <v>0</v>
      </c>
      <c r="EJ26">
        <f>SUM(BP$13:BP26)*CZ26/1000</f>
        <v>0</v>
      </c>
      <c r="EK26">
        <f>SUM(BQ$13:BQ26)*DA26/1000</f>
        <v>0</v>
      </c>
      <c r="EL26">
        <f>SUM(BR$13:BR26)*DB26/1000</f>
        <v>0</v>
      </c>
      <c r="EM26">
        <f>SUM(BS$13:BS26)*DC26/1000</f>
        <v>0</v>
      </c>
      <c r="EN26">
        <f>SUM(BT$13:BT26)*DD26/1000</f>
        <v>0</v>
      </c>
      <c r="EO26">
        <f>SUM(BU$13:BU26)*DE26/1000</f>
        <v>0</v>
      </c>
      <c r="EP26">
        <f>SUM(BV$13:BV26)*DF26/1000</f>
        <v>0</v>
      </c>
      <c r="EQ26">
        <f>SUM(BW$13:BW26)*DG26/1000</f>
        <v>0</v>
      </c>
      <c r="ER26">
        <f>SUM(BX$13:BX26)*DH26/1000</f>
        <v>0</v>
      </c>
      <c r="ES26">
        <f>SUM(BY$13:BY26)*DI26/1000</f>
        <v>0</v>
      </c>
      <c r="ET26">
        <f>SUM(BZ$13:BZ26)*DJ26/1000</f>
        <v>0</v>
      </c>
      <c r="FA26">
        <f t="shared" si="15"/>
        <v>3.4890239999999992</v>
      </c>
      <c r="FC26">
        <f t="shared" si="10"/>
        <v>2039</v>
      </c>
      <c r="FD26" s="69"/>
      <c r="FE26" s="86">
        <f t="shared" si="16"/>
        <v>0</v>
      </c>
    </row>
    <row r="27" spans="2:161">
      <c r="B27" s="193">
        <f t="shared" si="11"/>
        <v>2040</v>
      </c>
      <c r="C27" s="8">
        <f t="shared" si="5"/>
        <v>44.581599999999995</v>
      </c>
      <c r="D27" s="194"/>
      <c r="E27" s="8">
        <f t="shared" ca="1" si="12"/>
        <v>40.899815429497004</v>
      </c>
      <c r="F27" s="33"/>
      <c r="G27" s="8">
        <f t="shared" ca="1" si="13"/>
        <v>57.63010423882222</v>
      </c>
      <c r="H27" s="8"/>
      <c r="I27" s="98"/>
      <c r="J27" s="93"/>
      <c r="O27">
        <f t="shared" si="6"/>
        <v>2040</v>
      </c>
      <c r="P27" s="45">
        <v>0</v>
      </c>
      <c r="Q27">
        <v>0</v>
      </c>
      <c r="R27">
        <v>0</v>
      </c>
      <c r="S27">
        <v>0</v>
      </c>
      <c r="Z27"/>
      <c r="AX27" s="45">
        <f t="shared" si="14"/>
        <v>0</v>
      </c>
      <c r="AY27">
        <f t="shared" si="14"/>
        <v>0</v>
      </c>
      <c r="AZ27">
        <f t="shared" si="7"/>
        <v>0</v>
      </c>
      <c r="BA27">
        <f t="shared" si="8"/>
        <v>0</v>
      </c>
      <c r="CG27" s="145">
        <f t="shared" si="9"/>
        <v>2040</v>
      </c>
      <c r="CH27" s="70">
        <f>INDEX(Table3Compare!$E$6:$E$37,MATCH($CG27,Table3Compare!$A$6:$A$37,0),1)</f>
        <v>150.07790197412038</v>
      </c>
      <c r="CI27" s="70">
        <f>INDEX(Table3Compare!$B$6:$B$37,MATCH($CG27,Table3Compare!$A$6:$A$37,0),1)</f>
        <v>223.07</v>
      </c>
      <c r="CJ27" s="70">
        <f>INDEX(Table3Compare!$C$6:$C$37,MATCH($CG27,Table3Compare!$A$6:$A$37,0),MATCH(CJ$9,Table3Compare!$B$5:$K$5,0))</f>
        <v>238.83</v>
      </c>
      <c r="CK27" s="70">
        <f>INDEX(Table3Compare!$D$6:$D$37,MATCH($CG27,Table3Compare!$A$6:$A$37,0),MATCH(CK$9,Table3Compare!$B$5:$K$5,0))</f>
        <v>238.83</v>
      </c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150"/>
      <c r="DG27" s="150"/>
      <c r="DH27" s="70"/>
      <c r="DI27" s="150"/>
      <c r="DJ27" s="150"/>
      <c r="DK27" s="150"/>
      <c r="DL27" s="150"/>
      <c r="DM27" s="150"/>
      <c r="DR27" s="45">
        <f>SUM(AX$13:AX27)*CH27/1000</f>
        <v>0</v>
      </c>
      <c r="DS27">
        <f>SUM(AY$13:AY27)*CI27/1000</f>
        <v>0</v>
      </c>
      <c r="DT27">
        <f>SUM(AZ$13:AZ27)*CJ27/1000</f>
        <v>3.5665279999999999</v>
      </c>
      <c r="DU27">
        <f>SUM(BA$13:BA27)*CK27/1000</f>
        <v>0</v>
      </c>
      <c r="ED27">
        <f>SUM(BJ$13:BJ27)*CT27/1000</f>
        <v>0</v>
      </c>
      <c r="EE27">
        <f>SUM(BK$13:BK27)*CU27/1000</f>
        <v>0</v>
      </c>
      <c r="EF27">
        <f>SUM(BL$13:BL27)*CV27/1000</f>
        <v>0</v>
      </c>
      <c r="EG27">
        <f>SUM(BM$13:BM27)*CW27/1000</f>
        <v>0</v>
      </c>
      <c r="EH27">
        <f>SUM(BN$13:BN27)*CX27/1000</f>
        <v>0</v>
      </c>
      <c r="EI27">
        <f>SUM(BO$13:BO27)*CY27/1000</f>
        <v>0</v>
      </c>
      <c r="EJ27">
        <f>SUM(BP$13:BP27)*CZ27/1000</f>
        <v>0</v>
      </c>
      <c r="EK27">
        <f>SUM(BQ$13:BQ27)*DA27/1000</f>
        <v>0</v>
      </c>
      <c r="EL27">
        <f>SUM(BR$13:BR27)*DB27/1000</f>
        <v>0</v>
      </c>
      <c r="EM27">
        <f>SUM(BS$13:BS27)*DC27/1000</f>
        <v>0</v>
      </c>
      <c r="EN27">
        <f>SUM(BT$13:BT27)*DD27/1000</f>
        <v>0</v>
      </c>
      <c r="EO27">
        <f>SUM(BU$13:BU27)*DE27/1000</f>
        <v>0</v>
      </c>
      <c r="EP27">
        <f>SUM(BV$13:BV27)*DF27/1000</f>
        <v>0</v>
      </c>
      <c r="EQ27">
        <f>SUM(BW$13:BW27)*DG27/1000</f>
        <v>0</v>
      </c>
      <c r="ER27">
        <f>SUM(BX$13:BX27)*DH27/1000</f>
        <v>0</v>
      </c>
      <c r="ES27">
        <f>SUM(BY$13:BY27)*DI27/1000</f>
        <v>0</v>
      </c>
      <c r="ET27">
        <f>SUM(BZ$13:BZ27)*DJ27/1000</f>
        <v>0</v>
      </c>
      <c r="FA27">
        <f t="shared" si="15"/>
        <v>3.5665279999999999</v>
      </c>
      <c r="FC27">
        <f t="shared" si="10"/>
        <v>2040</v>
      </c>
      <c r="FD27" s="69"/>
      <c r="FE27" s="86">
        <f t="shared" si="16"/>
        <v>0</v>
      </c>
    </row>
    <row r="28" spans="2:161">
      <c r="B28" s="193">
        <f t="shared" si="11"/>
        <v>2041</v>
      </c>
      <c r="C28" s="8">
        <f t="shared" si="5"/>
        <v>45.570933333333329</v>
      </c>
      <c r="D28" s="194"/>
      <c r="E28" s="8">
        <f t="shared" ca="1" si="12"/>
        <v>42.631217112445896</v>
      </c>
      <c r="F28" s="33"/>
      <c r="G28" s="8">
        <f t="shared" ca="1" si="13"/>
        <v>59.75451639863352</v>
      </c>
      <c r="H28" s="8"/>
      <c r="I28" s="98"/>
      <c r="J28" s="93"/>
      <c r="M28" s="45"/>
      <c r="O28">
        <f t="shared" si="6"/>
        <v>2041</v>
      </c>
      <c r="P28" s="45">
        <v>0</v>
      </c>
      <c r="Q28">
        <v>0</v>
      </c>
      <c r="R28">
        <v>0</v>
      </c>
      <c r="S28">
        <v>0</v>
      </c>
      <c r="Z28"/>
      <c r="AX28" s="45">
        <f t="shared" si="14"/>
        <v>0</v>
      </c>
      <c r="AY28">
        <f t="shared" si="14"/>
        <v>0</v>
      </c>
      <c r="AZ28">
        <f t="shared" si="7"/>
        <v>0</v>
      </c>
      <c r="BA28">
        <f t="shared" si="8"/>
        <v>0</v>
      </c>
      <c r="CG28" s="145">
        <f t="shared" si="9"/>
        <v>2041</v>
      </c>
      <c r="CH28" s="70">
        <f>INDEX(Table3Compare!$E$6:$E$37,MATCH($CG28,Table3Compare!$A$6:$A$37,0),1)</f>
        <v>153.40963139794584</v>
      </c>
      <c r="CI28" s="70">
        <f>INDEX(Table3Compare!$B$6:$B$37,MATCH($CG28,Table3Compare!$A$6:$A$37,0),1)</f>
        <v>228.02</v>
      </c>
      <c r="CJ28" s="70">
        <f>INDEX(Table3Compare!$C$6:$C$37,MATCH($CG28,Table3Compare!$A$6:$A$37,0),MATCH(CJ$9,Table3Compare!$B$5:$K$5,0))</f>
        <v>244.13</v>
      </c>
      <c r="CK28" s="70">
        <f>INDEX(Table3Compare!$D$6:$D$37,MATCH($CG28,Table3Compare!$A$6:$A$37,0),MATCH(CK$9,Table3Compare!$B$5:$K$5,0))</f>
        <v>244.13</v>
      </c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150"/>
      <c r="DG28" s="150"/>
      <c r="DH28" s="70"/>
      <c r="DI28" s="150"/>
      <c r="DJ28" s="150"/>
      <c r="DK28" s="150"/>
      <c r="DL28" s="150"/>
      <c r="DM28" s="150"/>
      <c r="DR28" s="45">
        <f>SUM(AX$13:AX28)*CH28/1000</f>
        <v>0</v>
      </c>
      <c r="DS28">
        <f>SUM(AY$13:AY28)*CI28/1000</f>
        <v>0</v>
      </c>
      <c r="DT28">
        <f>SUM(AZ$13:AZ28)*CJ28/1000</f>
        <v>3.6456746666666664</v>
      </c>
      <c r="DU28">
        <f>SUM(BA$13:BA28)*CK28/1000</f>
        <v>0</v>
      </c>
      <c r="ED28">
        <f>SUM(BJ$13:BJ28)*CT28/1000</f>
        <v>0</v>
      </c>
      <c r="EE28">
        <f>SUM(BK$13:BK28)*CU28/1000</f>
        <v>0</v>
      </c>
      <c r="EF28">
        <f>SUM(BL$13:BL28)*CV28/1000</f>
        <v>0</v>
      </c>
      <c r="EG28">
        <f>SUM(BM$13:BM28)*CW28/1000</f>
        <v>0</v>
      </c>
      <c r="EH28">
        <f>SUM(BN$13:BN28)*CX28/1000</f>
        <v>0</v>
      </c>
      <c r="EI28">
        <f>SUM(BO$13:BO28)*CY28/1000</f>
        <v>0</v>
      </c>
      <c r="EJ28">
        <f>SUM(BP$13:BP28)*CZ28/1000</f>
        <v>0</v>
      </c>
      <c r="EK28">
        <f>SUM(BQ$13:BQ28)*DA28/1000</f>
        <v>0</v>
      </c>
      <c r="EL28">
        <f>SUM(BR$13:BR28)*DB28/1000</f>
        <v>0</v>
      </c>
      <c r="EM28">
        <f>SUM(BS$13:BS28)*DC28/1000</f>
        <v>0</v>
      </c>
      <c r="EN28">
        <f>SUM(BT$13:BT28)*DD28/1000</f>
        <v>0</v>
      </c>
      <c r="EO28">
        <f>SUM(BU$13:BU28)*DE28/1000</f>
        <v>0</v>
      </c>
      <c r="EP28">
        <f>SUM(BV$13:BV28)*DF28/1000</f>
        <v>0</v>
      </c>
      <c r="EQ28">
        <f>SUM(BW$13:BW28)*DG28/1000</f>
        <v>0</v>
      </c>
      <c r="ER28">
        <f>SUM(BX$13:BX28)*DH28/1000</f>
        <v>0</v>
      </c>
      <c r="ES28">
        <f>SUM(BY$13:BY28)*DI28/1000</f>
        <v>0</v>
      </c>
      <c r="ET28">
        <f>SUM(BZ$13:BZ28)*DJ28/1000</f>
        <v>0</v>
      </c>
      <c r="FA28">
        <f t="shared" si="15"/>
        <v>3.6456746666666664</v>
      </c>
      <c r="FC28">
        <f t="shared" si="10"/>
        <v>2041</v>
      </c>
      <c r="FD28" s="69"/>
      <c r="FE28" s="86">
        <f t="shared" si="16"/>
        <v>0</v>
      </c>
    </row>
    <row r="29" spans="2:161">
      <c r="B29" s="193">
        <f t="shared" si="11"/>
        <v>2042</v>
      </c>
      <c r="C29" s="8">
        <f t="shared" si="5"/>
        <v>46.582666666666668</v>
      </c>
      <c r="D29" s="194"/>
      <c r="E29" s="8">
        <f t="shared" ca="1" si="12"/>
        <v>45.039366828352989</v>
      </c>
      <c r="F29" s="33"/>
      <c r="G29" s="8">
        <f t="shared" ca="1" si="13"/>
        <v>62.525542903924119</v>
      </c>
      <c r="H29" s="8"/>
      <c r="I29" s="98"/>
      <c r="J29" s="93"/>
      <c r="M29" s="86"/>
      <c r="O29">
        <f t="shared" si="6"/>
        <v>2042</v>
      </c>
      <c r="P29" s="45">
        <v>0</v>
      </c>
      <c r="Q29">
        <v>0</v>
      </c>
      <c r="R29">
        <v>0</v>
      </c>
      <c r="S29">
        <v>0</v>
      </c>
      <c r="Z29"/>
      <c r="AX29" s="45">
        <f t="shared" si="14"/>
        <v>0</v>
      </c>
      <c r="AY29">
        <f t="shared" si="14"/>
        <v>0</v>
      </c>
      <c r="AZ29">
        <f t="shared" si="7"/>
        <v>0</v>
      </c>
      <c r="BA29">
        <f t="shared" si="8"/>
        <v>0</v>
      </c>
      <c r="CG29" s="145">
        <f t="shared" si="9"/>
        <v>2042</v>
      </c>
      <c r="CH29" s="70">
        <f>INDEX(Table3Compare!$E$6:$E$37,MATCH($CG29,Table3Compare!$A$6:$A$37,0),1)</f>
        <v>156.81532521498025</v>
      </c>
      <c r="CI29" s="70">
        <f>INDEX(Table3Compare!$B$6:$B$37,MATCH($CG29,Table3Compare!$A$6:$A$37,0),1)</f>
        <v>233.08</v>
      </c>
      <c r="CJ29" s="70">
        <f>INDEX(Table3Compare!$C$6:$C$37,MATCH($CG29,Table3Compare!$A$6:$A$37,0),MATCH(CJ$9,Table3Compare!$B$5:$K$5,0))</f>
        <v>249.55</v>
      </c>
      <c r="CK29" s="70">
        <f>INDEX(Table3Compare!$D$6:$D$37,MATCH($CG29,Table3Compare!$A$6:$A$37,0),MATCH(CK$9,Table3Compare!$B$5:$K$5,0))</f>
        <v>249.55</v>
      </c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150"/>
      <c r="DG29" s="150"/>
      <c r="DH29" s="70"/>
      <c r="DI29" s="150"/>
      <c r="DJ29" s="150"/>
      <c r="DK29" s="150"/>
      <c r="DL29" s="150"/>
      <c r="DM29" s="150"/>
      <c r="DR29" s="45">
        <f>SUM(AX$13:AX29)*CH29/1000</f>
        <v>0</v>
      </c>
      <c r="DS29">
        <f>SUM(AY$13:AY29)*CI29/1000</f>
        <v>0</v>
      </c>
      <c r="DT29">
        <f>SUM(AZ$13:AZ29)*CJ29/1000</f>
        <v>3.7266133333333333</v>
      </c>
      <c r="DU29">
        <f>SUM(BA$13:BA29)*CK29/1000</f>
        <v>0</v>
      </c>
      <c r="ED29">
        <f>SUM(BJ$13:BJ29)*CT29/1000</f>
        <v>0</v>
      </c>
      <c r="EE29">
        <f>SUM(BK$13:BK29)*CU29/1000</f>
        <v>0</v>
      </c>
      <c r="EF29">
        <f>SUM(BL$13:BL29)*CV29/1000</f>
        <v>0</v>
      </c>
      <c r="EG29">
        <f>SUM(BM$13:BM29)*CW29/1000</f>
        <v>0</v>
      </c>
      <c r="EH29">
        <f>SUM(BN$13:BN29)*CX29/1000</f>
        <v>0</v>
      </c>
      <c r="EI29">
        <f>SUM(BO$13:BO29)*CY29/1000</f>
        <v>0</v>
      </c>
      <c r="EJ29">
        <f>SUM(BP$13:BP29)*CZ29/1000</f>
        <v>0</v>
      </c>
      <c r="EK29">
        <f>SUM(BQ$13:BQ29)*DA29/1000</f>
        <v>0</v>
      </c>
      <c r="EL29">
        <f>SUM(BR$13:BR29)*DB29/1000</f>
        <v>0</v>
      </c>
      <c r="EM29">
        <f>SUM(BS$13:BS29)*DC29/1000</f>
        <v>0</v>
      </c>
      <c r="EN29">
        <f>SUM(BT$13:BT29)*DD29/1000</f>
        <v>0</v>
      </c>
      <c r="EO29">
        <f>SUM(BU$13:BU29)*DE29/1000</f>
        <v>0</v>
      </c>
      <c r="EP29">
        <f>SUM(BV$13:BV29)*DF29/1000</f>
        <v>0</v>
      </c>
      <c r="EQ29">
        <f>SUM(BW$13:BW29)*DG29/1000</f>
        <v>0</v>
      </c>
      <c r="ER29">
        <f>SUM(BX$13:BX29)*DH29/1000</f>
        <v>0</v>
      </c>
      <c r="ES29">
        <f>SUM(BY$13:BY29)*DI29/1000</f>
        <v>0</v>
      </c>
      <c r="ET29">
        <f>SUM(BZ$13:BZ29)*DJ29/1000</f>
        <v>0</v>
      </c>
      <c r="FA29">
        <f t="shared" si="15"/>
        <v>3.7266133333333333</v>
      </c>
      <c r="FC29">
        <f t="shared" si="10"/>
        <v>2042</v>
      </c>
      <c r="FD29" s="69"/>
      <c r="FE29" s="86">
        <f t="shared" si="16"/>
        <v>0</v>
      </c>
    </row>
    <row r="30" spans="2:161">
      <c r="B30" s="193">
        <f t="shared" si="11"/>
        <v>2043</v>
      </c>
      <c r="C30" s="8">
        <f t="shared" si="5"/>
        <v>47.616799999999998</v>
      </c>
      <c r="D30" s="194"/>
      <c r="E30" s="8">
        <f t="shared" ca="1" si="12"/>
        <v>47.387745355994156</v>
      </c>
      <c r="F30" s="33"/>
      <c r="G30" s="8">
        <f t="shared" ca="1" si="13"/>
        <v>65.266351676903867</v>
      </c>
      <c r="H30" s="8"/>
      <c r="I30" s="98"/>
      <c r="J30" s="93"/>
      <c r="M30" s="86"/>
      <c r="O30">
        <f t="shared" si="6"/>
        <v>2043</v>
      </c>
      <c r="P30" s="45">
        <v>0</v>
      </c>
      <c r="Q30">
        <v>0</v>
      </c>
      <c r="R30">
        <v>0</v>
      </c>
      <c r="S30">
        <v>0</v>
      </c>
      <c r="Z30"/>
      <c r="AX30" s="45">
        <f t="shared" si="14"/>
        <v>0</v>
      </c>
      <c r="AY30">
        <f t="shared" si="14"/>
        <v>0</v>
      </c>
      <c r="AZ30">
        <f t="shared" si="7"/>
        <v>0</v>
      </c>
      <c r="BA30">
        <f t="shared" si="8"/>
        <v>0</v>
      </c>
      <c r="CG30" s="145">
        <f t="shared" si="9"/>
        <v>2043</v>
      </c>
      <c r="CH30" s="70">
        <f>INDEX(Table3Compare!$E$6:$E$37,MATCH($CG30,Table3Compare!$A$6:$A$37,0),1)</f>
        <v>160.2966254347528</v>
      </c>
      <c r="CI30" s="70">
        <f>INDEX(Table3Compare!$B$6:$B$37,MATCH($CG30,Table3Compare!$A$6:$A$37,0),1)</f>
        <v>238.26</v>
      </c>
      <c r="CJ30" s="70">
        <f>INDEX(Table3Compare!$C$6:$C$37,MATCH($CG30,Table3Compare!$A$6:$A$37,0),MATCH(CJ$9,Table3Compare!$B$5:$K$5,0))</f>
        <v>255.09</v>
      </c>
      <c r="CK30" s="70">
        <f>INDEX(Table3Compare!$D$6:$D$37,MATCH($CG30,Table3Compare!$A$6:$A$37,0),MATCH(CK$9,Table3Compare!$B$5:$K$5,0))</f>
        <v>255.09</v>
      </c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150"/>
      <c r="DG30" s="150"/>
      <c r="DH30" s="70"/>
      <c r="DI30" s="150"/>
      <c r="DJ30" s="150"/>
      <c r="DK30" s="150"/>
      <c r="DL30" s="150"/>
      <c r="DM30" s="150"/>
      <c r="DR30" s="45">
        <f>SUM(AX$13:AX30)*CH30/1000</f>
        <v>0</v>
      </c>
      <c r="DS30">
        <f>SUM(AY$13:AY30)*CI30/1000</f>
        <v>0</v>
      </c>
      <c r="DT30">
        <f>SUM(AZ$13:AZ30)*CJ30/1000</f>
        <v>3.8093439999999994</v>
      </c>
      <c r="DU30">
        <f>SUM(BA$13:BA30)*CK30/1000</f>
        <v>0</v>
      </c>
      <c r="ED30">
        <f>SUM(BJ$13:BJ30)*CT30/1000</f>
        <v>0</v>
      </c>
      <c r="EE30">
        <f>SUM(BK$13:BK30)*CU30/1000</f>
        <v>0</v>
      </c>
      <c r="EF30">
        <f>SUM(BL$13:BL30)*CV30/1000</f>
        <v>0</v>
      </c>
      <c r="EG30">
        <f>SUM(BM$13:BM30)*CW30/1000</f>
        <v>0</v>
      </c>
      <c r="EH30">
        <f>SUM(BN$13:BN30)*CX30/1000</f>
        <v>0</v>
      </c>
      <c r="EI30">
        <f>SUM(BO$13:BO30)*CY30/1000</f>
        <v>0</v>
      </c>
      <c r="EJ30">
        <f>SUM(BP$13:BP30)*CZ30/1000</f>
        <v>0</v>
      </c>
      <c r="EK30">
        <f>SUM(BQ$13:BQ30)*DA30/1000</f>
        <v>0</v>
      </c>
      <c r="EL30">
        <f>SUM(BR$13:BR30)*DB30/1000</f>
        <v>0</v>
      </c>
      <c r="EM30">
        <f>SUM(BS$13:BS30)*DC30/1000</f>
        <v>0</v>
      </c>
      <c r="EN30">
        <f>SUM(BT$13:BT30)*DD30/1000</f>
        <v>0</v>
      </c>
      <c r="EO30">
        <f>SUM(BU$13:BU30)*DE30/1000</f>
        <v>0</v>
      </c>
      <c r="EP30">
        <f>SUM(BV$13:BV30)*DF30/1000</f>
        <v>0</v>
      </c>
      <c r="EQ30">
        <f>SUM(BW$13:BW30)*DG30/1000</f>
        <v>0</v>
      </c>
      <c r="ER30">
        <f>SUM(BX$13:BX30)*DH30/1000</f>
        <v>0</v>
      </c>
      <c r="ES30">
        <f>SUM(BY$13:BY30)*DI30/1000</f>
        <v>0</v>
      </c>
      <c r="ET30">
        <f>SUM(BZ$13:BZ30)*DJ30/1000</f>
        <v>0</v>
      </c>
      <c r="FA30">
        <f t="shared" si="15"/>
        <v>3.8093439999999994</v>
      </c>
      <c r="FC30">
        <f t="shared" si="10"/>
        <v>2043</v>
      </c>
      <c r="FD30" s="69"/>
      <c r="FE30" s="86">
        <f t="shared" si="16"/>
        <v>0</v>
      </c>
    </row>
    <row r="31" spans="2:161">
      <c r="B31" s="193">
        <f t="shared" si="11"/>
        <v>2044</v>
      </c>
      <c r="C31" s="8">
        <f t="shared" si="5"/>
        <v>48.673333333333332</v>
      </c>
      <c r="D31" s="194"/>
      <c r="E31" s="8">
        <f t="shared" ca="1" si="12"/>
        <v>48.570042155505178</v>
      </c>
      <c r="F31" s="33"/>
      <c r="G31" s="8">
        <f t="shared" ca="1" si="13"/>
        <v>66.834811301392548</v>
      </c>
      <c r="H31" s="8"/>
      <c r="I31" s="98"/>
      <c r="J31" s="93"/>
      <c r="M31" s="86"/>
      <c r="O31">
        <f t="shared" si="6"/>
        <v>2044</v>
      </c>
      <c r="P31" s="45">
        <v>0</v>
      </c>
      <c r="Q31">
        <v>0</v>
      </c>
      <c r="R31">
        <v>0</v>
      </c>
      <c r="S31">
        <v>0</v>
      </c>
      <c r="Z31"/>
      <c r="AX31" s="45">
        <f t="shared" si="14"/>
        <v>0</v>
      </c>
      <c r="AY31">
        <f t="shared" si="14"/>
        <v>0</v>
      </c>
      <c r="AZ31">
        <f t="shared" si="7"/>
        <v>0</v>
      </c>
      <c r="BA31">
        <f t="shared" si="8"/>
        <v>0</v>
      </c>
      <c r="CG31" s="145">
        <f t="shared" si="9"/>
        <v>2044</v>
      </c>
      <c r="CH31" s="70">
        <f>INDEX(Table3Compare!$E$6:$E$37,MATCH($CG31,Table3Compare!$A$6:$A$37,0),1)</f>
        <v>163.85521051940432</v>
      </c>
      <c r="CI31" s="70">
        <f>INDEX(Table3Compare!$B$6:$B$37,MATCH($CG31,Table3Compare!$A$6:$A$37,0),1)</f>
        <v>243.55</v>
      </c>
      <c r="CJ31" s="70">
        <f>INDEX(Table3Compare!$C$6:$C$37,MATCH($CG31,Table3Compare!$A$6:$A$37,0),MATCH(CJ$9,Table3Compare!$B$5:$K$5,0))</f>
        <v>260.75</v>
      </c>
      <c r="CK31" s="70">
        <f>INDEX(Table3Compare!$D$6:$D$37,MATCH($CG31,Table3Compare!$A$6:$A$37,0),MATCH(CK$9,Table3Compare!$B$5:$K$5,0))</f>
        <v>260.76</v>
      </c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150"/>
      <c r="DG31" s="150"/>
      <c r="DH31" s="70"/>
      <c r="DI31" s="150"/>
      <c r="DJ31" s="150"/>
      <c r="DK31" s="150"/>
      <c r="DL31" s="150"/>
      <c r="DM31" s="150"/>
      <c r="DR31" s="45">
        <f>SUM(AX$13:AX31)*CH31/1000</f>
        <v>0</v>
      </c>
      <c r="DS31">
        <f>SUM(AY$13:AY31)*CI31/1000</f>
        <v>0</v>
      </c>
      <c r="DT31">
        <f>SUM(AZ$13:AZ31)*CJ31/1000</f>
        <v>3.8938666666666664</v>
      </c>
      <c r="DU31">
        <f>SUM(BA$13:BA31)*CK31/1000</f>
        <v>0</v>
      </c>
      <c r="ED31">
        <f>SUM(BJ$13:BJ31)*CT31/1000</f>
        <v>0</v>
      </c>
      <c r="EE31">
        <f>SUM(BK$13:BK31)*CU31/1000</f>
        <v>0</v>
      </c>
      <c r="EF31">
        <f>SUM(BL$13:BL31)*CV31/1000</f>
        <v>0</v>
      </c>
      <c r="EG31">
        <f>SUM(BM$13:BM31)*CW31/1000</f>
        <v>0</v>
      </c>
      <c r="EH31">
        <f>SUM(BN$13:BN31)*CX31/1000</f>
        <v>0</v>
      </c>
      <c r="EI31">
        <f>SUM(BO$13:BO31)*CY31/1000</f>
        <v>0</v>
      </c>
      <c r="EJ31">
        <f>SUM(BP$13:BP31)*CZ31/1000</f>
        <v>0</v>
      </c>
      <c r="EK31">
        <f>SUM(BQ$13:BQ31)*DA31/1000</f>
        <v>0</v>
      </c>
      <c r="EL31">
        <f>SUM(BR$13:BR31)*DB31/1000</f>
        <v>0</v>
      </c>
      <c r="EM31">
        <f>SUM(BS$13:BS31)*DC31/1000</f>
        <v>0</v>
      </c>
      <c r="EN31">
        <f>SUM(BT$13:BT31)*DD31/1000</f>
        <v>0</v>
      </c>
      <c r="EO31">
        <f>SUM(BU$13:BU31)*DE31/1000</f>
        <v>0</v>
      </c>
      <c r="EP31">
        <f>SUM(BV$13:BV31)*DF31/1000</f>
        <v>0</v>
      </c>
      <c r="EQ31">
        <f>SUM(BW$13:BW31)*DG31/1000</f>
        <v>0</v>
      </c>
      <c r="ER31">
        <f>SUM(BX$13:BX31)*DH31/1000</f>
        <v>0</v>
      </c>
      <c r="ES31">
        <f>SUM(BY$13:BY31)*DI31/1000</f>
        <v>0</v>
      </c>
      <c r="ET31">
        <f>SUM(BZ$13:BZ31)*DJ31/1000</f>
        <v>0</v>
      </c>
      <c r="FA31">
        <f t="shared" si="15"/>
        <v>3.8938666666666664</v>
      </c>
      <c r="FC31">
        <f t="shared" si="10"/>
        <v>2044</v>
      </c>
      <c r="FD31" s="69"/>
      <c r="FE31" s="86">
        <f t="shared" si="16"/>
        <v>0</v>
      </c>
    </row>
    <row r="32" spans="2:161">
      <c r="B32" s="193">
        <f t="shared" si="11"/>
        <v>2045</v>
      </c>
      <c r="C32" s="8">
        <f t="shared" si="5"/>
        <v>49.754133333333336</v>
      </c>
      <c r="D32" s="194"/>
      <c r="E32" s="8">
        <f t="shared" ca="1" si="12"/>
        <v>51.163918436367688</v>
      </c>
      <c r="F32" s="33"/>
      <c r="G32" s="8">
        <f t="shared" ca="1" si="13"/>
        <v>69.873166875637068</v>
      </c>
      <c r="H32" s="8"/>
      <c r="I32" s="98"/>
      <c r="J32" s="93"/>
      <c r="M32" s="86"/>
      <c r="O32">
        <f t="shared" si="6"/>
        <v>2045</v>
      </c>
      <c r="P32" s="45">
        <v>0</v>
      </c>
      <c r="Q32">
        <v>0</v>
      </c>
      <c r="R32">
        <v>0</v>
      </c>
      <c r="S32">
        <v>0</v>
      </c>
      <c r="Z32"/>
      <c r="AX32" s="45">
        <f t="shared" si="14"/>
        <v>0</v>
      </c>
      <c r="AY32">
        <f t="shared" si="14"/>
        <v>0</v>
      </c>
      <c r="AZ32">
        <f t="shared" si="7"/>
        <v>0</v>
      </c>
      <c r="BA32">
        <f t="shared" si="8"/>
        <v>0</v>
      </c>
      <c r="CG32" s="145">
        <f t="shared" si="9"/>
        <v>2045</v>
      </c>
      <c r="CH32" s="70">
        <f>INDEX(Table3Compare!$E$6:$E$37,MATCH($CG32,Table3Compare!$A$6:$A$37,0),1)</f>
        <v>167.49279619293509</v>
      </c>
      <c r="CI32" s="70">
        <f>INDEX(Table3Compare!$B$6:$B$37,MATCH($CG32,Table3Compare!$A$6:$A$37,0),1)</f>
        <v>248.95</v>
      </c>
      <c r="CJ32" s="70">
        <f>INDEX(Table3Compare!$C$6:$C$37,MATCH($CG32,Table3Compare!$A$6:$A$37,0),MATCH(CJ$9,Table3Compare!$B$5:$K$5,0))</f>
        <v>266.54000000000002</v>
      </c>
      <c r="CK32" s="70">
        <f>INDEX(Table3Compare!$D$6:$D$37,MATCH($CG32,Table3Compare!$A$6:$A$37,0),MATCH(CK$9,Table3Compare!$B$5:$K$5,0))</f>
        <v>266.55</v>
      </c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150"/>
      <c r="DG32" s="150"/>
      <c r="DH32" s="70"/>
      <c r="DI32" s="150"/>
      <c r="DJ32" s="150"/>
      <c r="DK32" s="150"/>
      <c r="DL32" s="150"/>
      <c r="DM32" s="150"/>
      <c r="DR32" s="45">
        <f>SUM(AX$13:AX32)*CH32/1000</f>
        <v>0</v>
      </c>
      <c r="DS32">
        <f>SUM(AY$13:AY32)*CI32/1000</f>
        <v>0</v>
      </c>
      <c r="DT32">
        <f>SUM(AZ$13:AZ32)*CJ32/1000</f>
        <v>3.9803306666666667</v>
      </c>
      <c r="DU32">
        <f>SUM(BA$13:BA32)*CK32/1000</f>
        <v>0</v>
      </c>
      <c r="ED32">
        <f>SUM(BJ$13:BJ32)*CT32/1000</f>
        <v>0</v>
      </c>
      <c r="EE32">
        <f>SUM(BK$13:BK32)*CU32/1000</f>
        <v>0</v>
      </c>
      <c r="EF32">
        <f>SUM(BL$13:BL32)*CV32/1000</f>
        <v>0</v>
      </c>
      <c r="EG32">
        <f>SUM(BM$13:BM32)*CW32/1000</f>
        <v>0</v>
      </c>
      <c r="EH32">
        <f>SUM(BN$13:BN32)*CX32/1000</f>
        <v>0</v>
      </c>
      <c r="EI32">
        <f>SUM(BO$13:BO32)*CY32/1000</f>
        <v>0</v>
      </c>
      <c r="EJ32">
        <f>SUM(BP$13:BP32)*CZ32/1000</f>
        <v>0</v>
      </c>
      <c r="EK32">
        <f>SUM(BQ$13:BQ32)*DA32/1000</f>
        <v>0</v>
      </c>
      <c r="EL32">
        <f>SUM(BR$13:BR32)*DB32/1000</f>
        <v>0</v>
      </c>
      <c r="EM32">
        <f>SUM(BS$13:BS32)*DC32/1000</f>
        <v>0</v>
      </c>
      <c r="EN32">
        <f>SUM(BT$13:BT32)*DD32/1000</f>
        <v>0</v>
      </c>
      <c r="EO32">
        <f>SUM(BU$13:BU32)*DE32/1000</f>
        <v>0</v>
      </c>
      <c r="EP32">
        <f>SUM(BV$13:BV32)*DF32/1000</f>
        <v>0</v>
      </c>
      <c r="EQ32">
        <f>SUM(BW$13:BW32)*DG32/1000</f>
        <v>0</v>
      </c>
      <c r="ER32">
        <f>SUM(BX$13:BX32)*DH32/1000</f>
        <v>0</v>
      </c>
      <c r="ES32">
        <f>SUM(BY$13:BY32)*DI32/1000</f>
        <v>0</v>
      </c>
      <c r="ET32">
        <f>SUM(BZ$13:BZ32)*DJ32/1000</f>
        <v>0</v>
      </c>
      <c r="FA32">
        <f t="shared" si="15"/>
        <v>3.9803306666666667</v>
      </c>
      <c r="FC32">
        <f t="shared" si="10"/>
        <v>2045</v>
      </c>
      <c r="FD32" s="69"/>
      <c r="FE32" s="86">
        <f t="shared" si="16"/>
        <v>0</v>
      </c>
    </row>
    <row r="33" spans="1:161">
      <c r="B33" s="193">
        <f t="shared" si="11"/>
        <v>2046</v>
      </c>
      <c r="C33" s="8">
        <f t="shared" si="5"/>
        <v>50.859199999999994</v>
      </c>
      <c r="D33" s="194"/>
      <c r="E33" s="8">
        <f t="shared" ref="E33" ca="1" si="17">SUMIF(INDIRECT("'Table 5'!$J$"&amp;$K$3&amp;":$J$"&amp;$K$4),B33,INDIRECT("'Table 5'!$c$"&amp;$K$3&amp;":$c$"&amp;$K$4))/SUMIF(INDIRECT("'Table 5'!$J$"&amp;$K$3&amp;":$J$"&amp;$K$4),B33,INDIRECT("'Table 5'!$f$"&amp;$K$3&amp;":$f$"&amp;$K$4))</f>
        <v>52.299757425655073</v>
      </c>
      <c r="F33" s="33"/>
      <c r="G33" s="8">
        <f t="shared" ref="G33" ca="1" si="18">SUMIF(INDIRECT("'Table 5'!$J$"&amp;$K$3&amp;":$J$"&amp;$K$4),B33,INDIRECT("'Table 5'!$e$"&amp;$K$3&amp;":$e$"&amp;$K$4))/SUMIF(INDIRECT("'Table 5'!$J$"&amp;$K$3&amp;":$J$"&amp;$K$4),B33,INDIRECT("'Table 5'!$f$"&amp;$K$3&amp;":$f$"&amp;$K$4))</f>
        <v>71.424548563057812</v>
      </c>
      <c r="H33" s="8"/>
      <c r="I33" s="98"/>
      <c r="J33" s="93"/>
      <c r="M33" s="86"/>
      <c r="O33">
        <f t="shared" ref="O33" si="19">B33</f>
        <v>2046</v>
      </c>
      <c r="P33" s="45">
        <v>0</v>
      </c>
      <c r="Q33">
        <v>0</v>
      </c>
      <c r="R33">
        <v>0</v>
      </c>
      <c r="S33">
        <v>0</v>
      </c>
      <c r="Z33"/>
      <c r="AX33" s="45">
        <f t="shared" si="14"/>
        <v>0</v>
      </c>
      <c r="AY33">
        <f t="shared" si="14"/>
        <v>0</v>
      </c>
      <c r="AZ33">
        <f t="shared" si="7"/>
        <v>0</v>
      </c>
      <c r="CG33" s="145">
        <f t="shared" ref="CG33" si="20">O33</f>
        <v>2046</v>
      </c>
      <c r="CH33" s="70">
        <f>INDEX(Table3Compare!$E$6:$E$37,MATCH($CG33,Table3Compare!$A$6:$A$37,0),1)</f>
        <v>171.21113626841827</v>
      </c>
      <c r="CI33" s="70">
        <f>INDEX(Table3Compare!$B$6:$B$37,MATCH($CG33,Table3Compare!$A$6:$A$37,0),1)</f>
        <v>254.48</v>
      </c>
      <c r="CJ33" s="70">
        <f>INDEX(Table3Compare!$C$6:$C$37,MATCH($CG33,Table3Compare!$A$6:$A$37,0),MATCH(CJ$9,Table3Compare!$B$5:$K$5,0))</f>
        <v>272.45999999999998</v>
      </c>
      <c r="CK33" s="70">
        <f>INDEX(Table3Compare!$D$6:$D$37,MATCH($CG33,Table3Compare!$A$6:$A$37,0),MATCH(CK$9,Table3Compare!$B$5:$K$5,0))</f>
        <v>272.45999999999998</v>
      </c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150"/>
      <c r="DG33" s="150"/>
      <c r="DH33" s="70"/>
      <c r="DI33" s="150"/>
      <c r="DJ33" s="150"/>
      <c r="DK33" s="150"/>
      <c r="DL33" s="150"/>
      <c r="DM33" s="150"/>
      <c r="DR33" s="45">
        <f>SUM(AX$13:AX33)*CH33/1000</f>
        <v>0</v>
      </c>
      <c r="DS33">
        <f>SUM(AY$13:AY33)*CI33/1000</f>
        <v>0</v>
      </c>
      <c r="DT33">
        <f>SUM(AZ$13:AZ33)*CJ33/1000</f>
        <v>4.0687359999999995</v>
      </c>
      <c r="DU33">
        <f>SUM(BA$13:BA33)*CK33/1000</f>
        <v>0</v>
      </c>
      <c r="ED33">
        <f>SUM(BJ$13:BJ33)*CT33/1000</f>
        <v>0</v>
      </c>
      <c r="EE33">
        <f>SUM(BK$13:BK33)*CU33/1000</f>
        <v>0</v>
      </c>
      <c r="EF33">
        <f>SUM(BL$13:BL33)*CV33/1000</f>
        <v>0</v>
      </c>
      <c r="EG33">
        <f>SUM(BM$13:BM33)*CW33/1000</f>
        <v>0</v>
      </c>
      <c r="EH33">
        <f>SUM(BN$13:BN33)*CX33/1000</f>
        <v>0</v>
      </c>
      <c r="EI33">
        <f>SUM(BO$13:BO33)*CY33/1000</f>
        <v>0</v>
      </c>
      <c r="EJ33">
        <f>SUM(BP$13:BP33)*CZ33/1000</f>
        <v>0</v>
      </c>
      <c r="EK33">
        <f>SUM(BQ$13:BQ33)*DA33/1000</f>
        <v>0</v>
      </c>
      <c r="EL33">
        <f>SUM(BR$13:BR33)*DB33/1000</f>
        <v>0</v>
      </c>
      <c r="EM33">
        <f>SUM(BS$13:BS33)*DC33/1000</f>
        <v>0</v>
      </c>
      <c r="EN33">
        <f>SUM(BT$13:BT33)*DD33/1000</f>
        <v>0</v>
      </c>
      <c r="EO33">
        <f>SUM(BU$13:BU33)*DE33/1000</f>
        <v>0</v>
      </c>
      <c r="EP33">
        <f>SUM(BV$13:BV33)*DF33/1000</f>
        <v>0</v>
      </c>
      <c r="EQ33">
        <f>SUM(BW$13:BW33)*DG33/1000</f>
        <v>0</v>
      </c>
      <c r="ER33">
        <f>SUM(BX$13:BX33)*DH33/1000</f>
        <v>0</v>
      </c>
      <c r="ES33">
        <f>SUM(BY$13:BY33)*DI33/1000</f>
        <v>0</v>
      </c>
      <c r="ET33">
        <f>SUM(BZ$13:BZ33)*DJ33/1000</f>
        <v>0</v>
      </c>
      <c r="FA33">
        <f t="shared" ref="FA33" si="21">SUM(DR33:EZ33)</f>
        <v>4.0687359999999995</v>
      </c>
      <c r="FC33">
        <f t="shared" ref="FC33" si="22">O33</f>
        <v>2046</v>
      </c>
      <c r="FD33" s="69"/>
      <c r="FE33" s="86">
        <f t="shared" ref="FE33" si="23">$FD$5*FD33/1000</f>
        <v>0</v>
      </c>
    </row>
    <row r="34" spans="1:161">
      <c r="B34" s="193">
        <f t="shared" si="11"/>
        <v>2047</v>
      </c>
      <c r="C34" s="8">
        <f t="shared" si="5"/>
        <v>51.988533333333329</v>
      </c>
      <c r="D34" s="194"/>
      <c r="E34" s="8">
        <f t="shared" ref="E34" ca="1" si="24">SUMIF(INDIRECT("'Table 5'!$J$"&amp;$K$3&amp;":$J$"&amp;$K$4),B34,INDIRECT("'Table 5'!$c$"&amp;$K$3&amp;":$c$"&amp;$K$4))/SUMIF(INDIRECT("'Table 5'!$J$"&amp;$K$3&amp;":$J$"&amp;$K$4),B34,INDIRECT("'Table 5'!$f$"&amp;$K$3&amp;":$f$"&amp;$K$4))</f>
        <v>53.460812040504607</v>
      </c>
      <c r="F34" s="33"/>
      <c r="G34" s="8">
        <f t="shared" ref="G34" ca="1" si="25">SUMIF(INDIRECT("'Table 5'!$J$"&amp;$K$3&amp;":$J$"&amp;$K$4),B34,INDIRECT("'Table 5'!$e$"&amp;$K$3&amp;":$e$"&amp;$K$4))/SUMIF(INDIRECT("'Table 5'!$J$"&amp;$K$3&amp;":$J$"&amp;$K$4),B34,INDIRECT("'Table 5'!$f$"&amp;$K$3&amp;":$f$"&amp;$K$4))</f>
        <v>73.010270969074099</v>
      </c>
      <c r="H34" s="8"/>
      <c r="I34" s="98"/>
      <c r="J34" s="93"/>
      <c r="M34" s="86"/>
      <c r="O34">
        <f t="shared" ref="O34" si="26">B34</f>
        <v>2047</v>
      </c>
      <c r="P34" s="45">
        <v>0</v>
      </c>
      <c r="Q34">
        <v>0</v>
      </c>
      <c r="R34">
        <v>0</v>
      </c>
      <c r="S34">
        <v>0</v>
      </c>
      <c r="Z34"/>
      <c r="AX34" s="45">
        <f t="shared" si="14"/>
        <v>0</v>
      </c>
      <c r="AY34">
        <f t="shared" si="14"/>
        <v>0</v>
      </c>
      <c r="AZ34">
        <f t="shared" si="7"/>
        <v>0</v>
      </c>
      <c r="CG34" s="145">
        <f t="shared" si="9"/>
        <v>2047</v>
      </c>
      <c r="CH34" s="70">
        <f>INDEX(Table3Compare!$E$6:$E$37,MATCH($CG34,Table3Compare!$A$6:$A$37,0),1)</f>
        <v>175.01202349357715</v>
      </c>
      <c r="CI34" s="70">
        <f>INDEX(Table3Compare!$B$6:$B$37,MATCH($CG34,Table3Compare!$A$6:$A$37,0),1)</f>
        <v>260.13</v>
      </c>
      <c r="CJ34" s="70">
        <f>INDEX(Table3Compare!$C$6:$C$37,MATCH($CG34,Table3Compare!$A$6:$A$37,0),MATCH(CJ$9,Table3Compare!$B$5:$K$5,0))</f>
        <v>278.51</v>
      </c>
      <c r="CK34" s="70">
        <f>INDEX(Table3Compare!$D$6:$D$37,MATCH($CG34,Table3Compare!$A$6:$A$37,0),MATCH(CK$9,Table3Compare!$B$5:$K$5,0))</f>
        <v>278.51</v>
      </c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150"/>
      <c r="DG34" s="150"/>
      <c r="DH34" s="70"/>
      <c r="DI34" s="150"/>
      <c r="DJ34" s="150"/>
      <c r="DK34" s="150"/>
      <c r="DL34" s="150"/>
      <c r="DM34" s="150"/>
      <c r="DR34" s="45">
        <f>SUM(AX$13:AX34)*CH34/1000</f>
        <v>0</v>
      </c>
      <c r="DS34">
        <f>SUM(AY$13:AY34)*CI34/1000</f>
        <v>0</v>
      </c>
      <c r="DT34">
        <f>SUM(AZ$13:AZ34)*CJ34/1000</f>
        <v>4.1590826666666665</v>
      </c>
      <c r="DU34">
        <f>SUM(BA$13:BA34)*CK34/1000</f>
        <v>0</v>
      </c>
      <c r="ED34">
        <f>SUM(BJ$13:BJ34)*CT34/1000</f>
        <v>0</v>
      </c>
      <c r="EE34">
        <f>SUM(BK$13:BK34)*CU34/1000</f>
        <v>0</v>
      </c>
      <c r="EF34">
        <f>SUM(BL$13:BL34)*CV34/1000</f>
        <v>0</v>
      </c>
      <c r="EG34">
        <f>SUM(BM$13:BM34)*CW34/1000</f>
        <v>0</v>
      </c>
      <c r="EH34">
        <f>SUM(BN$13:BN34)*CX34/1000</f>
        <v>0</v>
      </c>
      <c r="EI34">
        <f>SUM(BO$13:BO34)*CY34/1000</f>
        <v>0</v>
      </c>
      <c r="EJ34">
        <f>SUM(BP$13:BP34)*CZ34/1000</f>
        <v>0</v>
      </c>
      <c r="EK34">
        <f>SUM(BQ$13:BQ34)*DA34/1000</f>
        <v>0</v>
      </c>
      <c r="EL34">
        <f>SUM(BR$13:BR34)*DB34/1000</f>
        <v>0</v>
      </c>
      <c r="EM34">
        <f>SUM(BS$13:BS34)*DC34/1000</f>
        <v>0</v>
      </c>
      <c r="EN34">
        <f>SUM(BT$13:BT34)*DD34/1000</f>
        <v>0</v>
      </c>
      <c r="EO34">
        <f>SUM(BU$13:BU34)*DE34/1000</f>
        <v>0</v>
      </c>
      <c r="EP34">
        <f>SUM(BV$13:BV34)*DF34/1000</f>
        <v>0</v>
      </c>
      <c r="EQ34">
        <f>SUM(BW$13:BW34)*DG34/1000</f>
        <v>0</v>
      </c>
      <c r="ER34">
        <f>SUM(BX$13:BX34)*DH34/1000</f>
        <v>0</v>
      </c>
      <c r="ES34">
        <f>SUM(BY$13:BY34)*DI34/1000</f>
        <v>0</v>
      </c>
      <c r="ET34">
        <f>SUM(BZ$13:BZ34)*DJ34/1000</f>
        <v>0</v>
      </c>
      <c r="FA34">
        <f t="shared" si="15"/>
        <v>4.1590826666666665</v>
      </c>
      <c r="FC34">
        <f t="shared" si="10"/>
        <v>2047</v>
      </c>
      <c r="FD34" s="69"/>
      <c r="FE34" s="86"/>
    </row>
    <row r="35" spans="1:161">
      <c r="B35" s="193">
        <f t="shared" si="11"/>
        <v>2048</v>
      </c>
      <c r="C35" s="8">
        <f t="shared" si="5"/>
        <v>53.142133333333319</v>
      </c>
      <c r="D35" s="194"/>
      <c r="E35" s="8">
        <f t="shared" ref="E35:E38" ca="1" si="27">SUMIF(INDIRECT("'Table 5'!$J$"&amp;$K$3&amp;":$J$"&amp;$K$4),B35,INDIRECT("'Table 5'!$c$"&amp;$K$3&amp;":$c$"&amp;$K$4))/SUMIF(INDIRECT("'Table 5'!$J$"&amp;$K$3&amp;":$J$"&amp;$K$4),B35,INDIRECT("'Table 5'!$f$"&amp;$K$3&amp;":$f$"&amp;$K$4))</f>
        <v>54.681297655568528</v>
      </c>
      <c r="F35" s="33"/>
      <c r="G35" s="8">
        <f t="shared" ref="G35:G38" ca="1" si="28">SUMIF(INDIRECT("'Table 5'!$J$"&amp;$K$3&amp;":$J$"&amp;$K$4),B35,INDIRECT("'Table 5'!$e$"&amp;$K$3&amp;":$e$"&amp;$K$4))/SUMIF(INDIRECT("'Table 5'!$J$"&amp;$K$3&amp;":$J$"&amp;$K$4),B35,INDIRECT("'Table 5'!$f$"&amp;$K$3&amp;":$f$"&amp;$K$4))</f>
        <v>74.60374644621298</v>
      </c>
      <c r="H35" s="8"/>
      <c r="I35" s="98"/>
      <c r="J35" s="93"/>
      <c r="M35" s="86"/>
      <c r="O35">
        <f t="shared" ref="O35:O38" si="29">B35</f>
        <v>2048</v>
      </c>
      <c r="P35" s="45">
        <v>0</v>
      </c>
      <c r="Q35">
        <v>0</v>
      </c>
      <c r="R35">
        <v>0</v>
      </c>
      <c r="S35">
        <v>0</v>
      </c>
      <c r="Z35"/>
      <c r="AX35" s="45">
        <f t="shared" si="14"/>
        <v>0</v>
      </c>
      <c r="AY35">
        <f t="shared" si="14"/>
        <v>0</v>
      </c>
      <c r="AZ35">
        <f t="shared" si="7"/>
        <v>0</v>
      </c>
      <c r="BA35">
        <f t="shared" si="8"/>
        <v>0</v>
      </c>
      <c r="BB35" t="e">
        <f t="shared" ref="BB35:BB38" si="30">T35/T$5</f>
        <v>#DIV/0!</v>
      </c>
      <c r="BC35" t="e">
        <f t="shared" ref="BC35:BC38" si="31">U35/U$5</f>
        <v>#DIV/0!</v>
      </c>
      <c r="BD35" t="e">
        <f t="shared" ref="BD35:BD38" si="32">V35/V$5</f>
        <v>#DIV/0!</v>
      </c>
      <c r="BE35" t="e">
        <f t="shared" ref="BE35:BE38" si="33">W35/W$5</f>
        <v>#DIV/0!</v>
      </c>
      <c r="BF35" t="e">
        <f t="shared" ref="BF35:BF38" si="34">X35/X$5</f>
        <v>#DIV/0!</v>
      </c>
      <c r="BG35" t="e">
        <f t="shared" ref="BG35:BG38" si="35">Y35/Y$5</f>
        <v>#DIV/0!</v>
      </c>
      <c r="CG35" s="145">
        <f t="shared" ref="CG35:CG38" si="36">O35</f>
        <v>2048</v>
      </c>
      <c r="CH35" s="70">
        <f>INDEX(Table3Compare!$E$6:$E$37,MATCH($CG35,Table3Compare!$A$6:$A$37,0),1)</f>
        <v>178.89729041513456</v>
      </c>
      <c r="CI35" s="70">
        <f>INDEX(Table3Compare!$B$6:$B$37,MATCH($CG35,Table3Compare!$A$6:$A$37,0),1)</f>
        <v>265.91000000000003</v>
      </c>
      <c r="CJ35" s="70">
        <f>INDEX(Table3Compare!$C$6:$C$37,MATCH($CG35,Table3Compare!$A$6:$A$37,0),MATCH(CJ$9,Table3Compare!$B$5:$K$5,0))</f>
        <v>284.69</v>
      </c>
      <c r="CK35" s="70">
        <f>INDEX(Table3Compare!$D$6:$D$37,MATCH($CG35,Table3Compare!$A$6:$A$37,0),MATCH(CK$9,Table3Compare!$B$5:$K$5,0))</f>
        <v>284.7</v>
      </c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150"/>
      <c r="DG35" s="150"/>
      <c r="DH35" s="70"/>
      <c r="DI35" s="150"/>
      <c r="DJ35" s="150"/>
      <c r="DK35" s="150"/>
      <c r="DL35" s="150"/>
      <c r="DM35" s="150"/>
      <c r="DR35" s="45">
        <f>SUM(AX$13:AX35)*CH35/1000</f>
        <v>0</v>
      </c>
      <c r="DS35">
        <f>SUM(AY$13:AY35)*CI35/1000</f>
        <v>0</v>
      </c>
      <c r="DT35">
        <f>SUM(AZ$13:AZ35)*CJ35/1000</f>
        <v>4.2513706666666655</v>
      </c>
      <c r="DU35">
        <f>SUM(BA$13:BA35)*CK35/1000</f>
        <v>0</v>
      </c>
      <c r="ED35">
        <f>SUM(BJ$13:BJ35)*CT35/1000</f>
        <v>0</v>
      </c>
      <c r="EE35">
        <f>SUM(BK$13:BK35)*CU35/1000</f>
        <v>0</v>
      </c>
      <c r="EF35">
        <f>SUM(BL$13:BL35)*CV35/1000</f>
        <v>0</v>
      </c>
      <c r="EG35">
        <f>SUM(BM$13:BM35)*CW35/1000</f>
        <v>0</v>
      </c>
      <c r="EH35">
        <f>SUM(BN$13:BN35)*CX35/1000</f>
        <v>0</v>
      </c>
      <c r="EI35">
        <f>SUM(BO$13:BO35)*CY35/1000</f>
        <v>0</v>
      </c>
      <c r="EJ35">
        <f>SUM(BP$13:BP35)*CZ35/1000</f>
        <v>0</v>
      </c>
      <c r="EK35">
        <f>SUM(BQ$13:BQ35)*DA35/1000</f>
        <v>0</v>
      </c>
      <c r="EL35">
        <f>SUM(BR$13:BR35)*DB35/1000</f>
        <v>0</v>
      </c>
      <c r="EM35">
        <f>SUM(BS$13:BS35)*DC35/1000</f>
        <v>0</v>
      </c>
      <c r="EN35">
        <f>SUM(BT$13:BT35)*DD35/1000</f>
        <v>0</v>
      </c>
      <c r="EO35">
        <f>SUM(BU$13:BU35)*DE35/1000</f>
        <v>0</v>
      </c>
      <c r="EP35">
        <f>SUM(BV$13:BV35)*DF35/1000</f>
        <v>0</v>
      </c>
      <c r="EQ35">
        <f>SUM(BW$13:BW35)*DG35/1000</f>
        <v>0</v>
      </c>
      <c r="ER35">
        <f>SUM(BX$13:BX35)*DH35/1000</f>
        <v>0</v>
      </c>
      <c r="ES35">
        <f>SUM(BY$13:BY35)*DI35/1000</f>
        <v>0</v>
      </c>
      <c r="ET35">
        <f>SUM(BZ$13:BZ35)*DJ35/1000</f>
        <v>0</v>
      </c>
      <c r="FA35">
        <f t="shared" ref="FA35:FA38" si="37">SUM(DR35:EZ35)</f>
        <v>4.2513706666666655</v>
      </c>
      <c r="FC35">
        <f t="shared" ref="FC35:FC38" si="38">O35</f>
        <v>2048</v>
      </c>
      <c r="FD35" s="69"/>
      <c r="FE35" s="86"/>
    </row>
    <row r="36" spans="1:161">
      <c r="B36" s="193">
        <f t="shared" si="11"/>
        <v>2049</v>
      </c>
      <c r="C36" s="8">
        <f t="shared" si="5"/>
        <v>54.321866666666665</v>
      </c>
      <c r="D36" s="194"/>
      <c r="E36" s="8">
        <f t="shared" ca="1" si="27"/>
        <v>55.860819721709028</v>
      </c>
      <c r="F36" s="33"/>
      <c r="G36" s="8">
        <f t="shared" ca="1" si="28"/>
        <v>76.287691441945313</v>
      </c>
      <c r="H36" s="8"/>
      <c r="I36" s="98"/>
      <c r="J36" s="93"/>
      <c r="M36" s="86"/>
      <c r="O36">
        <f t="shared" si="29"/>
        <v>2049</v>
      </c>
      <c r="P36" s="45">
        <v>0</v>
      </c>
      <c r="Q36">
        <v>0</v>
      </c>
      <c r="R36">
        <v>0</v>
      </c>
      <c r="S36">
        <v>0</v>
      </c>
      <c r="Z36"/>
      <c r="AX36" s="45">
        <f t="shared" si="14"/>
        <v>0</v>
      </c>
      <c r="AY36">
        <f t="shared" si="14"/>
        <v>0</v>
      </c>
      <c r="AZ36">
        <f t="shared" si="7"/>
        <v>0</v>
      </c>
      <c r="BA36">
        <f t="shared" si="8"/>
        <v>0</v>
      </c>
      <c r="BB36" t="e">
        <f t="shared" si="30"/>
        <v>#DIV/0!</v>
      </c>
      <c r="BC36" t="e">
        <f t="shared" si="31"/>
        <v>#DIV/0!</v>
      </c>
      <c r="BD36" t="e">
        <f t="shared" si="32"/>
        <v>#DIV/0!</v>
      </c>
      <c r="BE36" t="e">
        <f t="shared" si="33"/>
        <v>#DIV/0!</v>
      </c>
      <c r="BF36" t="e">
        <f t="shared" si="34"/>
        <v>#DIV/0!</v>
      </c>
      <c r="BG36" t="e">
        <f t="shared" si="35"/>
        <v>#DIV/0!</v>
      </c>
      <c r="CG36" s="145">
        <f t="shared" si="36"/>
        <v>2049</v>
      </c>
      <c r="CH36" s="70">
        <f>INDEX(Table3Compare!$E$6:$E$37,MATCH($CG36,Table3Compare!$A$6:$A$37,0),1)</f>
        <v>182.86881026235056</v>
      </c>
      <c r="CI36" s="70">
        <f>INDEX(Table3Compare!$B$6:$B$37,MATCH($CG36,Table3Compare!$A$6:$A$37,0),1)</f>
        <v>271.81</v>
      </c>
      <c r="CJ36" s="70">
        <f>INDEX(Table3Compare!$C$6:$C$37,MATCH($CG36,Table3Compare!$A$6:$A$37,0),MATCH(CJ$9,Table3Compare!$B$5:$K$5,0))</f>
        <v>291.01</v>
      </c>
      <c r="CK36" s="70">
        <f>INDEX(Table3Compare!$D$6:$D$37,MATCH($CG36,Table3Compare!$A$6:$A$37,0),MATCH(CK$9,Table3Compare!$B$5:$K$5,0))</f>
        <v>291.02</v>
      </c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150"/>
      <c r="DG36" s="150"/>
      <c r="DH36" s="70"/>
      <c r="DI36" s="150"/>
      <c r="DJ36" s="150"/>
      <c r="DK36" s="150"/>
      <c r="DL36" s="150"/>
      <c r="DM36" s="150"/>
      <c r="DR36" s="45">
        <f>SUM(AX$13:AX36)*CH36/1000</f>
        <v>0</v>
      </c>
      <c r="DS36">
        <f>SUM(AY$13:AY36)*CI36/1000</f>
        <v>0</v>
      </c>
      <c r="DT36">
        <f>SUM(AZ$13:AZ36)*CJ36/1000</f>
        <v>4.345749333333333</v>
      </c>
      <c r="DU36">
        <f>SUM(BA$13:BA36)*CK36/1000</f>
        <v>0</v>
      </c>
      <c r="ED36">
        <f>SUM(BJ$13:BJ36)*CT36/1000</f>
        <v>0</v>
      </c>
      <c r="EE36">
        <f>SUM(BK$13:BK36)*CU36/1000</f>
        <v>0</v>
      </c>
      <c r="EF36">
        <f>SUM(BL$13:BL36)*CV36/1000</f>
        <v>0</v>
      </c>
      <c r="EG36">
        <f>SUM(BM$13:BM36)*CW36/1000</f>
        <v>0</v>
      </c>
      <c r="EH36">
        <f>SUM(BN$13:BN36)*CX36/1000</f>
        <v>0</v>
      </c>
      <c r="EI36">
        <f>SUM(BO$13:BO36)*CY36/1000</f>
        <v>0</v>
      </c>
      <c r="EJ36">
        <f>SUM(BP$13:BP36)*CZ36/1000</f>
        <v>0</v>
      </c>
      <c r="EK36">
        <f>SUM(BQ$13:BQ36)*DA36/1000</f>
        <v>0</v>
      </c>
      <c r="EL36">
        <f>SUM(BR$13:BR36)*DB36/1000</f>
        <v>0</v>
      </c>
      <c r="EM36">
        <f>SUM(BS$13:BS36)*DC36/1000</f>
        <v>0</v>
      </c>
      <c r="EN36">
        <f>SUM(BT$13:BT36)*DD36/1000</f>
        <v>0</v>
      </c>
      <c r="EO36">
        <f>SUM(BU$13:BU36)*DE36/1000</f>
        <v>0</v>
      </c>
      <c r="EP36">
        <f>SUM(BV$13:BV36)*DF36/1000</f>
        <v>0</v>
      </c>
      <c r="EQ36">
        <f>SUM(BW$13:BW36)*DG36/1000</f>
        <v>0</v>
      </c>
      <c r="ER36">
        <f>SUM(BX$13:BX36)*DH36/1000</f>
        <v>0</v>
      </c>
      <c r="ES36">
        <f>SUM(BY$13:BY36)*DI36/1000</f>
        <v>0</v>
      </c>
      <c r="ET36">
        <f>SUM(BZ$13:BZ36)*DJ36/1000</f>
        <v>0</v>
      </c>
      <c r="FA36">
        <f t="shared" si="37"/>
        <v>4.345749333333333</v>
      </c>
      <c r="FC36">
        <f t="shared" si="38"/>
        <v>2049</v>
      </c>
      <c r="FD36" s="69"/>
      <c r="FE36" s="86"/>
    </row>
    <row r="37" spans="1:161">
      <c r="B37" s="193">
        <f t="shared" si="11"/>
        <v>2050</v>
      </c>
      <c r="C37" s="8">
        <f t="shared" si="5"/>
        <v>55.52773333333333</v>
      </c>
      <c r="D37" s="194"/>
      <c r="E37" s="8">
        <f t="shared" ca="1" si="27"/>
        <v>57.100929919530977</v>
      </c>
      <c r="F37" s="33"/>
      <c r="G37" s="8">
        <f t="shared" ca="1" si="28"/>
        <v>77.981248570500668</v>
      </c>
      <c r="H37" s="8"/>
      <c r="I37" s="98"/>
      <c r="J37" s="93"/>
      <c r="M37" s="86"/>
      <c r="O37">
        <f t="shared" si="29"/>
        <v>2050</v>
      </c>
      <c r="P37" s="45">
        <v>0</v>
      </c>
      <c r="Q37">
        <v>0</v>
      </c>
      <c r="R37">
        <v>0</v>
      </c>
      <c r="S37">
        <v>0</v>
      </c>
      <c r="Z37"/>
      <c r="AX37" s="45">
        <f t="shared" si="14"/>
        <v>0</v>
      </c>
      <c r="AY37">
        <f t="shared" si="14"/>
        <v>0</v>
      </c>
      <c r="AZ37">
        <f t="shared" si="7"/>
        <v>0</v>
      </c>
      <c r="BA37">
        <f t="shared" si="8"/>
        <v>0</v>
      </c>
      <c r="BB37" t="e">
        <f t="shared" si="30"/>
        <v>#DIV/0!</v>
      </c>
      <c r="BC37" t="e">
        <f t="shared" si="31"/>
        <v>#DIV/0!</v>
      </c>
      <c r="BD37" t="e">
        <f t="shared" si="32"/>
        <v>#DIV/0!</v>
      </c>
      <c r="BE37" t="e">
        <f t="shared" si="33"/>
        <v>#DIV/0!</v>
      </c>
      <c r="BF37" t="e">
        <f t="shared" si="34"/>
        <v>#DIV/0!</v>
      </c>
      <c r="BG37" t="e">
        <f t="shared" si="35"/>
        <v>#DIV/0!</v>
      </c>
      <c r="CG37" s="145">
        <f t="shared" si="36"/>
        <v>2050</v>
      </c>
      <c r="CH37" s="70">
        <f>INDEX(Table3Compare!$E$6:$E$37,MATCH($CG37,Table3Compare!$A$6:$A$37,0),1)</f>
        <v>186.92849785017472</v>
      </c>
      <c r="CI37" s="70">
        <f>INDEX(Table3Compare!$B$6:$B$37,MATCH($CG37,Table3Compare!$A$6:$A$37,0),1)</f>
        <v>277.83999999999997</v>
      </c>
      <c r="CJ37" s="70">
        <f>INDEX(Table3Compare!$C$6:$C$37,MATCH($CG37,Table3Compare!$A$6:$A$37,0),MATCH(CJ$9,Table3Compare!$B$5:$K$5,0))</f>
        <v>297.47000000000003</v>
      </c>
      <c r="CK37" s="70">
        <f>INDEX(Table3Compare!$D$6:$D$37,MATCH($CG37,Table3Compare!$A$6:$A$37,0),MATCH(CK$9,Table3Compare!$B$5:$K$5,0))</f>
        <v>297.48</v>
      </c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150"/>
      <c r="DG37" s="150"/>
      <c r="DH37" s="70"/>
      <c r="DI37" s="150"/>
      <c r="DJ37" s="150"/>
      <c r="DK37" s="150"/>
      <c r="DL37" s="150"/>
      <c r="DM37" s="150"/>
      <c r="DR37" s="45">
        <f>SUM(AX$13:AX37)*CH37/1000</f>
        <v>0</v>
      </c>
      <c r="DS37">
        <f>SUM(AY$13:AY37)*CI37/1000</f>
        <v>0</v>
      </c>
      <c r="DT37">
        <f>SUM(AZ$13:AZ37)*CJ37/1000</f>
        <v>4.4422186666666663</v>
      </c>
      <c r="DU37">
        <f>SUM(BA$13:BA37)*CK37/1000</f>
        <v>0</v>
      </c>
      <c r="ED37">
        <f>SUM(BJ$13:BJ37)*CT37/1000</f>
        <v>0</v>
      </c>
      <c r="EE37">
        <f>SUM(BK$13:BK37)*CU37/1000</f>
        <v>0</v>
      </c>
      <c r="EF37">
        <f>SUM(BL$13:BL37)*CV37/1000</f>
        <v>0</v>
      </c>
      <c r="EG37">
        <f>SUM(BM$13:BM37)*CW37/1000</f>
        <v>0</v>
      </c>
      <c r="EH37">
        <f>SUM(BN$13:BN37)*CX37/1000</f>
        <v>0</v>
      </c>
      <c r="EI37">
        <f>SUM(BO$13:BO37)*CY37/1000</f>
        <v>0</v>
      </c>
      <c r="EJ37">
        <f>SUM(BP$13:BP37)*CZ37/1000</f>
        <v>0</v>
      </c>
      <c r="EK37">
        <f>SUM(BQ$13:BQ37)*DA37/1000</f>
        <v>0</v>
      </c>
      <c r="EL37">
        <f>SUM(BR$13:BR37)*DB37/1000</f>
        <v>0</v>
      </c>
      <c r="EM37">
        <f>SUM(BS$13:BS37)*DC37/1000</f>
        <v>0</v>
      </c>
      <c r="EN37">
        <f>SUM(BT$13:BT37)*DD37/1000</f>
        <v>0</v>
      </c>
      <c r="EO37">
        <f>SUM(BU$13:BU37)*DE37/1000</f>
        <v>0</v>
      </c>
      <c r="EP37">
        <f>SUM(BV$13:BV37)*DF37/1000</f>
        <v>0</v>
      </c>
      <c r="EQ37">
        <f>SUM(BW$13:BW37)*DG37/1000</f>
        <v>0</v>
      </c>
      <c r="ER37">
        <f>SUM(BX$13:BX37)*DH37/1000</f>
        <v>0</v>
      </c>
      <c r="ES37">
        <f>SUM(BY$13:BY37)*DI37/1000</f>
        <v>0</v>
      </c>
      <c r="ET37">
        <f>SUM(BZ$13:BZ37)*DJ37/1000</f>
        <v>0</v>
      </c>
      <c r="FA37">
        <f t="shared" si="37"/>
        <v>4.4422186666666663</v>
      </c>
      <c r="FC37">
        <f t="shared" si="38"/>
        <v>2050</v>
      </c>
      <c r="FD37" s="69"/>
      <c r="FE37" s="86"/>
    </row>
    <row r="38" spans="1:161">
      <c r="B38" s="193">
        <f t="shared" si="11"/>
        <v>2051</v>
      </c>
      <c r="C38" s="8">
        <f t="shared" si="5"/>
        <v>56.761599999999987</v>
      </c>
      <c r="D38" s="194"/>
      <c r="E38" s="8">
        <f t="shared" ca="1" si="27"/>
        <v>58.368570563744562</v>
      </c>
      <c r="F38" s="33"/>
      <c r="G38" s="8">
        <f t="shared" ca="1" si="28"/>
        <v>79.712865098947645</v>
      </c>
      <c r="H38" s="8"/>
      <c r="I38" s="98"/>
      <c r="J38" s="93"/>
      <c r="M38" s="86"/>
      <c r="O38">
        <f t="shared" si="29"/>
        <v>2051</v>
      </c>
      <c r="P38" s="45">
        <v>0</v>
      </c>
      <c r="Q38">
        <v>0</v>
      </c>
      <c r="R38">
        <v>0</v>
      </c>
      <c r="S38">
        <v>0</v>
      </c>
      <c r="Z38"/>
      <c r="AX38" s="45">
        <f t="shared" si="14"/>
        <v>0</v>
      </c>
      <c r="AY38">
        <f t="shared" si="14"/>
        <v>0</v>
      </c>
      <c r="AZ38">
        <f t="shared" si="7"/>
        <v>0</v>
      </c>
      <c r="BA38">
        <f t="shared" si="8"/>
        <v>0</v>
      </c>
      <c r="BB38" t="e">
        <f t="shared" si="30"/>
        <v>#DIV/0!</v>
      </c>
      <c r="BC38" t="e">
        <f t="shared" si="31"/>
        <v>#DIV/0!</v>
      </c>
      <c r="BD38" t="e">
        <f t="shared" si="32"/>
        <v>#DIV/0!</v>
      </c>
      <c r="BE38" t="e">
        <f t="shared" si="33"/>
        <v>#DIV/0!</v>
      </c>
      <c r="BF38" t="e">
        <f t="shared" si="34"/>
        <v>#DIV/0!</v>
      </c>
      <c r="BG38" t="e">
        <f t="shared" si="35"/>
        <v>#DIV/0!</v>
      </c>
      <c r="CG38" s="145">
        <f t="shared" si="36"/>
        <v>2051</v>
      </c>
      <c r="CH38" s="70">
        <f>INDEX(Table3Compare!$E$6:$E$37,MATCH($CG38,Table3Compare!$A$6:$A$37,0),1)</f>
        <v>191.07831050244863</v>
      </c>
      <c r="CI38" s="70">
        <f>INDEX(Table3Compare!$B$6:$B$37,MATCH($CG38,Table3Compare!$A$6:$A$37,0),1)</f>
        <v>284.01</v>
      </c>
      <c r="CJ38" s="70">
        <f>INDEX(Table3Compare!$C$6:$C$37,MATCH($CG38,Table3Compare!$A$6:$A$37,0),MATCH(CJ$9,Table3Compare!$B$5:$K$5,0))</f>
        <v>304.08</v>
      </c>
      <c r="CK38" s="70">
        <f>INDEX(Table3Compare!$D$6:$D$37,MATCH($CG38,Table3Compare!$A$6:$A$37,0),MATCH(CK$9,Table3Compare!$B$5:$K$5,0))</f>
        <v>304.08</v>
      </c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150"/>
      <c r="DG38" s="150"/>
      <c r="DH38" s="70"/>
      <c r="DI38" s="150"/>
      <c r="DJ38" s="150"/>
      <c r="DK38" s="150"/>
      <c r="DL38" s="150"/>
      <c r="DM38" s="150"/>
      <c r="DR38" s="45">
        <f>SUM(AX$13:AX38)*CH38/1000</f>
        <v>0</v>
      </c>
      <c r="DS38">
        <f>SUM(AY$13:AY38)*CI38/1000</f>
        <v>0</v>
      </c>
      <c r="DT38">
        <f>SUM(AZ$13:AZ38)*CJ38/1000</f>
        <v>4.5409279999999992</v>
      </c>
      <c r="DU38">
        <f>SUM(BA$13:BA38)*CK38/1000</f>
        <v>0</v>
      </c>
      <c r="ED38">
        <f>SUM(BJ$13:BJ38)*CT38/1000</f>
        <v>0</v>
      </c>
      <c r="EE38">
        <f>SUM(BK$13:BK38)*CU38/1000</f>
        <v>0</v>
      </c>
      <c r="EF38">
        <f>SUM(BL$13:BL38)*CV38/1000</f>
        <v>0</v>
      </c>
      <c r="EG38">
        <f>SUM(BM$13:BM38)*CW38/1000</f>
        <v>0</v>
      </c>
      <c r="EH38">
        <f>SUM(BN$13:BN38)*CX38/1000</f>
        <v>0</v>
      </c>
      <c r="EI38">
        <f>SUM(BO$13:BO38)*CY38/1000</f>
        <v>0</v>
      </c>
      <c r="EJ38">
        <f>SUM(BP$13:BP38)*CZ38/1000</f>
        <v>0</v>
      </c>
      <c r="EK38">
        <f>SUM(BQ$13:BQ38)*DA38/1000</f>
        <v>0</v>
      </c>
      <c r="EL38">
        <f>SUM(BR$13:BR38)*DB38/1000</f>
        <v>0</v>
      </c>
      <c r="EM38">
        <f>SUM(BS$13:BS38)*DC38/1000</f>
        <v>0</v>
      </c>
      <c r="EN38">
        <f>SUM(BT$13:BT38)*DD38/1000</f>
        <v>0</v>
      </c>
      <c r="EO38">
        <f>SUM(BU$13:BU38)*DE38/1000</f>
        <v>0</v>
      </c>
      <c r="EP38">
        <f>SUM(BV$13:BV38)*DF38/1000</f>
        <v>0</v>
      </c>
      <c r="EQ38">
        <f>SUM(BW$13:BW38)*DG38/1000</f>
        <v>0</v>
      </c>
      <c r="ER38">
        <f>SUM(BX$13:BX38)*DH38/1000</f>
        <v>0</v>
      </c>
      <c r="ES38">
        <f>SUM(BY$13:BY38)*DI38/1000</f>
        <v>0</v>
      </c>
      <c r="ET38">
        <f>SUM(BZ$13:BZ38)*DJ38/1000</f>
        <v>0</v>
      </c>
      <c r="FA38">
        <f t="shared" si="37"/>
        <v>4.5409279999999992</v>
      </c>
      <c r="FC38">
        <f t="shared" si="38"/>
        <v>2051</v>
      </c>
      <c r="FD38" s="69"/>
      <c r="FE38" s="86"/>
    </row>
    <row r="39" spans="1:161">
      <c r="B39" s="193"/>
      <c r="C39" s="8"/>
      <c r="D39" s="194"/>
      <c r="E39" s="8"/>
      <c r="F39" s="33"/>
      <c r="G39" s="8"/>
      <c r="H39" s="33"/>
      <c r="I39" s="8"/>
      <c r="J39" s="86"/>
      <c r="M39" s="86"/>
      <c r="Z39"/>
      <c r="AX39" s="45"/>
      <c r="CG39" s="145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150"/>
      <c r="DG39" s="150"/>
      <c r="DH39" s="70"/>
      <c r="DI39" s="150"/>
      <c r="DJ39" s="150"/>
      <c r="DK39" s="150"/>
      <c r="DL39" s="150"/>
      <c r="DM39" s="150"/>
      <c r="FD39" s="69"/>
      <c r="FE39" s="86"/>
    </row>
    <row r="40" spans="1:161">
      <c r="B40" s="193"/>
      <c r="C40" s="8"/>
      <c r="D40" s="194"/>
      <c r="E40" s="8"/>
      <c r="F40" s="33"/>
      <c r="G40" s="8"/>
      <c r="H40" s="33"/>
      <c r="I40" s="8"/>
      <c r="J40" s="86"/>
      <c r="M40" s="86"/>
      <c r="Z40"/>
      <c r="AX40" s="45"/>
      <c r="CG40" s="145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150"/>
      <c r="DG40" s="150"/>
      <c r="DH40" s="70"/>
      <c r="DI40" s="150"/>
      <c r="DJ40" s="150"/>
      <c r="DK40" s="150"/>
      <c r="DL40" s="150"/>
      <c r="DM40" s="150"/>
      <c r="FD40" s="69"/>
      <c r="FE40" s="86"/>
    </row>
    <row r="41" spans="1:161">
      <c r="B41" s="193"/>
      <c r="C41" s="8"/>
      <c r="D41" s="194"/>
      <c r="E41" s="8"/>
      <c r="F41" s="33"/>
      <c r="G41" s="8"/>
      <c r="H41" s="33"/>
      <c r="I41" s="8"/>
      <c r="J41" s="86"/>
      <c r="M41" s="86"/>
      <c r="Z41"/>
      <c r="AX41" s="45"/>
      <c r="CG41" s="145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150"/>
      <c r="DG41" s="150"/>
      <c r="DH41" s="70"/>
      <c r="DI41" s="150"/>
      <c r="DJ41" s="150"/>
      <c r="DK41" s="150"/>
      <c r="DL41" s="150"/>
      <c r="DM41" s="150"/>
      <c r="FD41" s="69"/>
      <c r="FE41" s="86"/>
    </row>
    <row r="42" spans="1:161">
      <c r="B42" s="193"/>
      <c r="C42" s="8"/>
      <c r="D42" s="194"/>
      <c r="E42" s="8"/>
      <c r="F42" s="33"/>
      <c r="G42" s="8"/>
      <c r="H42" s="33"/>
      <c r="I42" s="8"/>
      <c r="J42" s="86"/>
      <c r="M42" s="86"/>
      <c r="Z42"/>
      <c r="AX42" s="45"/>
      <c r="CG42" s="145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150"/>
      <c r="DG42" s="150"/>
      <c r="DH42" s="70"/>
      <c r="DI42" s="150"/>
      <c r="DJ42" s="150"/>
      <c r="DK42" s="150"/>
      <c r="DL42" s="150"/>
      <c r="DM42" s="150"/>
      <c r="FD42" s="69"/>
      <c r="FE42" s="86"/>
    </row>
    <row r="43" spans="1:161">
      <c r="B43" s="193"/>
      <c r="C43" s="8"/>
      <c r="D43" s="194"/>
      <c r="E43" s="8"/>
      <c r="F43" s="33"/>
      <c r="G43" s="8"/>
      <c r="H43" s="33"/>
      <c r="J43" s="86"/>
      <c r="K43" s="86"/>
      <c r="Z43"/>
      <c r="AX43" s="45"/>
      <c r="CG43" s="145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FD43" s="45"/>
      <c r="FE43" s="86"/>
    </row>
    <row r="44" spans="1:161">
      <c r="B44" s="193"/>
      <c r="C44" s="8"/>
      <c r="D44" s="194"/>
      <c r="E44" s="8"/>
      <c r="F44" s="33"/>
      <c r="G44" s="8"/>
      <c r="H44" s="33"/>
      <c r="J44" s="86"/>
      <c r="K44" s="86"/>
      <c r="Z44"/>
      <c r="AX44" s="45"/>
      <c r="CG44" s="145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FD44" s="45"/>
      <c r="FE44" s="86"/>
    </row>
    <row r="45" spans="1:161">
      <c r="B45" s="193"/>
      <c r="C45" s="8"/>
      <c r="D45" s="194"/>
      <c r="E45" s="8"/>
      <c r="F45" s="33"/>
      <c r="G45" s="8"/>
      <c r="H45" s="33"/>
      <c r="J45" s="86"/>
      <c r="K45" s="86"/>
      <c r="Z45"/>
      <c r="AX45" s="45"/>
      <c r="CG45" s="145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FD45" s="45"/>
      <c r="FE45" s="86"/>
    </row>
    <row r="46" spans="1:161">
      <c r="B46" s="193"/>
      <c r="C46" s="8"/>
      <c r="D46" s="194"/>
      <c r="E46" s="8"/>
      <c r="F46" s="33"/>
      <c r="G46" s="8"/>
      <c r="H46" s="8"/>
      <c r="I46" s="8"/>
      <c r="J46" s="8"/>
      <c r="K46" s="8"/>
      <c r="Z46"/>
      <c r="AX46" s="45"/>
      <c r="CG46" s="145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FD46" s="45"/>
      <c r="FE46" s="86"/>
    </row>
    <row r="47" spans="1:161" ht="12" customHeight="1">
      <c r="B47" s="193"/>
      <c r="C47" s="8"/>
      <c r="D47" s="194"/>
      <c r="E47" s="8"/>
      <c r="F47" s="8"/>
      <c r="G47" s="8"/>
      <c r="H47" s="8"/>
      <c r="I47" s="8"/>
      <c r="J47" s="8"/>
      <c r="K47" s="8"/>
      <c r="N47" t="s">
        <v>74</v>
      </c>
      <c r="P47">
        <v>2031</v>
      </c>
      <c r="Q47">
        <v>2035</v>
      </c>
      <c r="R47">
        <v>2036</v>
      </c>
      <c r="S47">
        <v>2038</v>
      </c>
      <c r="Z47"/>
    </row>
    <row r="48" spans="1:161">
      <c r="A48" s="406"/>
      <c r="B48" s="406"/>
      <c r="D48" s="8"/>
      <c r="F48" s="33"/>
      <c r="H48" s="33"/>
      <c r="I48"/>
      <c r="N48" t="s">
        <v>85</v>
      </c>
      <c r="P48" s="97">
        <v>0</v>
      </c>
      <c r="Q48" s="97">
        <v>0</v>
      </c>
      <c r="R48" s="97">
        <v>1</v>
      </c>
      <c r="S48" s="97">
        <v>0</v>
      </c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</row>
    <row r="49" spans="1:49">
      <c r="A49" s="89"/>
      <c r="B49" s="44"/>
      <c r="I49" t="s">
        <v>309</v>
      </c>
      <c r="P49" s="84"/>
      <c r="Q49" s="84"/>
      <c r="R49" s="84"/>
      <c r="W49" s="97"/>
      <c r="X49" s="97"/>
      <c r="Y49" s="97"/>
      <c r="Z49" s="190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</row>
    <row r="50" spans="1:49">
      <c r="B50" s="40"/>
      <c r="C50" s="8"/>
      <c r="D50" s="8"/>
      <c r="G50" s="270"/>
      <c r="H50" s="33"/>
      <c r="I50" s="57">
        <f>6.33/100</f>
        <v>6.3299999999999995E-2</v>
      </c>
    </row>
    <row r="51" spans="1:49">
      <c r="B51" s="40"/>
      <c r="E51" s="8"/>
      <c r="G51" s="90"/>
      <c r="H51" s="33"/>
    </row>
    <row r="52" spans="1:49">
      <c r="A52" s="407"/>
      <c r="B52" s="407"/>
      <c r="E52" s="8"/>
      <c r="G52" s="90"/>
      <c r="H52" s="33"/>
      <c r="I52" s="3" t="s">
        <v>146</v>
      </c>
      <c r="J52" s="200">
        <v>2.2200000000000001E-2</v>
      </c>
    </row>
    <row r="53" spans="1:49" ht="13.7" customHeight="1">
      <c r="A53" s="44"/>
      <c r="B53" s="44"/>
      <c r="H53" s="33"/>
      <c r="I53"/>
    </row>
    <row r="54" spans="1:49" ht="30.6" hidden="1" customHeight="1">
      <c r="A54" s="408" t="str">
        <f>'Table 5'!A10</f>
        <v>15 Year Starting 2026</v>
      </c>
      <c r="B54" s="409"/>
      <c r="C54" s="409"/>
      <c r="E54" s="8"/>
      <c r="G54" s="56"/>
      <c r="H54" s="33"/>
      <c r="I54" t="s">
        <v>194</v>
      </c>
      <c r="J54" s="223">
        <f>(1+Discount_Rate)/(1+Inflation)-1</f>
        <v>4.0207395812952296E-2</v>
      </c>
    </row>
    <row r="55" spans="1:49" hidden="1">
      <c r="B55" s="44" t="str">
        <f>" Levelized Prices (Nominal) @ "&amp;TEXT($I$50,"0.00%")&amp;" Discount Rate (1) (3) "</f>
        <v xml:space="preserve"> Levelized Prices (Nominal) @ 6.33% Discount Rate (1) (3) </v>
      </c>
      <c r="H55" s="33"/>
      <c r="I55"/>
      <c r="M55" s="58"/>
    </row>
    <row r="56" spans="1:49" hidden="1">
      <c r="B56" s="40" t="s">
        <v>8</v>
      </c>
      <c r="C56" s="8">
        <f ca="1">'Table 5'!$D$10*(Study_CF*8.76)/'Table 5'!$F$10</f>
        <v>10.110731342942243</v>
      </c>
      <c r="D56" s="8"/>
      <c r="H56" s="33"/>
      <c r="I56"/>
    </row>
    <row r="57" spans="1:49" hidden="1">
      <c r="B57" s="40" t="s">
        <v>31</v>
      </c>
      <c r="E57" s="8">
        <f ca="1">'Table 5'!$C$10/'Table 5'!$F$10</f>
        <v>35.419947160494722</v>
      </c>
      <c r="G57" s="90">
        <f ca="1">'Table 5'!$G$10</f>
        <v>39.215386409683596</v>
      </c>
      <c r="H57" s="8"/>
      <c r="I57"/>
    </row>
    <row r="58" spans="1:49" ht="8.25" hidden="1" customHeight="1">
      <c r="A58" s="407"/>
      <c r="B58" s="407"/>
      <c r="E58" s="8"/>
      <c r="G58" s="56"/>
      <c r="H58" s="33"/>
      <c r="I58"/>
    </row>
    <row r="59" spans="1:49">
      <c r="A59" s="407" t="str">
        <f>'Table 5'!A8</f>
        <v>15 Year Starting 2027</v>
      </c>
      <c r="B59" s="407"/>
      <c r="E59" s="8"/>
      <c r="G59" s="8"/>
      <c r="H59" s="33"/>
      <c r="I59"/>
      <c r="M59" s="58"/>
    </row>
    <row r="60" spans="1:49">
      <c r="B60" s="44" t="str">
        <f>" Levelized Prices (Nominal) @ "&amp;TEXT($I$50,"0.00%")&amp;" Discount Rate (1) (3) "</f>
        <v xml:space="preserve"> Levelized Prices (Nominal) @ 6.33% Discount Rate (1) (3) </v>
      </c>
      <c r="C60" s="8"/>
      <c r="E60" s="8"/>
      <c r="G60" s="90"/>
      <c r="H60" s="33"/>
      <c r="I60"/>
    </row>
    <row r="61" spans="1:49">
      <c r="B61" s="40" t="s">
        <v>8</v>
      </c>
      <c r="C61" s="8">
        <f ca="1">'Table 5'!$D$8*(Study_CF*8.76)/'Table 5'!$F$8</f>
        <v>12.658599552705445</v>
      </c>
      <c r="D61" s="8"/>
      <c r="E61" s="8">
        <f ca="1">'Table 5'!$C$8/'Table 5'!$F$8</f>
        <v>38.084280781428696</v>
      </c>
      <c r="H61" s="33"/>
      <c r="I61"/>
    </row>
    <row r="62" spans="1:49">
      <c r="B62" s="40" t="s">
        <v>31</v>
      </c>
      <c r="E62" s="8"/>
      <c r="G62" s="90">
        <f ca="1">'Table 5'!$G$8</f>
        <v>42.836157174192373</v>
      </c>
      <c r="H62" s="33"/>
      <c r="I62"/>
    </row>
    <row r="63" spans="1:49">
      <c r="A63" s="407"/>
      <c r="B63" s="407"/>
      <c r="E63" s="8"/>
      <c r="G63" s="56"/>
      <c r="H63" s="33"/>
      <c r="I63"/>
    </row>
    <row r="64" spans="1:49">
      <c r="A64" s="407" t="str">
        <f>'Table 5'!A7</f>
        <v>15 Year Starting 2028</v>
      </c>
      <c r="B64" s="407"/>
      <c r="E64" s="8"/>
      <c r="G64" s="8"/>
      <c r="H64" s="33"/>
      <c r="I64"/>
      <c r="M64" s="58"/>
    </row>
    <row r="65" spans="1:9">
      <c r="B65" s="44" t="str">
        <f>" Levelized Prices (Nominal) @ "&amp;TEXT($I$50,"0.00%")&amp;" Discount Rate (1) (3) "</f>
        <v xml:space="preserve"> Levelized Prices (Nominal) @ 6.33% Discount Rate (1) (3) </v>
      </c>
      <c r="C65" s="8"/>
      <c r="E65" s="8"/>
      <c r="G65" s="90"/>
      <c r="H65" s="33"/>
      <c r="I65"/>
    </row>
    <row r="66" spans="1:9">
      <c r="B66" s="40" t="s">
        <v>8</v>
      </c>
      <c r="C66" s="8">
        <f ca="1">'Table 5'!$D$7*(Study_CF*8.76)/'Table 5'!$F$7</f>
        <v>15.407674353491331</v>
      </c>
      <c r="D66" s="8"/>
      <c r="H66" s="33"/>
      <c r="I66"/>
    </row>
    <row r="67" spans="1:9">
      <c r="B67" s="40" t="s">
        <v>31</v>
      </c>
      <c r="E67" s="8">
        <f ca="1">'Table 5'!$C$7/'Table 5'!$F$7</f>
        <v>40.376324741244993</v>
      </c>
      <c r="G67" s="90">
        <f ca="1">'Table 5'!$G$7</f>
        <v>46.160168658805205</v>
      </c>
      <c r="H67" s="33"/>
      <c r="I67"/>
    </row>
    <row r="68" spans="1:9">
      <c r="B68" s="40"/>
      <c r="C68" s="8"/>
      <c r="E68" s="8"/>
      <c r="G68" s="90"/>
      <c r="H68" s="33"/>
      <c r="I68"/>
    </row>
    <row r="69" spans="1:9">
      <c r="B69" s="40"/>
      <c r="C69" s="8"/>
      <c r="D69" s="8"/>
      <c r="H69" s="33"/>
    </row>
    <row r="70" spans="1:9">
      <c r="B70" s="44"/>
      <c r="H70" s="33"/>
    </row>
    <row r="71" spans="1:9">
      <c r="B71" s="40"/>
      <c r="C71" s="8"/>
      <c r="D71" s="8"/>
      <c r="H71" s="33"/>
    </row>
    <row r="72" spans="1:9">
      <c r="A72" s="407"/>
      <c r="B72" s="407"/>
      <c r="E72" s="8"/>
      <c r="G72" s="56"/>
      <c r="H72" s="33"/>
    </row>
    <row r="73" spans="1:9">
      <c r="B73" s="44"/>
      <c r="H73" s="33"/>
    </row>
    <row r="74" spans="1:9">
      <c r="B74" s="40"/>
      <c r="C74" s="8"/>
      <c r="D74" s="8"/>
      <c r="H74" s="33"/>
    </row>
    <row r="75" spans="1:9">
      <c r="B75" s="40"/>
      <c r="E75" s="8"/>
      <c r="G75" s="90"/>
      <c r="H75" s="33"/>
    </row>
    <row r="76" spans="1:9">
      <c r="E76" s="34"/>
      <c r="G76" s="34"/>
      <c r="H76" s="33"/>
      <c r="I76" s="56"/>
    </row>
    <row r="77" spans="1:9">
      <c r="B77" s="41"/>
      <c r="E77" s="33"/>
      <c r="F77" s="34"/>
      <c r="G77" s="33"/>
      <c r="H77" s="33"/>
      <c r="I77" s="56"/>
    </row>
    <row r="78" spans="1:9">
      <c r="F78" s="34"/>
      <c r="H78" s="33"/>
      <c r="I78" s="56"/>
    </row>
    <row r="81" spans="1:26">
      <c r="B81" s="46"/>
    </row>
    <row r="82" spans="1:26" ht="12.75" customHeight="1">
      <c r="B82" s="46"/>
    </row>
    <row r="83" spans="1:26" ht="12.75" customHeight="1">
      <c r="B83" s="46"/>
    </row>
    <row r="84" spans="1:26">
      <c r="B84" s="9"/>
      <c r="C84" s="6"/>
      <c r="D84" s="6"/>
      <c r="E84" s="6"/>
      <c r="G84" s="6"/>
    </row>
    <row r="85" spans="1:26">
      <c r="A85"/>
      <c r="I85" t="s">
        <v>53</v>
      </c>
    </row>
    <row r="86" spans="1:26" s="43" customFormat="1">
      <c r="B86" s="9"/>
      <c r="I86" t="str">
        <f ca="1">"       Avoided Costs calculated annually are  "&amp;TEXT(PMT(Discount_Rate,COUNT($G$13:$G$27),-NPV(Discount_Rate,$G$13:$G$27)),"$0.00")&amp;"/MWH"</f>
        <v xml:space="preserve">       Avoided Costs calculated annually are  $39.29/MWH</v>
      </c>
      <c r="J86"/>
      <c r="K86"/>
      <c r="L86"/>
      <c r="M86"/>
      <c r="Z86" s="191"/>
    </row>
    <row r="87" spans="1:26" s="43" customFormat="1">
      <c r="B87" s="9"/>
      <c r="I87" s="9" t="str">
        <f ca="1">"       Avoided Costs calculated monthly are  "&amp;TEXT($G$57,"$0.00")&amp;"/MWH"</f>
        <v xml:space="preserve">       Avoided Costs calculated monthly are  $39.22/MWH</v>
      </c>
      <c r="J87"/>
      <c r="K87"/>
      <c r="Z87" s="191"/>
    </row>
    <row r="88" spans="1:26">
      <c r="A88"/>
      <c r="B88" s="42"/>
      <c r="I88" s="43"/>
      <c r="L88" s="43"/>
      <c r="M88" s="43"/>
    </row>
    <row r="89" spans="1:26">
      <c r="A89"/>
      <c r="F89" s="6"/>
    </row>
    <row r="92" spans="1:26">
      <c r="A92"/>
      <c r="J92" s="43"/>
      <c r="K92" s="43"/>
    </row>
    <row r="93" spans="1:26">
      <c r="A93"/>
      <c r="J93" s="43"/>
      <c r="K93" s="43"/>
    </row>
  </sheetData>
  <mergeCells count="8">
    <mergeCell ref="A48:B48"/>
    <mergeCell ref="A58:B58"/>
    <mergeCell ref="A72:B72"/>
    <mergeCell ref="A52:B52"/>
    <mergeCell ref="A59:B59"/>
    <mergeCell ref="A63:B63"/>
    <mergeCell ref="A64:B64"/>
    <mergeCell ref="A54:C54"/>
  </mergeCells>
  <phoneticPr fontId="10" type="noConversion"/>
  <printOptions horizontalCentered="1"/>
  <pageMargins left="0.25" right="0.25" top="0.75" bottom="0.75" header="0.3" footer="0.3"/>
  <pageSetup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41"/>
  <sheetViews>
    <sheetView topLeftCell="A2" zoomScaleNormal="100" zoomScaleSheetLayoutView="90" workbookViewId="0">
      <selection activeCell="C37" sqref="C37"/>
    </sheetView>
  </sheetViews>
  <sheetFormatPr defaultColWidth="9.33203125" defaultRowHeight="12.75"/>
  <cols>
    <col min="1" max="1" width="2.83203125" style="3" customWidth="1"/>
    <col min="2" max="2" width="7" style="3" customWidth="1"/>
    <col min="3" max="15" width="10.1640625" style="3" customWidth="1"/>
    <col min="16" max="16" width="1.6640625" style="3" customWidth="1"/>
    <col min="17" max="16384" width="9.33203125" style="3"/>
  </cols>
  <sheetData>
    <row r="1" spans="2:16" s="104" customFormat="1" ht="15.75" hidden="1">
      <c r="B1" s="1" t="s">
        <v>34</v>
      </c>
      <c r="C1" s="1"/>
      <c r="D1" s="1"/>
      <c r="E1" s="1"/>
      <c r="F1" s="1"/>
      <c r="G1" s="102"/>
      <c r="H1" s="1"/>
      <c r="I1" s="1"/>
      <c r="J1" s="1"/>
      <c r="K1" s="1"/>
      <c r="L1" s="103"/>
      <c r="M1" s="1"/>
      <c r="N1" s="1"/>
      <c r="O1" s="1"/>
      <c r="P1" s="1"/>
    </row>
    <row r="2" spans="2:16" s="104" customFormat="1" ht="5.25" customHeight="1">
      <c r="B2" s="1"/>
      <c r="C2" s="1"/>
      <c r="D2" s="1"/>
      <c r="E2" s="1"/>
      <c r="F2" s="1"/>
      <c r="G2" s="102"/>
      <c r="H2" s="1"/>
      <c r="I2" s="1"/>
      <c r="J2" s="1"/>
      <c r="K2" s="1"/>
      <c r="L2" s="103"/>
      <c r="M2" s="1"/>
      <c r="N2" s="1"/>
      <c r="O2" s="1"/>
      <c r="P2" s="1"/>
    </row>
    <row r="3" spans="2:16" s="104" customFormat="1" ht="15.75">
      <c r="B3" s="1" t="s">
        <v>75</v>
      </c>
      <c r="C3" s="1"/>
      <c r="D3" s="1"/>
      <c r="E3" s="1"/>
      <c r="F3" s="1"/>
      <c r="G3" s="102"/>
      <c r="H3" s="1"/>
      <c r="I3" s="1"/>
      <c r="J3" s="1"/>
      <c r="K3" s="1"/>
      <c r="L3" s="103"/>
      <c r="M3" s="1"/>
      <c r="N3" s="1"/>
      <c r="O3" s="1"/>
      <c r="P3" s="1"/>
    </row>
    <row r="4" spans="2:16" s="105" customFormat="1" ht="15">
      <c r="B4" s="4" t="s">
        <v>76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s="105" customFormat="1" ht="15">
      <c r="B5" s="4" t="str">
        <f ca="1">'Table 1'!B5</f>
        <v>QF - Sch38 - UT - Wind - 80.0 MW and 30.4% CF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s="105" customFormat="1" ht="15" hidden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>
      <c r="D7" s="106"/>
      <c r="E7" s="106"/>
      <c r="F7" s="106"/>
      <c r="G7" s="107"/>
      <c r="H7" s="107"/>
      <c r="I7" s="107"/>
      <c r="J7" s="107"/>
      <c r="K7" s="107"/>
      <c r="L7" s="107"/>
      <c r="M7" s="108"/>
    </row>
    <row r="8" spans="2:16">
      <c r="B8" s="109"/>
      <c r="C8" s="109"/>
      <c r="D8" s="110" t="s">
        <v>77</v>
      </c>
      <c r="E8" s="111"/>
      <c r="F8" s="111"/>
      <c r="G8" s="110"/>
      <c r="H8" s="110"/>
      <c r="I8" s="112" t="s">
        <v>78</v>
      </c>
      <c r="J8" s="113"/>
      <c r="K8" s="113"/>
      <c r="L8" s="114"/>
      <c r="M8" s="115" t="s">
        <v>77</v>
      </c>
      <c r="N8" s="116"/>
      <c r="O8" s="117"/>
    </row>
    <row r="9" spans="2:16">
      <c r="B9" s="118" t="s">
        <v>0</v>
      </c>
      <c r="C9" s="118" t="s">
        <v>108</v>
      </c>
      <c r="D9" s="119" t="s">
        <v>110</v>
      </c>
      <c r="E9" s="120" t="s">
        <v>111</v>
      </c>
      <c r="F9" s="120" t="s">
        <v>112</v>
      </c>
      <c r="G9" s="120" t="s">
        <v>113</v>
      </c>
      <c r="H9" s="121" t="s">
        <v>114</v>
      </c>
      <c r="I9" s="85" t="s">
        <v>115</v>
      </c>
      <c r="J9" s="85" t="s">
        <v>116</v>
      </c>
      <c r="K9" s="85" t="s">
        <v>117</v>
      </c>
      <c r="L9" s="85" t="s">
        <v>118</v>
      </c>
      <c r="M9" s="119" t="s">
        <v>119</v>
      </c>
      <c r="N9" s="120" t="s">
        <v>120</v>
      </c>
      <c r="O9" s="121" t="s">
        <v>121</v>
      </c>
    </row>
    <row r="10" spans="2:16" ht="12.75" customHeight="1">
      <c r="B10" s="5"/>
      <c r="C10" s="5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2:16" ht="12.75" customHeight="1">
      <c r="B11" s="83" t="s">
        <v>79</v>
      </c>
      <c r="C11" s="83"/>
      <c r="E11" s="106"/>
      <c r="F11" s="106"/>
      <c r="G11" s="106"/>
      <c r="H11" s="106"/>
      <c r="I11" s="106"/>
      <c r="J11" s="106"/>
      <c r="K11" s="106"/>
      <c r="L11" s="106"/>
      <c r="M11" s="106"/>
      <c r="N11" s="106"/>
    </row>
    <row r="12" spans="2:16" ht="12.75" hidden="1" customHeight="1">
      <c r="B12" s="122"/>
      <c r="C12" s="123"/>
      <c r="D12" s="7"/>
      <c r="E12" s="7"/>
      <c r="F12" s="7"/>
      <c r="G12" s="7"/>
      <c r="H12" s="11"/>
      <c r="I12" s="124"/>
      <c r="J12" s="125"/>
      <c r="K12" s="125"/>
      <c r="L12" s="126"/>
      <c r="M12" s="124"/>
      <c r="N12" s="125"/>
      <c r="O12" s="126"/>
    </row>
    <row r="13" spans="2:16" ht="12.75" customHeight="1">
      <c r="B13" s="127">
        <v>2027</v>
      </c>
      <c r="C13" s="164">
        <v>19.039449018465049</v>
      </c>
      <c r="D13" s="165">
        <v>27.701580415865376</v>
      </c>
      <c r="E13" s="165">
        <v>23.680234823239918</v>
      </c>
      <c r="F13" s="165">
        <v>11.154308388680361</v>
      </c>
      <c r="G13" s="165">
        <v>8.8455839846162512</v>
      </c>
      <c r="H13" s="166">
        <v>10.756523464893551</v>
      </c>
      <c r="I13" s="167">
        <v>12.512695543193045</v>
      </c>
      <c r="J13" s="165">
        <v>40.378343927576431</v>
      </c>
      <c r="K13" s="165">
        <v>25.267080454466431</v>
      </c>
      <c r="L13" s="166">
        <v>20.611137430764941</v>
      </c>
      <c r="M13" s="167">
        <v>13.983469822252312</v>
      </c>
      <c r="N13" s="165">
        <v>23.103178468141426</v>
      </c>
      <c r="O13" s="166">
        <v>26.858813187068417</v>
      </c>
    </row>
    <row r="14" spans="2:16" ht="12.75" customHeight="1">
      <c r="B14" s="140">
        <v>2028</v>
      </c>
      <c r="C14" s="168">
        <v>23.116516640055742</v>
      </c>
      <c r="D14" s="169">
        <v>31.270883850368453</v>
      </c>
      <c r="E14" s="169">
        <v>29.692173712647822</v>
      </c>
      <c r="F14" s="169">
        <v>13.152624704552101</v>
      </c>
      <c r="G14" s="169">
        <v>13.127933973706972</v>
      </c>
      <c r="H14" s="170">
        <v>13.332526027835856</v>
      </c>
      <c r="I14" s="171">
        <v>13.864492114282784</v>
      </c>
      <c r="J14" s="169">
        <v>49.603465245071341</v>
      </c>
      <c r="K14" s="169">
        <v>26.987782408030743</v>
      </c>
      <c r="L14" s="170">
        <v>25.589383193243101</v>
      </c>
      <c r="M14" s="171">
        <v>18.493033843755263</v>
      </c>
      <c r="N14" s="169">
        <v>27.22171443923515</v>
      </c>
      <c r="O14" s="170">
        <v>35.213958618703664</v>
      </c>
    </row>
    <row r="15" spans="2:16" ht="12.75" customHeight="1">
      <c r="B15" s="140">
        <v>2029</v>
      </c>
      <c r="C15" s="168">
        <v>25.222820988362148</v>
      </c>
      <c r="D15" s="169">
        <v>31.847383366963566</v>
      </c>
      <c r="E15" s="169">
        <v>29.768044991259512</v>
      </c>
      <c r="F15" s="169">
        <v>15.980461570980168</v>
      </c>
      <c r="G15" s="169">
        <v>10.299977430012772</v>
      </c>
      <c r="H15" s="170">
        <v>14.018439339287783</v>
      </c>
      <c r="I15" s="171">
        <v>15.768153771153592</v>
      </c>
      <c r="J15" s="169">
        <v>46.537035748404769</v>
      </c>
      <c r="K15" s="169">
        <v>33.300082206592663</v>
      </c>
      <c r="L15" s="170">
        <v>30.111490525319585</v>
      </c>
      <c r="M15" s="171">
        <v>25.121038871895145</v>
      </c>
      <c r="N15" s="169">
        <v>34.72003847425448</v>
      </c>
      <c r="O15" s="170">
        <v>39.010895916441477</v>
      </c>
    </row>
    <row r="16" spans="2:16" ht="12.75" customHeight="1">
      <c r="B16" s="140">
        <v>2030</v>
      </c>
      <c r="C16" s="168">
        <v>37.984446267753945</v>
      </c>
      <c r="D16" s="169">
        <v>44.838819368041918</v>
      </c>
      <c r="E16" s="169">
        <v>41.116301890809069</v>
      </c>
      <c r="F16" s="169">
        <v>28.187109290222029</v>
      </c>
      <c r="G16" s="169">
        <v>25.933067993079991</v>
      </c>
      <c r="H16" s="170">
        <v>23.713798415185067</v>
      </c>
      <c r="I16" s="171">
        <v>32.409843636277387</v>
      </c>
      <c r="J16" s="169">
        <v>43.981979443046498</v>
      </c>
      <c r="K16" s="169">
        <v>49.00507859763384</v>
      </c>
      <c r="L16" s="170">
        <v>48.206643751400556</v>
      </c>
      <c r="M16" s="171">
        <v>39.410621498245483</v>
      </c>
      <c r="N16" s="169">
        <v>50.25522889745244</v>
      </c>
      <c r="O16" s="170">
        <v>48.889628181547508</v>
      </c>
    </row>
    <row r="17" spans="2:15" ht="12.75" customHeight="1">
      <c r="B17" s="140">
        <v>2031</v>
      </c>
      <c r="C17" s="168">
        <v>49.797964329564408</v>
      </c>
      <c r="D17" s="169">
        <v>53.245235207902866</v>
      </c>
      <c r="E17" s="169">
        <v>48.556239338506835</v>
      </c>
      <c r="F17" s="169">
        <v>37.36559366853291</v>
      </c>
      <c r="G17" s="169">
        <v>30.201896165973018</v>
      </c>
      <c r="H17" s="170">
        <v>33.853181921293363</v>
      </c>
      <c r="I17" s="171">
        <v>35.528883135172009</v>
      </c>
      <c r="J17" s="169">
        <v>99.159600792214547</v>
      </c>
      <c r="K17" s="169">
        <v>61.533186210680313</v>
      </c>
      <c r="L17" s="170">
        <v>51.788203881728634</v>
      </c>
      <c r="M17" s="171">
        <v>41.764452953247869</v>
      </c>
      <c r="N17" s="169">
        <v>52.246994214320651</v>
      </c>
      <c r="O17" s="170">
        <v>81.577407484584938</v>
      </c>
    </row>
    <row r="18" spans="2:15" ht="12.75" customHeight="1">
      <c r="B18" s="140">
        <v>2032</v>
      </c>
      <c r="C18" s="168">
        <v>50.401288477773768</v>
      </c>
      <c r="D18" s="169">
        <v>53.419874529791038</v>
      </c>
      <c r="E18" s="169">
        <v>49.862671269657504</v>
      </c>
      <c r="F18" s="169">
        <v>35.127621058956485</v>
      </c>
      <c r="G18" s="169">
        <v>29.796541227532057</v>
      </c>
      <c r="H18" s="170">
        <v>35.389297665080129</v>
      </c>
      <c r="I18" s="171">
        <v>37.442205569196119</v>
      </c>
      <c r="J18" s="169">
        <v>108.85814987340136</v>
      </c>
      <c r="K18" s="169">
        <v>61.511824081375167</v>
      </c>
      <c r="L18" s="170">
        <v>52.022362819166553</v>
      </c>
      <c r="M18" s="171">
        <v>43.990704736433102</v>
      </c>
      <c r="N18" s="169">
        <v>54.8259260643555</v>
      </c>
      <c r="O18" s="170">
        <v>79.943979275636238</v>
      </c>
    </row>
    <row r="19" spans="2:15" ht="12.75" customHeight="1">
      <c r="B19" s="140">
        <v>2033</v>
      </c>
      <c r="C19" s="168">
        <v>48.92735571160113</v>
      </c>
      <c r="D19" s="169">
        <v>50.475762579392111</v>
      </c>
      <c r="E19" s="169">
        <v>52.650248835529965</v>
      </c>
      <c r="F19" s="169">
        <v>33.420778071098617</v>
      </c>
      <c r="G19" s="169">
        <v>34.479077043403386</v>
      </c>
      <c r="H19" s="170">
        <v>32.708538932783696</v>
      </c>
      <c r="I19" s="171">
        <v>34.904505705353102</v>
      </c>
      <c r="J19" s="169">
        <v>99.259202388558435</v>
      </c>
      <c r="K19" s="169">
        <v>60.934447373251352</v>
      </c>
      <c r="L19" s="170">
        <v>49.896144421665994</v>
      </c>
      <c r="M19" s="171">
        <v>41.749427510038196</v>
      </c>
      <c r="N19" s="169">
        <v>53.906360270512771</v>
      </c>
      <c r="O19" s="170">
        <v>78.819421571012654</v>
      </c>
    </row>
    <row r="20" spans="2:15" ht="12.75" customHeight="1">
      <c r="B20" s="140">
        <v>2034</v>
      </c>
      <c r="C20" s="168">
        <v>50.152657325876923</v>
      </c>
      <c r="D20" s="169">
        <v>53.549925362792266</v>
      </c>
      <c r="E20" s="169">
        <v>54.98620797369513</v>
      </c>
      <c r="F20" s="169">
        <v>34.685869624331282</v>
      </c>
      <c r="G20" s="169">
        <v>30.161744136021785</v>
      </c>
      <c r="H20" s="170">
        <v>34.624074650299349</v>
      </c>
      <c r="I20" s="171">
        <v>38.53537399120539</v>
      </c>
      <c r="J20" s="169">
        <v>94.356194550399621</v>
      </c>
      <c r="K20" s="169">
        <v>61.012325664134345</v>
      </c>
      <c r="L20" s="170">
        <v>51.45823715683332</v>
      </c>
      <c r="M20" s="171">
        <v>43.830727406922982</v>
      </c>
      <c r="N20" s="169">
        <v>58.701600865874013</v>
      </c>
      <c r="O20" s="170">
        <v>83.95602468336287</v>
      </c>
    </row>
    <row r="21" spans="2:15" ht="12.75" customHeight="1">
      <c r="B21" s="140">
        <v>2035</v>
      </c>
      <c r="C21" s="168">
        <v>51.722786205812639</v>
      </c>
      <c r="D21" s="169">
        <v>54.912005521901015</v>
      </c>
      <c r="E21" s="169">
        <v>55.980517817924557</v>
      </c>
      <c r="F21" s="169">
        <v>35.807102064498373</v>
      </c>
      <c r="G21" s="169">
        <v>31.125889534168486</v>
      </c>
      <c r="H21" s="170">
        <v>32.345967478574785</v>
      </c>
      <c r="I21" s="171">
        <v>40.359549263145205</v>
      </c>
      <c r="J21" s="169">
        <v>96.542497367438287</v>
      </c>
      <c r="K21" s="169">
        <v>61.196938952502713</v>
      </c>
      <c r="L21" s="170">
        <v>57.922827567763228</v>
      </c>
      <c r="M21" s="171">
        <v>45.527499876945711</v>
      </c>
      <c r="N21" s="169">
        <v>64.651660526080192</v>
      </c>
      <c r="O21" s="170">
        <v>89.424465542177927</v>
      </c>
    </row>
    <row r="22" spans="2:15" ht="12.75" customHeight="1">
      <c r="B22" s="140">
        <v>2036</v>
      </c>
      <c r="C22" s="168">
        <v>36.048271396231179</v>
      </c>
      <c r="D22" s="169">
        <v>46.89173371543599</v>
      </c>
      <c r="E22" s="169">
        <v>40.124736977257015</v>
      </c>
      <c r="F22" s="169">
        <v>26.237776658519824</v>
      </c>
      <c r="G22" s="169">
        <v>28.42533060635423</v>
      </c>
      <c r="H22" s="170">
        <v>25.70253755536319</v>
      </c>
      <c r="I22" s="171">
        <v>34.740988782183102</v>
      </c>
      <c r="J22" s="169">
        <v>33.919550525714129</v>
      </c>
      <c r="K22" s="169">
        <v>28.123993845448712</v>
      </c>
      <c r="L22" s="170">
        <v>40.288363040208971</v>
      </c>
      <c r="M22" s="171">
        <v>39.431133794049352</v>
      </c>
      <c r="N22" s="169">
        <v>49.162123080349986</v>
      </c>
      <c r="O22" s="170">
        <v>43.745495555712445</v>
      </c>
    </row>
    <row r="23" spans="2:15" ht="12.75" customHeight="1">
      <c r="B23" s="140">
        <v>2037</v>
      </c>
      <c r="C23" s="168">
        <v>38.164706037933598</v>
      </c>
      <c r="D23" s="169">
        <v>48.266316181949534</v>
      </c>
      <c r="E23" s="169">
        <v>48.460025349690149</v>
      </c>
      <c r="F23" s="169">
        <v>30.684373790416878</v>
      </c>
      <c r="G23" s="169">
        <v>27.941894323228965</v>
      </c>
      <c r="H23" s="170">
        <v>33.625227357052857</v>
      </c>
      <c r="I23" s="171">
        <v>35.736922157879441</v>
      </c>
      <c r="J23" s="169">
        <v>38.915703588253315</v>
      </c>
      <c r="K23" s="169">
        <v>21.960145495368877</v>
      </c>
      <c r="L23" s="170">
        <v>34.31927890765094</v>
      </c>
      <c r="M23" s="171">
        <v>41.969908725109342</v>
      </c>
      <c r="N23" s="169">
        <v>46.258069204448482</v>
      </c>
      <c r="O23" s="170">
        <v>48.572325532077933</v>
      </c>
    </row>
    <row r="24" spans="2:15" ht="12.75" customHeight="1">
      <c r="B24" s="140">
        <v>2038</v>
      </c>
      <c r="C24" s="168">
        <v>38.29702213508584</v>
      </c>
      <c r="D24" s="169">
        <v>49.777126205888251</v>
      </c>
      <c r="E24" s="169">
        <v>45.484468672912371</v>
      </c>
      <c r="F24" s="169">
        <v>30.587561165237986</v>
      </c>
      <c r="G24" s="169">
        <v>29.120210153888063</v>
      </c>
      <c r="H24" s="170">
        <v>32.407819275281128</v>
      </c>
      <c r="I24" s="171">
        <v>36.740004619905946</v>
      </c>
      <c r="J24" s="169">
        <v>38.457933380084157</v>
      </c>
      <c r="K24" s="169">
        <v>22.279639265371507</v>
      </c>
      <c r="L24" s="170">
        <v>35.22307173051837</v>
      </c>
      <c r="M24" s="171">
        <v>44.203497242898301</v>
      </c>
      <c r="N24" s="169">
        <v>46.792932713323445</v>
      </c>
      <c r="O24" s="170">
        <v>48.149972173069543</v>
      </c>
    </row>
    <row r="25" spans="2:15" ht="12.75" customHeight="1">
      <c r="B25" s="140">
        <v>2039</v>
      </c>
      <c r="C25" s="168">
        <v>39.500987451165841</v>
      </c>
      <c r="D25" s="169">
        <v>51.461802033025812</v>
      </c>
      <c r="E25" s="169">
        <v>48.630377877187939</v>
      </c>
      <c r="F25" s="169">
        <v>29.794332934692882</v>
      </c>
      <c r="G25" s="169">
        <v>30.89096647695715</v>
      </c>
      <c r="H25" s="170">
        <v>30.333857201557265</v>
      </c>
      <c r="I25" s="171">
        <v>39.115880553123269</v>
      </c>
      <c r="J25" s="169">
        <v>37.327243883437205</v>
      </c>
      <c r="K25" s="169">
        <v>33.875830377527556</v>
      </c>
      <c r="L25" s="170">
        <v>36.02370158344187</v>
      </c>
      <c r="M25" s="171">
        <v>43.059889795150902</v>
      </c>
      <c r="N25" s="169">
        <v>50.083252827146715</v>
      </c>
      <c r="O25" s="170">
        <v>46.326245098974191</v>
      </c>
    </row>
    <row r="26" spans="2:15" ht="12.75" customHeight="1">
      <c r="B26" s="140">
        <v>2040</v>
      </c>
      <c r="C26" s="168">
        <v>40.872342648927003</v>
      </c>
      <c r="D26" s="169">
        <v>51.464331348953699</v>
      </c>
      <c r="E26" s="169">
        <v>48.39421940697946</v>
      </c>
      <c r="F26" s="169">
        <v>31.246442708601815</v>
      </c>
      <c r="G26" s="169">
        <v>31.714637251477797</v>
      </c>
      <c r="H26" s="170">
        <v>29.419463151302441</v>
      </c>
      <c r="I26" s="171">
        <v>39.98085608483872</v>
      </c>
      <c r="J26" s="169">
        <v>42.243215014866919</v>
      </c>
      <c r="K26" s="169">
        <v>34.10049674594174</v>
      </c>
      <c r="L26" s="170">
        <v>40.006093677348396</v>
      </c>
      <c r="M26" s="171">
        <v>45.206341525107398</v>
      </c>
      <c r="N26" s="169">
        <v>54.582144112789798</v>
      </c>
      <c r="O26" s="170">
        <v>47.469636470526503</v>
      </c>
    </row>
    <row r="27" spans="2:15" ht="12.75" customHeight="1">
      <c r="B27" s="140">
        <v>2041</v>
      </c>
      <c r="C27" s="168">
        <v>42.628002541842065</v>
      </c>
      <c r="D27" s="169">
        <v>52.975620010817565</v>
      </c>
      <c r="E27" s="169">
        <v>50.215493218335375</v>
      </c>
      <c r="F27" s="169">
        <v>32.447756206615416</v>
      </c>
      <c r="G27" s="169">
        <v>35.012554728376408</v>
      </c>
      <c r="H27" s="170">
        <v>31.068631764993661</v>
      </c>
      <c r="I27" s="171">
        <v>41.755440943676184</v>
      </c>
      <c r="J27" s="169">
        <v>41.132344052421956</v>
      </c>
      <c r="K27" s="169">
        <v>39.008398279109166</v>
      </c>
      <c r="L27" s="170">
        <v>42.741714616030947</v>
      </c>
      <c r="M27" s="171">
        <v>45.271826438218255</v>
      </c>
      <c r="N27" s="169">
        <v>59.670396702089484</v>
      </c>
      <c r="O27" s="170">
        <v>44.29316794284302</v>
      </c>
    </row>
    <row r="28" spans="2:15" ht="12.75" customHeight="1">
      <c r="B28" s="140">
        <v>2042</v>
      </c>
      <c r="C28" s="168">
        <v>45.011114795511993</v>
      </c>
      <c r="D28" s="169">
        <v>54.232711562563701</v>
      </c>
      <c r="E28" s="169">
        <v>57.947182344522595</v>
      </c>
      <c r="F28" s="169">
        <v>38.301817940341834</v>
      </c>
      <c r="G28" s="169">
        <v>32.062584381780376</v>
      </c>
      <c r="H28" s="170">
        <v>33.672030959685252</v>
      </c>
      <c r="I28" s="171">
        <v>40.890972491481811</v>
      </c>
      <c r="J28" s="169">
        <v>49.646126843697417</v>
      </c>
      <c r="K28" s="169">
        <v>37.471698268739971</v>
      </c>
      <c r="L28" s="170">
        <v>42.945661726553034</v>
      </c>
      <c r="M28" s="171">
        <v>47.239339068596472</v>
      </c>
      <c r="N28" s="169">
        <v>53.217688331164467</v>
      </c>
      <c r="O28" s="170">
        <v>57.002795751943985</v>
      </c>
    </row>
    <row r="29" spans="2:15" ht="12.75" customHeight="1">
      <c r="B29" s="140">
        <v>2043</v>
      </c>
      <c r="C29" s="168">
        <v>47.371112441624483</v>
      </c>
      <c r="D29" s="169">
        <v>56.889537283361435</v>
      </c>
      <c r="E29" s="169">
        <v>61.126949397498166</v>
      </c>
      <c r="F29" s="169">
        <v>38.991531536049209</v>
      </c>
      <c r="G29" s="169">
        <v>36.020367221930549</v>
      </c>
      <c r="H29" s="170">
        <v>40.326758189598259</v>
      </c>
      <c r="I29" s="171">
        <v>45.171163493980877</v>
      </c>
      <c r="J29" s="169">
        <v>46.92824658882865</v>
      </c>
      <c r="K29" s="169">
        <v>43.312152184686973</v>
      </c>
      <c r="L29" s="170">
        <v>41.491343983905629</v>
      </c>
      <c r="M29" s="171">
        <v>49.340546677284379</v>
      </c>
      <c r="N29" s="169">
        <v>56.357246359859062</v>
      </c>
      <c r="O29" s="170">
        <v>54.545169905904665</v>
      </c>
    </row>
    <row r="30" spans="2:15" ht="12.75" customHeight="1">
      <c r="B30" s="141">
        <v>2044</v>
      </c>
      <c r="C30" s="172">
        <v>48.557353871687397</v>
      </c>
      <c r="D30" s="173">
        <v>60.491381902814275</v>
      </c>
      <c r="E30" s="173">
        <v>58.959622899608725</v>
      </c>
      <c r="F30" s="173">
        <v>37.497645712267826</v>
      </c>
      <c r="G30" s="173">
        <v>42.943627026870843</v>
      </c>
      <c r="H30" s="174">
        <v>38.725498085533552</v>
      </c>
      <c r="I30" s="175">
        <v>48.987132563315427</v>
      </c>
      <c r="J30" s="173">
        <v>48.218510515754069</v>
      </c>
      <c r="K30" s="173">
        <v>43.386450884217481</v>
      </c>
      <c r="L30" s="174">
        <v>42.911979864001381</v>
      </c>
      <c r="M30" s="175">
        <v>51.005248210543442</v>
      </c>
      <c r="N30" s="173">
        <v>59.538379629319145</v>
      </c>
      <c r="O30" s="174">
        <v>51.405697891508552</v>
      </c>
    </row>
    <row r="31" spans="2:15" ht="12.75" hidden="1" customHeight="1">
      <c r="B31" s="12"/>
      <c r="C31" s="128"/>
      <c r="D31" s="129"/>
      <c r="E31" s="129"/>
      <c r="F31" s="129"/>
      <c r="G31" s="129"/>
      <c r="H31" s="130"/>
      <c r="I31" s="131"/>
      <c r="J31" s="129"/>
      <c r="K31" s="129"/>
      <c r="L31" s="130"/>
      <c r="M31" s="131"/>
      <c r="N31" s="129"/>
      <c r="O31" s="130"/>
    </row>
    <row r="32" spans="2:15" ht="12.75" hidden="1" customHeight="1">
      <c r="B32" s="132"/>
      <c r="C32" s="133"/>
      <c r="D32" s="134"/>
      <c r="E32" s="134"/>
      <c r="F32" s="134"/>
      <c r="G32" s="134"/>
      <c r="H32" s="135"/>
      <c r="I32" s="136"/>
      <c r="J32" s="134"/>
      <c r="K32" s="134"/>
      <c r="L32" s="135"/>
      <c r="M32" s="136"/>
      <c r="N32" s="134"/>
      <c r="O32" s="135"/>
    </row>
    <row r="33" spans="2:16" ht="12.75" customHeight="1">
      <c r="D33" s="9"/>
      <c r="E33" s="9"/>
      <c r="F33" s="9"/>
      <c r="M33" s="137"/>
    </row>
    <row r="34" spans="2:16">
      <c r="B34" s="138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</row>
    <row r="38" spans="2:16" hidden="1">
      <c r="C38" s="139"/>
      <c r="D38" s="3">
        <v>31</v>
      </c>
      <c r="E38" s="3">
        <v>28</v>
      </c>
      <c r="F38" s="3">
        <v>31</v>
      </c>
      <c r="G38" s="3">
        <v>30</v>
      </c>
      <c r="H38" s="3">
        <v>31</v>
      </c>
      <c r="I38" s="3">
        <v>30</v>
      </c>
      <c r="J38" s="3">
        <v>31</v>
      </c>
      <c r="K38" s="3">
        <v>31</v>
      </c>
      <c r="L38" s="3">
        <v>30</v>
      </c>
      <c r="M38" s="3">
        <v>31</v>
      </c>
      <c r="N38" s="3">
        <v>30</v>
      </c>
      <c r="O38" s="3">
        <v>31</v>
      </c>
    </row>
    <row r="39" spans="2:16">
      <c r="C39" s="139"/>
    </row>
    <row r="40" spans="2:16">
      <c r="C40" s="139"/>
    </row>
    <row r="41" spans="2:16">
      <c r="C41" s="139"/>
    </row>
  </sheetData>
  <conditionalFormatting sqref="C29:O31">
    <cfRule type="cellIs" dxfId="2" priority="1" stopIfTrue="1" operator="equal">
      <formula>#REF!</formula>
    </cfRule>
  </conditionalFormatting>
  <printOptions horizontalCentered="1"/>
  <pageMargins left="0.25" right="0.25" top="0.75" bottom="0.75" header="0.3" footer="0.3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B1:S627"/>
  <sheetViews>
    <sheetView view="pageBreakPreview" topLeftCell="A5" zoomScale="80" zoomScaleNormal="100" zoomScaleSheetLayoutView="80" workbookViewId="0">
      <selection activeCell="B52" sqref="B52:B53"/>
    </sheetView>
  </sheetViews>
  <sheetFormatPr defaultColWidth="9.33203125" defaultRowHeight="12.75"/>
  <cols>
    <col min="1" max="1" width="9.33203125" style="3"/>
    <col min="2" max="2" width="15" style="3" customWidth="1"/>
    <col min="3" max="4" width="27" style="3" customWidth="1"/>
    <col min="5" max="5" width="19.5" style="3" customWidth="1"/>
    <col min="6" max="6" width="17" style="3" customWidth="1"/>
    <col min="7" max="7" width="9.33203125" style="3" customWidth="1"/>
    <col min="8" max="8" width="15" style="39" hidden="1" customWidth="1"/>
    <col min="9" max="10" width="16.6640625" style="29" hidden="1" customWidth="1"/>
    <col min="11" max="11" width="11.1640625" style="3" hidden="1" customWidth="1"/>
    <col min="12" max="12" width="9.33203125" style="3" hidden="1" customWidth="1"/>
    <col min="13" max="13" width="9.33203125" style="46" hidden="1" customWidth="1"/>
    <col min="14" max="14" width="10.33203125" style="46" hidden="1" customWidth="1"/>
    <col min="15" max="15" width="13.83203125" style="46" hidden="1" customWidth="1"/>
    <col min="16" max="16" width="12.83203125" style="3" hidden="1" customWidth="1"/>
    <col min="17" max="17" width="13.33203125" style="3" hidden="1" customWidth="1"/>
    <col min="18" max="19" width="9.33203125" style="3" hidden="1" customWidth="1"/>
    <col min="20" max="16384" width="9.33203125" style="3"/>
  </cols>
  <sheetData>
    <row r="1" spans="2:18" ht="15.75" hidden="1">
      <c r="B1" s="1" t="s">
        <v>34</v>
      </c>
      <c r="C1" s="1"/>
      <c r="D1" s="1"/>
      <c r="H1" s="26"/>
    </row>
    <row r="2" spans="2:18" ht="5.25" customHeight="1">
      <c r="B2" s="1"/>
      <c r="C2" s="1"/>
      <c r="D2" s="1"/>
      <c r="H2" s="26"/>
    </row>
    <row r="3" spans="2:18" ht="15.75">
      <c r="B3" s="1" t="s">
        <v>51</v>
      </c>
      <c r="C3" s="1"/>
      <c r="D3" s="1"/>
      <c r="H3" s="26"/>
    </row>
    <row r="4" spans="2:18" ht="15.75">
      <c r="B4" s="1" t="s">
        <v>30</v>
      </c>
      <c r="C4" s="1"/>
      <c r="D4" s="1"/>
      <c r="H4" s="47" t="s">
        <v>29</v>
      </c>
    </row>
    <row r="5" spans="2:18" ht="15.75">
      <c r="B5" s="1" t="str">
        <f ca="1">'Table 1'!$B$5</f>
        <v>QF - Sch38 - UT - Wind - 80.0 MW and 30.4% CF</v>
      </c>
      <c r="C5" s="1"/>
      <c r="D5" s="1"/>
      <c r="H5" s="48">
        <v>46203</v>
      </c>
    </row>
    <row r="6" spans="2:18">
      <c r="B6" s="10"/>
      <c r="C6" s="10"/>
      <c r="D6" s="10"/>
      <c r="H6" s="26"/>
    </row>
    <row r="7" spans="2:18" ht="14.25">
      <c r="B7" s="18"/>
      <c r="C7" s="25" t="s">
        <v>26</v>
      </c>
      <c r="D7" s="336"/>
      <c r="E7" s="337"/>
      <c r="F7" s="338"/>
      <c r="H7" s="26"/>
    </row>
    <row r="8" spans="2:18">
      <c r="B8" s="19"/>
      <c r="C8" s="13" t="s">
        <v>27</v>
      </c>
      <c r="D8" s="13" t="s">
        <v>27</v>
      </c>
      <c r="E8" s="13" t="s">
        <v>27</v>
      </c>
      <c r="F8" s="13" t="s">
        <v>27</v>
      </c>
      <c r="H8" s="26"/>
    </row>
    <row r="9" spans="2:18">
      <c r="B9" s="19" t="s">
        <v>0</v>
      </c>
      <c r="C9" s="19" t="str">
        <f>O16</f>
        <v>IRP - Utah Greenfield</v>
      </c>
      <c r="D9" s="19" t="str">
        <f>R16</f>
        <v>Naughton</v>
      </c>
      <c r="E9" s="19" t="str">
        <f>P15</f>
        <v>IRP West Side</v>
      </c>
      <c r="F9" s="19" t="str">
        <f>Q16</f>
        <v>IRP - Wyo NE</v>
      </c>
      <c r="H9" s="26"/>
    </row>
    <row r="10" spans="2:18">
      <c r="B10" s="20"/>
      <c r="C10" s="21" t="s">
        <v>21</v>
      </c>
      <c r="D10" s="21" t="s">
        <v>21</v>
      </c>
      <c r="E10" s="21" t="s">
        <v>21</v>
      </c>
      <c r="F10" s="21" t="s">
        <v>21</v>
      </c>
      <c r="H10" s="27"/>
      <c r="I10" s="46"/>
      <c r="J10" s="46"/>
    </row>
    <row r="11" spans="2:18" hidden="1">
      <c r="C11" s="5"/>
      <c r="D11" s="5"/>
      <c r="H11" s="27"/>
      <c r="I11" s="46"/>
      <c r="J11" s="46"/>
    </row>
    <row r="12" spans="2:18" hidden="1">
      <c r="C12" s="22"/>
      <c r="D12" s="22"/>
      <c r="H12" s="27"/>
      <c r="I12" s="46"/>
      <c r="J12" s="46"/>
    </row>
    <row r="13" spans="2:18" ht="6" customHeight="1">
      <c r="H13" s="49"/>
      <c r="I13" s="50"/>
      <c r="J13" s="50"/>
    </row>
    <row r="14" spans="2:18">
      <c r="B14" s="23"/>
      <c r="C14" s="24"/>
      <c r="D14" s="24"/>
      <c r="E14" s="24"/>
      <c r="F14" s="24"/>
      <c r="H14" s="51"/>
      <c r="I14" s="30"/>
      <c r="J14" s="30"/>
    </row>
    <row r="15" spans="2:18" ht="13.5" thickBot="1">
      <c r="B15" s="23"/>
      <c r="C15" s="24"/>
      <c r="D15" s="24"/>
      <c r="E15" s="24"/>
      <c r="F15" s="24"/>
      <c r="H15" s="27"/>
      <c r="I15" s="31" t="s">
        <v>55</v>
      </c>
      <c r="J15" s="31"/>
      <c r="K15" s="3" t="s">
        <v>56</v>
      </c>
      <c r="L15" s="3" t="s">
        <v>57</v>
      </c>
      <c r="P15" s="3" t="s">
        <v>56</v>
      </c>
      <c r="R15" s="3" t="s">
        <v>82</v>
      </c>
    </row>
    <row r="16" spans="2:18" ht="13.5" thickBot="1">
      <c r="B16" s="23"/>
      <c r="C16" s="24"/>
      <c r="D16" s="24"/>
      <c r="E16" s="24"/>
      <c r="F16" s="24"/>
      <c r="H16" s="27" t="s">
        <v>28</v>
      </c>
      <c r="I16" s="31" t="s">
        <v>27</v>
      </c>
      <c r="J16" s="3" t="s">
        <v>81</v>
      </c>
      <c r="K16" s="31" t="s">
        <v>27</v>
      </c>
      <c r="L16" s="31" t="s">
        <v>27</v>
      </c>
      <c r="M16" s="50" t="s">
        <v>0</v>
      </c>
      <c r="O16" s="52" t="s">
        <v>55</v>
      </c>
      <c r="P16" s="52" t="s">
        <v>72</v>
      </c>
      <c r="Q16" s="52" t="s">
        <v>57</v>
      </c>
      <c r="R16" s="3" t="s">
        <v>81</v>
      </c>
    </row>
    <row r="17" spans="2:18" ht="13.5" hidden="1" thickBot="1">
      <c r="B17" s="23">
        <v>2026</v>
      </c>
      <c r="C17" s="24">
        <f>ROUND(SUMIF($M$17:$M$379,$B17,$I$17:$I$379)/COUNTIF($M$17:$M$379,$B17),2)</f>
        <v>2.2999999999999998</v>
      </c>
      <c r="D17" s="24">
        <f>ROUND(SUMIF($M$17:$M$379,$B17,$J$17:$J$379)/COUNTIF($M$17:$M$379,$B17),2)</f>
        <v>2.25</v>
      </c>
      <c r="E17" s="24">
        <f>ROUND(SUMIF($M$17:$M$379,$B17,$K$17:$K$379)/COUNTIF($M$17:$M$379,$B17),2)</f>
        <v>1.93</v>
      </c>
      <c r="F17" s="24">
        <f>ROUND(SUMIF($M$17:$M$379,$B17,$L$17:$L$379)/COUNTIF($M$17:$M$379,$B17),2)</f>
        <v>2.2000000000000002</v>
      </c>
      <c r="H17" s="28">
        <v>45658</v>
      </c>
      <c r="I17" s="32">
        <v>4.1297460368663588</v>
      </c>
      <c r="J17" s="32">
        <v>4.10123008624997</v>
      </c>
      <c r="K17" s="32">
        <v>3.6667413638174002</v>
      </c>
      <c r="L17" s="32">
        <v>4.1264797373966609</v>
      </c>
      <c r="M17" s="53">
        <f t="shared" ref="M17:M64" si="0">YEAR(H17)</f>
        <v>2025</v>
      </c>
      <c r="O17" s="54">
        <v>47</v>
      </c>
      <c r="P17" s="54">
        <v>43</v>
      </c>
      <c r="Q17" s="54">
        <v>46</v>
      </c>
      <c r="R17" s="54">
        <v>42</v>
      </c>
    </row>
    <row r="18" spans="2:18">
      <c r="B18" s="23">
        <f t="shared" ref="B18:B37" si="1">B17+1</f>
        <v>2027</v>
      </c>
      <c r="C18" s="24">
        <f t="shared" ref="C18:C37" si="2">ROUND(SUMIF($M$17:$M$379,$B18,$I$17:$I$379)/COUNTIF($M$17:$M$379,$B18),2)</f>
        <v>3.14</v>
      </c>
      <c r="D18" s="24">
        <f t="shared" ref="D18:D37" si="3">ROUND(SUMIF($M$17:$M$379,$B18,$J$17:$J$379)/COUNTIF($M$17:$M$379,$B18),2)</f>
        <v>3.12</v>
      </c>
      <c r="E18" s="24">
        <f t="shared" ref="E18:E37" si="4">ROUND(SUMIF($M$17:$M$379,$B18,$K$17:$K$379)/COUNTIF($M$17:$M$379,$B18),2)</f>
        <v>2.88</v>
      </c>
      <c r="F18" s="24">
        <f t="shared" ref="F18:F37" si="5">ROUND(SUMIF($M$17:$M$379,$B18,$L$17:$L$379)/COUNTIF($M$17:$M$379,$B18),2)</f>
        <v>2.89</v>
      </c>
      <c r="H18" s="28">
        <v>45689</v>
      </c>
      <c r="I18" s="32">
        <v>3.443492157434402</v>
      </c>
      <c r="J18" s="32">
        <v>3.4192469869653501</v>
      </c>
      <c r="K18" s="32">
        <v>3.2332463688945383</v>
      </c>
      <c r="L18" s="32">
        <v>3.4316866475233296</v>
      </c>
      <c r="M18" s="53">
        <f t="shared" si="0"/>
        <v>2025</v>
      </c>
    </row>
    <row r="19" spans="2:18">
      <c r="B19" s="23">
        <f t="shared" si="1"/>
        <v>2028</v>
      </c>
      <c r="C19" s="24">
        <f t="shared" si="2"/>
        <v>3.55</v>
      </c>
      <c r="D19" s="24">
        <f t="shared" si="3"/>
        <v>3.53</v>
      </c>
      <c r="E19" s="24">
        <f t="shared" si="4"/>
        <v>3.33</v>
      </c>
      <c r="F19" s="24">
        <f t="shared" si="5"/>
        <v>3.22</v>
      </c>
      <c r="H19" s="28">
        <v>45717</v>
      </c>
      <c r="I19" s="32">
        <v>2.6847822448979595</v>
      </c>
      <c r="J19" s="32">
        <v>2.6654832161574844</v>
      </c>
      <c r="K19" s="32">
        <v>2.0537251310910474</v>
      </c>
      <c r="L19" s="32">
        <v>2.7210655697844066</v>
      </c>
      <c r="M19" s="53">
        <f t="shared" si="0"/>
        <v>2025</v>
      </c>
    </row>
    <row r="20" spans="2:18">
      <c r="B20" s="23">
        <f t="shared" si="1"/>
        <v>2029</v>
      </c>
      <c r="C20" s="24">
        <f t="shared" si="2"/>
        <v>4.13</v>
      </c>
      <c r="D20" s="24">
        <f t="shared" si="3"/>
        <v>4.09</v>
      </c>
      <c r="E20" s="24">
        <f t="shared" si="4"/>
        <v>4</v>
      </c>
      <c r="F20" s="24">
        <f t="shared" si="5"/>
        <v>3.79</v>
      </c>
      <c r="H20" s="28">
        <v>45748</v>
      </c>
      <c r="I20" s="32">
        <v>1.9317602668759815</v>
      </c>
      <c r="J20" s="32">
        <v>1.9170211999819962</v>
      </c>
      <c r="K20" s="32">
        <v>1.5165075335729228</v>
      </c>
      <c r="L20" s="32">
        <v>1.9378484087102179</v>
      </c>
      <c r="M20" s="53">
        <f t="shared" si="0"/>
        <v>2025</v>
      </c>
    </row>
    <row r="21" spans="2:18">
      <c r="B21" s="23">
        <f t="shared" si="1"/>
        <v>2030</v>
      </c>
      <c r="C21" s="24">
        <f t="shared" si="2"/>
        <v>5.54</v>
      </c>
      <c r="D21" s="24">
        <f t="shared" si="3"/>
        <v>5.47</v>
      </c>
      <c r="E21" s="24">
        <f t="shared" si="4"/>
        <v>5.42</v>
      </c>
      <c r="F21" s="24">
        <f t="shared" si="5"/>
        <v>5.18</v>
      </c>
      <c r="H21" s="28">
        <v>45778</v>
      </c>
      <c r="I21" s="32">
        <v>2.1744269916855625</v>
      </c>
      <c r="J21" s="32">
        <v>2.1585423036028977</v>
      </c>
      <c r="K21" s="32">
        <v>1.6603227595179564</v>
      </c>
      <c r="L21" s="32">
        <v>2.1165915869670937</v>
      </c>
      <c r="M21" s="53">
        <f t="shared" si="0"/>
        <v>2025</v>
      </c>
    </row>
    <row r="22" spans="2:18">
      <c r="B22" s="23">
        <f t="shared" si="1"/>
        <v>2031</v>
      </c>
      <c r="C22" s="24">
        <f t="shared" si="2"/>
        <v>6.52</v>
      </c>
      <c r="D22" s="24">
        <f t="shared" si="3"/>
        <v>6.44</v>
      </c>
      <c r="E22" s="24">
        <f t="shared" si="4"/>
        <v>6.38</v>
      </c>
      <c r="F22" s="24">
        <f t="shared" si="5"/>
        <v>6.15</v>
      </c>
      <c r="H22" s="28">
        <v>45809</v>
      </c>
      <c r="I22" s="32">
        <v>2.5624036382828996</v>
      </c>
      <c r="J22" s="32">
        <v>2.5442136000511963</v>
      </c>
      <c r="K22" s="32">
        <v>1.5135007600229307</v>
      </c>
      <c r="L22" s="32">
        <v>2.5326557788944721</v>
      </c>
      <c r="M22" s="53">
        <f t="shared" si="0"/>
        <v>2025</v>
      </c>
    </row>
    <row r="23" spans="2:18">
      <c r="B23" s="23">
        <f t="shared" si="1"/>
        <v>2032</v>
      </c>
      <c r="C23" s="24">
        <f t="shared" si="2"/>
        <v>6.43</v>
      </c>
      <c r="D23" s="24">
        <f t="shared" si="3"/>
        <v>6.35</v>
      </c>
      <c r="E23" s="24">
        <f t="shared" si="4"/>
        <v>6.24</v>
      </c>
      <c r="F23" s="24">
        <f t="shared" si="5"/>
        <v>6.05</v>
      </c>
      <c r="H23" s="28">
        <v>45839</v>
      </c>
      <c r="I23" s="32">
        <v>2.829607317784256</v>
      </c>
      <c r="J23" s="32">
        <v>2.8097874915247272</v>
      </c>
      <c r="K23" s="32">
        <v>1.2723242666752659</v>
      </c>
      <c r="L23" s="32">
        <v>2.7602939698492475</v>
      </c>
      <c r="M23" s="53">
        <f t="shared" si="0"/>
        <v>2025</v>
      </c>
    </row>
    <row r="24" spans="2:18">
      <c r="B24" s="23">
        <f t="shared" si="1"/>
        <v>2033</v>
      </c>
      <c r="C24" s="24">
        <f t="shared" si="2"/>
        <v>6.29</v>
      </c>
      <c r="D24" s="24">
        <f t="shared" si="3"/>
        <v>6.21</v>
      </c>
      <c r="E24" s="24">
        <f t="shared" si="4"/>
        <v>6.06</v>
      </c>
      <c r="F24" s="24">
        <f t="shared" si="5"/>
        <v>5.92</v>
      </c>
      <c r="H24" s="28">
        <v>45870</v>
      </c>
      <c r="I24" s="32">
        <v>2.5406131486880477</v>
      </c>
      <c r="J24" s="32">
        <v>2.5223024728408858</v>
      </c>
      <c r="K24" s="32">
        <v>1.836322932937279</v>
      </c>
      <c r="L24" s="32">
        <v>2.4552202139730919</v>
      </c>
      <c r="M24" s="53">
        <f t="shared" si="0"/>
        <v>2025</v>
      </c>
    </row>
    <row r="25" spans="2:18">
      <c r="B25" s="23">
        <f t="shared" si="1"/>
        <v>2034</v>
      </c>
      <c r="C25" s="24">
        <f t="shared" si="2"/>
        <v>6.58</v>
      </c>
      <c r="D25" s="24">
        <f t="shared" si="3"/>
        <v>6.49</v>
      </c>
      <c r="E25" s="24">
        <f t="shared" si="4"/>
        <v>6.31</v>
      </c>
      <c r="F25" s="24">
        <f t="shared" si="5"/>
        <v>6.2</v>
      </c>
      <c r="H25" s="28">
        <v>45901</v>
      </c>
      <c r="I25" s="32">
        <v>2.6151393877551019</v>
      </c>
      <c r="J25" s="32">
        <v>2.5965194443638895</v>
      </c>
      <c r="K25" s="32">
        <v>1.5369535937128642</v>
      </c>
      <c r="L25" s="32">
        <v>2.5551013400334996</v>
      </c>
      <c r="M25" s="53">
        <f t="shared" si="0"/>
        <v>2025</v>
      </c>
    </row>
    <row r="26" spans="2:18">
      <c r="B26" s="23">
        <f t="shared" si="1"/>
        <v>2035</v>
      </c>
      <c r="C26" s="24">
        <f t="shared" si="2"/>
        <v>6.88</v>
      </c>
      <c r="D26" s="24">
        <f t="shared" si="3"/>
        <v>6.79</v>
      </c>
      <c r="E26" s="24">
        <f t="shared" si="4"/>
        <v>6.54</v>
      </c>
      <c r="F26" s="24">
        <f t="shared" si="5"/>
        <v>6.5</v>
      </c>
      <c r="H26" s="28">
        <v>45931</v>
      </c>
      <c r="I26" s="32">
        <v>2.2420762736205591</v>
      </c>
      <c r="J26" s="32">
        <v>2.2255480041596671</v>
      </c>
      <c r="K26" s="32">
        <v>2.1810072593409204</v>
      </c>
      <c r="L26" s="32">
        <v>2.2830691360025925</v>
      </c>
      <c r="M26" s="53">
        <f t="shared" si="0"/>
        <v>2025</v>
      </c>
    </row>
    <row r="27" spans="2:18">
      <c r="B27" s="23">
        <f t="shared" si="1"/>
        <v>2036</v>
      </c>
      <c r="C27" s="24">
        <f t="shared" si="2"/>
        <v>7.18</v>
      </c>
      <c r="D27" s="24">
        <f t="shared" si="3"/>
        <v>7.09</v>
      </c>
      <c r="E27" s="24">
        <f t="shared" si="4"/>
        <v>6.8</v>
      </c>
      <c r="F27" s="24">
        <f t="shared" si="5"/>
        <v>6.8</v>
      </c>
      <c r="H27" s="28">
        <v>45962</v>
      </c>
      <c r="I27" s="32">
        <v>3.0975373469387759</v>
      </c>
      <c r="J27" s="32">
        <v>3.0762166770081238</v>
      </c>
      <c r="K27" s="32">
        <v>2.6906096509367732</v>
      </c>
      <c r="L27" s="32">
        <v>3.0824045226130639</v>
      </c>
      <c r="M27" s="53">
        <f t="shared" si="0"/>
        <v>2025</v>
      </c>
    </row>
    <row r="28" spans="2:18">
      <c r="B28" s="23">
        <f t="shared" si="1"/>
        <v>2037</v>
      </c>
      <c r="C28" s="24">
        <f t="shared" si="2"/>
        <v>7.36</v>
      </c>
      <c r="D28" s="24">
        <f t="shared" si="3"/>
        <v>7.26</v>
      </c>
      <c r="E28" s="24">
        <f t="shared" si="4"/>
        <v>6.95</v>
      </c>
      <c r="F28" s="24">
        <f t="shared" si="5"/>
        <v>6.98</v>
      </c>
      <c r="H28" s="28">
        <v>45992</v>
      </c>
      <c r="I28" s="32">
        <v>3.0588112113232389</v>
      </c>
      <c r="J28" s="32">
        <v>3.0371015940810375</v>
      </c>
      <c r="K28" s="32">
        <v>2.9402106526641383</v>
      </c>
      <c r="L28" s="32">
        <v>3.0579110876965463</v>
      </c>
      <c r="M28" s="53">
        <f t="shared" si="0"/>
        <v>2025</v>
      </c>
    </row>
    <row r="29" spans="2:18">
      <c r="B29" s="23">
        <f t="shared" si="1"/>
        <v>2038</v>
      </c>
      <c r="C29" s="24">
        <f t="shared" si="2"/>
        <v>7.49</v>
      </c>
      <c r="D29" s="24">
        <f t="shared" si="3"/>
        <v>7.39</v>
      </c>
      <c r="E29" s="24">
        <f t="shared" si="4"/>
        <v>7.01</v>
      </c>
      <c r="F29" s="24">
        <f t="shared" si="5"/>
        <v>7.1</v>
      </c>
      <c r="H29" s="28">
        <v>46023</v>
      </c>
      <c r="I29" s="32">
        <v>4.2351223809523812</v>
      </c>
      <c r="J29" s="32">
        <v>4.2064705397694402</v>
      </c>
      <c r="K29" s="32">
        <v>2.2547494198619118</v>
      </c>
      <c r="L29" s="32">
        <v>4.1929410763494888</v>
      </c>
      <c r="M29" s="53">
        <f t="shared" si="0"/>
        <v>2026</v>
      </c>
    </row>
    <row r="30" spans="2:18">
      <c r="B30" s="23">
        <f t="shared" si="1"/>
        <v>2039</v>
      </c>
      <c r="C30" s="24">
        <f t="shared" si="2"/>
        <v>7.74</v>
      </c>
      <c r="D30" s="24">
        <f t="shared" si="3"/>
        <v>7.64</v>
      </c>
      <c r="E30" s="24">
        <f t="shared" si="4"/>
        <v>7.24</v>
      </c>
      <c r="F30" s="24">
        <f t="shared" si="5"/>
        <v>7.35</v>
      </c>
      <c r="H30" s="28">
        <v>46054</v>
      </c>
      <c r="I30" s="32">
        <v>1.7319396793002917</v>
      </c>
      <c r="J30" s="32">
        <v>1.7178805795973937</v>
      </c>
      <c r="K30" s="32">
        <v>1.6646310166815885</v>
      </c>
      <c r="L30" s="32">
        <v>1.7439623115577882</v>
      </c>
      <c r="M30" s="53">
        <f t="shared" si="0"/>
        <v>2026</v>
      </c>
    </row>
    <row r="31" spans="2:18">
      <c r="B31" s="23">
        <f t="shared" si="1"/>
        <v>2040</v>
      </c>
      <c r="C31" s="24">
        <f t="shared" si="2"/>
        <v>8.02</v>
      </c>
      <c r="D31" s="24">
        <f t="shared" si="3"/>
        <v>7.91</v>
      </c>
      <c r="E31" s="24">
        <f t="shared" si="4"/>
        <v>7.47</v>
      </c>
      <c r="F31" s="24">
        <f t="shared" si="5"/>
        <v>7.63</v>
      </c>
      <c r="H31" s="28">
        <v>46082</v>
      </c>
      <c r="I31" s="32">
        <v>1.3282318828176434</v>
      </c>
      <c r="J31" s="32">
        <v>1.3170340531571356</v>
      </c>
      <c r="K31" s="32">
        <v>1.3848912174592822</v>
      </c>
      <c r="L31" s="32">
        <v>1.3482336683417087</v>
      </c>
      <c r="M31" s="53">
        <f t="shared" si="0"/>
        <v>2026</v>
      </c>
    </row>
    <row r="32" spans="2:18">
      <c r="B32" s="23">
        <f t="shared" si="1"/>
        <v>2041</v>
      </c>
      <c r="C32" s="24">
        <f t="shared" si="2"/>
        <v>8.24</v>
      </c>
      <c r="D32" s="24">
        <f t="shared" si="3"/>
        <v>8.1300000000000008</v>
      </c>
      <c r="E32" s="24">
        <f t="shared" si="4"/>
        <v>7.59</v>
      </c>
      <c r="F32" s="24">
        <f t="shared" si="5"/>
        <v>7.84</v>
      </c>
      <c r="H32" s="28">
        <v>46113</v>
      </c>
      <c r="I32" s="32">
        <v>0.87304755102040832</v>
      </c>
      <c r="J32" s="32">
        <v>0.86459552289815456</v>
      </c>
      <c r="K32" s="32">
        <v>0.95638857511734976</v>
      </c>
      <c r="L32" s="32">
        <v>0.91389530988274681</v>
      </c>
      <c r="M32" s="53">
        <f t="shared" si="0"/>
        <v>2026</v>
      </c>
    </row>
    <row r="33" spans="2:13">
      <c r="B33" s="23">
        <f t="shared" si="1"/>
        <v>2042</v>
      </c>
      <c r="C33" s="24">
        <f t="shared" si="2"/>
        <v>8.6</v>
      </c>
      <c r="D33" s="24">
        <f t="shared" si="3"/>
        <v>8.48</v>
      </c>
      <c r="E33" s="24">
        <f t="shared" si="4"/>
        <v>7.87</v>
      </c>
      <c r="F33" s="24">
        <f t="shared" si="5"/>
        <v>8.1999999999999993</v>
      </c>
      <c r="H33" s="28">
        <v>46143</v>
      </c>
      <c r="I33" s="32">
        <v>1.2256973206056616</v>
      </c>
      <c r="J33" s="32">
        <v>1.2156539423850208</v>
      </c>
      <c r="K33" s="32">
        <v>1.2773955990222563</v>
      </c>
      <c r="L33" s="32">
        <v>1.2587540119954612</v>
      </c>
      <c r="M33" s="53">
        <f t="shared" si="0"/>
        <v>2026</v>
      </c>
    </row>
    <row r="34" spans="2:13">
      <c r="B34" s="23">
        <f t="shared" si="1"/>
        <v>2043</v>
      </c>
      <c r="C34" s="24">
        <f t="shared" si="2"/>
        <v>8.9499999999999993</v>
      </c>
      <c r="D34" s="24">
        <f t="shared" si="3"/>
        <v>8.82</v>
      </c>
      <c r="E34" s="24">
        <f t="shared" si="4"/>
        <v>8.1199999999999992</v>
      </c>
      <c r="F34" s="24">
        <f t="shared" si="5"/>
        <v>8.5399999999999991</v>
      </c>
      <c r="H34" s="28">
        <v>46174</v>
      </c>
      <c r="I34" s="32">
        <v>1.7123332653061223</v>
      </c>
      <c r="J34" s="32">
        <v>1.6996877761413838</v>
      </c>
      <c r="K34" s="32">
        <v>1.4171980986074861</v>
      </c>
      <c r="L34" s="32">
        <v>1.7207629815745398</v>
      </c>
      <c r="M34" s="53">
        <f t="shared" si="0"/>
        <v>2026</v>
      </c>
    </row>
    <row r="35" spans="2:13">
      <c r="B35" s="23">
        <f t="shared" si="1"/>
        <v>2044</v>
      </c>
      <c r="C35" s="24">
        <f t="shared" si="2"/>
        <v>9.33</v>
      </c>
      <c r="D35" s="24">
        <f t="shared" si="3"/>
        <v>9.19</v>
      </c>
      <c r="E35" s="24">
        <f t="shared" si="4"/>
        <v>8.44</v>
      </c>
      <c r="F35" s="24">
        <f t="shared" si="5"/>
        <v>8.91</v>
      </c>
      <c r="H35" s="28">
        <v>46204</v>
      </c>
      <c r="I35" s="32">
        <v>2.1909046938775507</v>
      </c>
      <c r="J35" s="32">
        <v>1.8122</v>
      </c>
      <c r="K35" s="32">
        <v>1.6836841429524534</v>
      </c>
      <c r="L35" s="32">
        <v>2.0849170854271355</v>
      </c>
      <c r="M35" s="53">
        <f t="shared" si="0"/>
        <v>2026</v>
      </c>
    </row>
    <row r="36" spans="2:13">
      <c r="B36" s="23">
        <f t="shared" si="1"/>
        <v>2045</v>
      </c>
      <c r="C36" s="24">
        <f t="shared" si="2"/>
        <v>9.74</v>
      </c>
      <c r="D36" s="24">
        <f t="shared" si="3"/>
        <v>9.6</v>
      </c>
      <c r="E36" s="24">
        <f t="shared" si="4"/>
        <v>8.76</v>
      </c>
      <c r="F36" s="24">
        <f t="shared" si="5"/>
        <v>9.32</v>
      </c>
      <c r="H36" s="28">
        <v>46235</v>
      </c>
      <c r="I36" s="32">
        <v>2.4557006122448977</v>
      </c>
      <c r="J36" s="32">
        <v>2.4388999999999998</v>
      </c>
      <c r="K36" s="32">
        <v>1.9585204269848258</v>
      </c>
      <c r="L36" s="32">
        <v>2.2979824120603016</v>
      </c>
      <c r="M36" s="53">
        <f t="shared" si="0"/>
        <v>2026</v>
      </c>
    </row>
    <row r="37" spans="2:13">
      <c r="B37" s="23">
        <f t="shared" si="1"/>
        <v>2046</v>
      </c>
      <c r="C37" s="24">
        <f t="shared" si="2"/>
        <v>9.93</v>
      </c>
      <c r="D37" s="24">
        <f t="shared" si="3"/>
        <v>9.7799999999999994</v>
      </c>
      <c r="E37" s="24">
        <f t="shared" si="4"/>
        <v>8.92</v>
      </c>
      <c r="F37" s="24">
        <f t="shared" si="5"/>
        <v>9.5</v>
      </c>
      <c r="H37" s="28">
        <v>46266</v>
      </c>
      <c r="I37" s="32">
        <v>2.3835577551020406</v>
      </c>
      <c r="J37" s="32">
        <v>2.3672</v>
      </c>
      <c r="K37" s="32">
        <v>1.9901173216044512</v>
      </c>
      <c r="L37" s="32">
        <v>2.2266256281407033</v>
      </c>
      <c r="M37" s="53">
        <f t="shared" si="0"/>
        <v>2026</v>
      </c>
    </row>
    <row r="38" spans="2:13">
      <c r="B38" s="23"/>
      <c r="C38" s="24"/>
      <c r="D38" s="24"/>
      <c r="E38" s="24"/>
      <c r="F38" s="24"/>
      <c r="H38" s="28">
        <v>46296</v>
      </c>
      <c r="I38" s="32">
        <v>2.3707006122448977</v>
      </c>
      <c r="J38" s="32">
        <v>2.3544</v>
      </c>
      <c r="K38" s="32">
        <v>1.9963026843358627</v>
      </c>
      <c r="L38" s="32">
        <v>2.2001934673366832</v>
      </c>
      <c r="M38" s="53">
        <f t="shared" si="0"/>
        <v>2026</v>
      </c>
    </row>
    <row r="39" spans="2:13" hidden="1">
      <c r="B39" s="23"/>
      <c r="C39" s="24"/>
      <c r="D39" s="24"/>
      <c r="E39" s="24"/>
      <c r="F39" s="24"/>
      <c r="H39" s="28">
        <v>46327</v>
      </c>
      <c r="I39" s="32">
        <v>2.7342720408163266</v>
      </c>
      <c r="J39" s="32">
        <v>2.7157</v>
      </c>
      <c r="K39" s="32">
        <v>2.5529853301628735</v>
      </c>
      <c r="L39" s="32">
        <v>2.6013994974874368</v>
      </c>
      <c r="M39" s="53">
        <f t="shared" si="0"/>
        <v>2026</v>
      </c>
    </row>
    <row r="40" spans="2:13" hidden="1">
      <c r="B40" s="23"/>
      <c r="C40" s="24"/>
      <c r="D40" s="24"/>
      <c r="E40" s="24"/>
      <c r="F40" s="24"/>
      <c r="H40" s="28">
        <v>46357</v>
      </c>
      <c r="I40" s="32">
        <v>4.3754965306122449</v>
      </c>
      <c r="J40" s="32">
        <v>4.3464</v>
      </c>
      <c r="K40" s="32">
        <v>3.9718559960591802</v>
      </c>
      <c r="L40" s="32">
        <v>3.8375804020100501</v>
      </c>
      <c r="M40" s="53">
        <f t="shared" si="0"/>
        <v>2026</v>
      </c>
    </row>
    <row r="41" spans="2:13" hidden="1">
      <c r="B41" s="23"/>
      <c r="C41" s="24"/>
      <c r="D41" s="24"/>
      <c r="E41" s="24"/>
      <c r="F41" s="24"/>
      <c r="H41" s="28">
        <v>46388</v>
      </c>
      <c r="I41" s="32">
        <v>4.8555985714285725</v>
      </c>
      <c r="J41" s="32">
        <v>4.8235000000000001</v>
      </c>
      <c r="K41" s="32">
        <v>4.5095186514871024</v>
      </c>
      <c r="L41" s="32">
        <v>4.4825050251256275</v>
      </c>
      <c r="M41" s="53">
        <f t="shared" si="0"/>
        <v>2027</v>
      </c>
    </row>
    <row r="42" spans="2:13" hidden="1">
      <c r="B42" s="23"/>
      <c r="C42" s="24"/>
      <c r="D42" s="24"/>
      <c r="E42" s="24"/>
      <c r="F42" s="24"/>
      <c r="H42" s="28">
        <v>46419</v>
      </c>
      <c r="I42" s="32">
        <v>4.3276393877551023</v>
      </c>
      <c r="J42" s="32">
        <v>4.2988999999999997</v>
      </c>
      <c r="K42" s="32">
        <v>4.0323694614481544</v>
      </c>
      <c r="L42" s="32">
        <v>4.0105452261306525</v>
      </c>
      <c r="M42" s="53">
        <f t="shared" si="0"/>
        <v>2027</v>
      </c>
    </row>
    <row r="43" spans="2:13" hidden="1">
      <c r="B43" s="23"/>
      <c r="C43" s="24"/>
      <c r="D43" s="24"/>
      <c r="E43" s="24"/>
      <c r="F43" s="24"/>
      <c r="H43" s="28">
        <v>46447</v>
      </c>
      <c r="I43" s="32">
        <v>2.5495781632653061</v>
      </c>
      <c r="J43" s="32">
        <v>2.5322</v>
      </c>
      <c r="K43" s="32">
        <v>2.4362366086074867</v>
      </c>
      <c r="L43" s="32">
        <v>2.4339623115577891</v>
      </c>
      <c r="M43" s="53">
        <f t="shared" si="0"/>
        <v>2027</v>
      </c>
    </row>
    <row r="44" spans="2:13" hidden="1">
      <c r="B44" s="23"/>
      <c r="C44" s="24"/>
      <c r="D44" s="24"/>
      <c r="E44" s="24"/>
      <c r="F44" s="24"/>
      <c r="H44" s="28">
        <v>46478</v>
      </c>
      <c r="I44" s="32">
        <v>2.0941699999999996</v>
      </c>
      <c r="J44" s="32">
        <v>2.0796999999999999</v>
      </c>
      <c r="K44" s="32">
        <v>1.9291399540106224</v>
      </c>
      <c r="L44" s="32">
        <v>2.025319095477387</v>
      </c>
      <c r="M44" s="53">
        <f t="shared" si="0"/>
        <v>2027</v>
      </c>
    </row>
    <row r="45" spans="2:13" hidden="1">
      <c r="B45" s="23"/>
      <c r="C45" s="24"/>
      <c r="D45" s="24"/>
      <c r="E45" s="24"/>
      <c r="F45" s="24"/>
      <c r="H45" s="28">
        <v>46508</v>
      </c>
      <c r="I45" s="32">
        <v>1.9196802040816328</v>
      </c>
      <c r="J45" s="32">
        <v>1.9063000000000001</v>
      </c>
      <c r="K45" s="32">
        <v>1.6963641365518463</v>
      </c>
      <c r="L45" s="32">
        <v>1.8894396984924622</v>
      </c>
      <c r="M45" s="53">
        <f t="shared" si="0"/>
        <v>2027</v>
      </c>
    </row>
    <row r="46" spans="2:13" hidden="1">
      <c r="B46" s="23"/>
      <c r="C46" s="24"/>
      <c r="D46" s="24"/>
      <c r="E46" s="24"/>
      <c r="F46" s="24"/>
      <c r="H46" s="28">
        <v>46539</v>
      </c>
      <c r="I46" s="32">
        <v>2.1520271428571429</v>
      </c>
      <c r="J46" s="32">
        <v>2.1372</v>
      </c>
      <c r="K46" s="32">
        <v>1.8612555980333843</v>
      </c>
      <c r="L46" s="32">
        <v>2.0645150753768844</v>
      </c>
      <c r="M46" s="53">
        <f t="shared" si="0"/>
        <v>2027</v>
      </c>
    </row>
    <row r="47" spans="2:13" hidden="1">
      <c r="B47" s="23"/>
      <c r="C47" s="24"/>
      <c r="D47" s="24"/>
      <c r="E47" s="24"/>
      <c r="F47" s="24"/>
      <c r="H47" s="28">
        <v>46569</v>
      </c>
      <c r="I47" s="32">
        <v>2.8777414285714285</v>
      </c>
      <c r="J47" s="32">
        <v>2.8582000000000001</v>
      </c>
      <c r="K47" s="32">
        <v>2.4430405076120389</v>
      </c>
      <c r="L47" s="32">
        <v>2.6139623115577888</v>
      </c>
      <c r="M47" s="53">
        <f t="shared" si="0"/>
        <v>2027</v>
      </c>
    </row>
    <row r="48" spans="2:13" hidden="1">
      <c r="B48" s="23"/>
      <c r="C48" s="24"/>
      <c r="D48" s="24"/>
      <c r="E48" s="24"/>
      <c r="F48" s="24"/>
      <c r="H48" s="28">
        <v>46600</v>
      </c>
      <c r="I48" s="32">
        <v>2.9113128571428573</v>
      </c>
      <c r="J48" s="32">
        <v>2.8915999999999999</v>
      </c>
      <c r="K48" s="32">
        <v>2.509326978216996</v>
      </c>
      <c r="L48" s="32">
        <v>2.6612989949748744</v>
      </c>
      <c r="M48" s="53">
        <f t="shared" si="0"/>
        <v>2027</v>
      </c>
    </row>
    <row r="49" spans="2:15" hidden="1">
      <c r="H49" s="28">
        <v>46631</v>
      </c>
      <c r="I49" s="32">
        <v>2.8592720408163266</v>
      </c>
      <c r="J49" s="32">
        <v>2.8399000000000001</v>
      </c>
      <c r="K49" s="32">
        <v>2.4606172467071326</v>
      </c>
      <c r="L49" s="32">
        <v>2.5698417085427132</v>
      </c>
      <c r="M49" s="53">
        <f t="shared" si="0"/>
        <v>2027</v>
      </c>
      <c r="N49" s="3"/>
      <c r="O49" s="3"/>
    </row>
    <row r="50" spans="2:15" hidden="1">
      <c r="H50" s="28">
        <v>46661</v>
      </c>
      <c r="I50" s="32">
        <v>2.7051904081632649</v>
      </c>
      <c r="J50" s="32">
        <v>2.6867999999999999</v>
      </c>
      <c r="K50" s="32">
        <v>2.4370097789489127</v>
      </c>
      <c r="L50" s="32">
        <v>2.6140628140703517</v>
      </c>
      <c r="M50" s="53">
        <f t="shared" si="0"/>
        <v>2027</v>
      </c>
      <c r="N50" s="3"/>
      <c r="O50" s="3"/>
    </row>
    <row r="51" spans="2:15">
      <c r="H51" s="28">
        <v>46692</v>
      </c>
      <c r="I51" s="32">
        <v>3.4822312244897957</v>
      </c>
      <c r="J51" s="32">
        <v>3.4588999999999999</v>
      </c>
      <c r="K51" s="32">
        <v>3.2838890262579667</v>
      </c>
      <c r="L51" s="32">
        <v>3.1155703517587936</v>
      </c>
      <c r="M51" s="53">
        <f t="shared" si="0"/>
        <v>2027</v>
      </c>
      <c r="N51" s="3"/>
      <c r="O51" s="3"/>
    </row>
    <row r="52" spans="2:15">
      <c r="H52" s="28">
        <v>46722</v>
      </c>
      <c r="I52" s="32">
        <v>4.9725373469387755</v>
      </c>
      <c r="J52" s="32">
        <v>4.9396000000000004</v>
      </c>
      <c r="K52" s="32">
        <v>5.0137288034759742</v>
      </c>
      <c r="L52" s="32">
        <v>4.2190879396984924</v>
      </c>
      <c r="M52" s="53">
        <f t="shared" si="0"/>
        <v>2027</v>
      </c>
      <c r="N52" s="3"/>
      <c r="O52" s="3"/>
    </row>
    <row r="53" spans="2:15">
      <c r="B53" s="55" t="str">
        <f>"Official Forward Price Curve Forecast dated   "&amp;TEXT(H5,"MMM dd, YYYY")</f>
        <v>Official Forward Price Curve Forecast dated   Jun 30, 2026</v>
      </c>
      <c r="H53" s="28">
        <v>46753</v>
      </c>
      <c r="I53" s="32">
        <v>5.3914148979591836</v>
      </c>
      <c r="J53" s="32">
        <v>5.3559000000000001</v>
      </c>
      <c r="K53" s="32">
        <v>5.2996987404248861</v>
      </c>
      <c r="L53" s="32">
        <v>4.8577814070351755</v>
      </c>
      <c r="M53" s="53">
        <f t="shared" si="0"/>
        <v>2028</v>
      </c>
      <c r="N53" s="3"/>
      <c r="O53" s="3"/>
    </row>
    <row r="54" spans="2:15">
      <c r="H54" s="28">
        <v>46784</v>
      </c>
      <c r="I54" s="32">
        <v>4.9021291836734697</v>
      </c>
      <c r="J54" s="32">
        <v>4.8696999999999999</v>
      </c>
      <c r="K54" s="32">
        <v>4.8717231841006576</v>
      </c>
      <c r="L54" s="32">
        <v>4.3909472361809039</v>
      </c>
      <c r="M54" s="53">
        <f t="shared" si="0"/>
        <v>2028</v>
      </c>
      <c r="N54" s="3"/>
      <c r="O54" s="3"/>
    </row>
    <row r="55" spans="2:15">
      <c r="H55" s="28">
        <v>46813</v>
      </c>
      <c r="I55" s="32">
        <v>3.0352924489795914</v>
      </c>
      <c r="J55" s="32">
        <v>3.0148000000000001</v>
      </c>
      <c r="K55" s="32">
        <v>2.865861594993425</v>
      </c>
      <c r="L55" s="32">
        <v>2.8663241206030148</v>
      </c>
      <c r="M55" s="53">
        <f t="shared" si="0"/>
        <v>2028</v>
      </c>
      <c r="N55" s="3"/>
      <c r="O55" s="3"/>
    </row>
    <row r="56" spans="2:15">
      <c r="H56" s="28">
        <v>46844</v>
      </c>
      <c r="I56" s="32">
        <v>2.5296802040816324</v>
      </c>
      <c r="J56" s="32">
        <v>2.5124</v>
      </c>
      <c r="K56" s="32">
        <v>2.3698985933131009</v>
      </c>
      <c r="L56" s="32">
        <v>2.375871859296482</v>
      </c>
      <c r="M56" s="53">
        <f t="shared" si="0"/>
        <v>2028</v>
      </c>
      <c r="N56" s="3"/>
      <c r="O56" s="3"/>
    </row>
    <row r="57" spans="2:15">
      <c r="H57" s="28">
        <v>46874</v>
      </c>
      <c r="I57" s="32">
        <v>2.4465169387755101</v>
      </c>
      <c r="J57" s="32">
        <v>2.4298000000000002</v>
      </c>
      <c r="K57" s="32">
        <v>2.137689767438038</v>
      </c>
      <c r="L57" s="32">
        <v>2.3014999999999999</v>
      </c>
      <c r="M57" s="53">
        <f t="shared" si="0"/>
        <v>2028</v>
      </c>
      <c r="N57" s="3"/>
      <c r="O57" s="3"/>
    </row>
    <row r="58" spans="2:15">
      <c r="H58" s="28">
        <v>46905</v>
      </c>
      <c r="I58" s="32">
        <v>2.5975373469387755</v>
      </c>
      <c r="J58" s="32">
        <v>2.5798000000000001</v>
      </c>
      <c r="K58" s="32">
        <v>2.3211888618032375</v>
      </c>
      <c r="L58" s="32">
        <v>2.4477311557788943</v>
      </c>
      <c r="M58" s="53">
        <f t="shared" si="0"/>
        <v>2028</v>
      </c>
      <c r="N58" s="3"/>
      <c r="O58" s="3"/>
    </row>
    <row r="59" spans="2:15">
      <c r="H59" s="28">
        <v>46935</v>
      </c>
      <c r="I59" s="32">
        <v>3.2572312244897961</v>
      </c>
      <c r="J59" s="32">
        <v>3.2353000000000001</v>
      </c>
      <c r="K59" s="32">
        <v>2.8278731588846746</v>
      </c>
      <c r="L59" s="32">
        <v>2.9115502512562812</v>
      </c>
      <c r="M59" s="53">
        <f t="shared" si="0"/>
        <v>2028</v>
      </c>
      <c r="N59" s="3"/>
      <c r="O59" s="3"/>
    </row>
    <row r="60" spans="2:15">
      <c r="H60" s="28">
        <v>46966</v>
      </c>
      <c r="I60" s="32">
        <v>3.3210067346938774</v>
      </c>
      <c r="J60" s="32">
        <v>3.2987000000000002</v>
      </c>
      <c r="K60" s="32">
        <v>2.8858609344916539</v>
      </c>
      <c r="L60" s="32">
        <v>2.9743643216080402</v>
      </c>
      <c r="M60" s="53">
        <f t="shared" si="0"/>
        <v>2028</v>
      </c>
      <c r="N60" s="3"/>
      <c r="O60" s="3"/>
    </row>
    <row r="61" spans="2:15">
      <c r="H61" s="28">
        <v>46997</v>
      </c>
      <c r="I61" s="32">
        <v>3.2704965306122449</v>
      </c>
      <c r="J61" s="32">
        <v>3.2484999999999999</v>
      </c>
      <c r="K61" s="32">
        <v>2.8728201280662624</v>
      </c>
      <c r="L61" s="32">
        <v>2.94471608040201</v>
      </c>
      <c r="M61" s="53">
        <f t="shared" si="0"/>
        <v>2028</v>
      </c>
      <c r="N61" s="3"/>
      <c r="O61" s="3"/>
    </row>
    <row r="62" spans="2:15">
      <c r="H62" s="28">
        <v>47027</v>
      </c>
      <c r="I62" s="32">
        <v>3.0546802040816328</v>
      </c>
      <c r="J62" s="32">
        <v>3.0339999999999998</v>
      </c>
      <c r="K62" s="32">
        <v>2.7295258914552356</v>
      </c>
      <c r="L62" s="32">
        <v>2.8854195979899493</v>
      </c>
      <c r="M62" s="53">
        <f t="shared" si="0"/>
        <v>2028</v>
      </c>
      <c r="N62" s="3"/>
      <c r="O62" s="3"/>
    </row>
    <row r="63" spans="2:15">
      <c r="H63" s="28">
        <v>47058</v>
      </c>
      <c r="I63" s="32">
        <v>3.6255985714285712</v>
      </c>
      <c r="J63" s="32">
        <v>3.6013000000000002</v>
      </c>
      <c r="K63" s="32">
        <v>3.4751198240374306</v>
      </c>
      <c r="L63" s="32">
        <v>3.2542638190954771</v>
      </c>
      <c r="M63" s="53">
        <f t="shared" si="0"/>
        <v>2028</v>
      </c>
      <c r="N63" s="3"/>
      <c r="O63" s="3"/>
    </row>
    <row r="64" spans="2:15">
      <c r="H64" s="28">
        <v>47088</v>
      </c>
      <c r="I64" s="32">
        <v>5.1567210204081633</v>
      </c>
      <c r="J64" s="32">
        <v>5.1227</v>
      </c>
      <c r="K64" s="32">
        <v>5.3222237697051096</v>
      </c>
      <c r="L64" s="32">
        <v>4.4155703517587943</v>
      </c>
      <c r="M64" s="53">
        <f t="shared" si="0"/>
        <v>2028</v>
      </c>
      <c r="N64" s="3"/>
      <c r="O64" s="3"/>
    </row>
    <row r="65" spans="8:15">
      <c r="H65" s="28">
        <v>47119</v>
      </c>
      <c r="I65" s="32">
        <v>5.5521291836734701</v>
      </c>
      <c r="J65" s="32">
        <v>5.5155000000000003</v>
      </c>
      <c r="K65" s="32">
        <v>5.5438659342473455</v>
      </c>
      <c r="L65" s="32">
        <v>4.9055201005025122</v>
      </c>
      <c r="M65" s="53">
        <f t="shared" ref="M65:M112" si="6">YEAR(H65)</f>
        <v>2029</v>
      </c>
      <c r="N65" s="3"/>
      <c r="O65" s="3"/>
    </row>
    <row r="66" spans="8:15">
      <c r="H66" s="28">
        <v>47150</v>
      </c>
      <c r="I66" s="32">
        <v>5.0005985714285712</v>
      </c>
      <c r="J66" s="32">
        <v>4.9675000000000002</v>
      </c>
      <c r="K66" s="32">
        <v>5.0401712291527572</v>
      </c>
      <c r="L66" s="32">
        <v>4.5959723618090456</v>
      </c>
      <c r="M66" s="53">
        <f t="shared" si="6"/>
        <v>2029</v>
      </c>
      <c r="N66" s="3"/>
      <c r="O66" s="3"/>
    </row>
    <row r="67" spans="8:15">
      <c r="H67" s="28">
        <v>47178</v>
      </c>
      <c r="I67" s="32">
        <v>3.064374081632653</v>
      </c>
      <c r="J67" s="32">
        <v>3.0436999999999999</v>
      </c>
      <c r="K67" s="32">
        <v>3.183273792493678</v>
      </c>
      <c r="L67" s="32">
        <v>2.9251180904522611</v>
      </c>
      <c r="M67" s="53">
        <f t="shared" si="6"/>
        <v>2029</v>
      </c>
      <c r="N67" s="3"/>
      <c r="O67" s="3"/>
    </row>
    <row r="68" spans="8:15">
      <c r="H68" s="28">
        <v>47209</v>
      </c>
      <c r="I68" s="32">
        <v>2.4327414285714282</v>
      </c>
      <c r="J68" s="32">
        <v>2.4161000000000001</v>
      </c>
      <c r="K68" s="32">
        <v>2.2771181523419326</v>
      </c>
      <c r="L68" s="32">
        <v>2.3909472361809043</v>
      </c>
      <c r="M68" s="53">
        <f t="shared" si="6"/>
        <v>2029</v>
      </c>
      <c r="N68" s="3"/>
      <c r="O68" s="3"/>
    </row>
    <row r="69" spans="8:15">
      <c r="H69" s="28">
        <v>47239</v>
      </c>
      <c r="I69" s="32">
        <v>2.5194761224489794</v>
      </c>
      <c r="J69" s="32">
        <v>2.5023</v>
      </c>
      <c r="K69" s="32">
        <v>2.2912929419347501</v>
      </c>
      <c r="L69" s="32">
        <v>2.3432085427135676</v>
      </c>
      <c r="M69" s="53">
        <f t="shared" si="6"/>
        <v>2029</v>
      </c>
      <c r="N69" s="3"/>
      <c r="O69" s="3"/>
    </row>
    <row r="70" spans="8:15">
      <c r="H70" s="28">
        <v>47270</v>
      </c>
      <c r="I70" s="32">
        <v>2.6118230612244897</v>
      </c>
      <c r="J70" s="32">
        <v>2.5939999999999999</v>
      </c>
      <c r="K70" s="32">
        <v>2.3691254229716745</v>
      </c>
      <c r="L70" s="32">
        <v>2.4316507537688441</v>
      </c>
      <c r="M70" s="53">
        <f t="shared" si="6"/>
        <v>2029</v>
      </c>
      <c r="N70" s="3"/>
      <c r="O70" s="3"/>
    </row>
    <row r="71" spans="8:15">
      <c r="H71" s="28">
        <v>47300</v>
      </c>
      <c r="I71" s="32">
        <v>3.1812108163265305</v>
      </c>
      <c r="J71" s="32">
        <v>3.1598000000000002</v>
      </c>
      <c r="K71" s="32">
        <v>2.8502950987860398</v>
      </c>
      <c r="L71" s="32">
        <v>2.7864246231155776</v>
      </c>
      <c r="M71" s="53">
        <f t="shared" si="6"/>
        <v>2029</v>
      </c>
      <c r="N71" s="3"/>
      <c r="O71" s="3"/>
    </row>
    <row r="72" spans="8:15">
      <c r="H72" s="28">
        <v>47331</v>
      </c>
      <c r="I72" s="32">
        <v>4.773353673469388</v>
      </c>
      <c r="J72" s="32">
        <v>4.7220000000000004</v>
      </c>
      <c r="K72" s="32">
        <v>4.4302429191461821</v>
      </c>
      <c r="L72" s="32">
        <v>4.4048165829145729</v>
      </c>
      <c r="M72" s="53">
        <f t="shared" si="6"/>
        <v>2029</v>
      </c>
      <c r="N72" s="3"/>
      <c r="O72" s="3"/>
    </row>
    <row r="73" spans="8:15">
      <c r="H73" s="28">
        <v>47362</v>
      </c>
      <c r="I73" s="32">
        <v>4.7421291836734696</v>
      </c>
      <c r="J73" s="32">
        <v>4.6906999999999996</v>
      </c>
      <c r="K73" s="32">
        <v>4.4478196582412748</v>
      </c>
      <c r="L73" s="32">
        <v>4.3941633165829144</v>
      </c>
      <c r="M73" s="53">
        <f t="shared" si="6"/>
        <v>2029</v>
      </c>
      <c r="N73" s="3"/>
      <c r="O73" s="3"/>
    </row>
    <row r="74" spans="8:15">
      <c r="H74" s="28">
        <v>47392</v>
      </c>
      <c r="I74" s="32">
        <v>4.6461087755102044</v>
      </c>
      <c r="J74" s="32">
        <v>4.5937000000000001</v>
      </c>
      <c r="K74" s="32">
        <v>4.4665819251932222</v>
      </c>
      <c r="L74" s="32">
        <v>4.4528567839195974</v>
      </c>
      <c r="M74" s="53">
        <f t="shared" si="6"/>
        <v>2029</v>
      </c>
      <c r="N74" s="3"/>
      <c r="O74" s="3"/>
    </row>
    <row r="75" spans="8:15">
      <c r="H75" s="28">
        <v>47423</v>
      </c>
      <c r="I75" s="32">
        <v>5.0448842857142857</v>
      </c>
      <c r="J75" s="32">
        <v>4.9922000000000004</v>
      </c>
      <c r="K75" s="32">
        <v>4.9718745156600912</v>
      </c>
      <c r="L75" s="32">
        <v>4.6521532663316574</v>
      </c>
      <c r="M75" s="53">
        <f t="shared" si="6"/>
        <v>2029</v>
      </c>
      <c r="N75" s="3"/>
      <c r="O75" s="3"/>
    </row>
    <row r="76" spans="8:15">
      <c r="H76" s="28">
        <v>47453</v>
      </c>
      <c r="I76" s="32">
        <v>5.977435306122449</v>
      </c>
      <c r="J76" s="32">
        <v>5.9268999999999998</v>
      </c>
      <c r="K76" s="32">
        <v>6.1785356951795647</v>
      </c>
      <c r="L76" s="32">
        <v>5.2239120603015072</v>
      </c>
      <c r="M76" s="53">
        <f t="shared" si="6"/>
        <v>2029</v>
      </c>
      <c r="N76" s="3"/>
      <c r="O76" s="3"/>
    </row>
    <row r="77" spans="8:15">
      <c r="H77" s="28">
        <v>47484</v>
      </c>
      <c r="I77" s="32">
        <v>6.2831495918367359</v>
      </c>
      <c r="J77" s="32">
        <v>6.2319000000000004</v>
      </c>
      <c r="K77" s="32">
        <v>6.3877040448801212</v>
      </c>
      <c r="L77" s="32">
        <v>5.6255201005025128</v>
      </c>
      <c r="M77" s="53">
        <f t="shared" si="6"/>
        <v>2030</v>
      </c>
      <c r="N77" s="3"/>
      <c r="O77" s="3"/>
    </row>
    <row r="78" spans="8:15">
      <c r="H78" s="28">
        <v>47515</v>
      </c>
      <c r="I78" s="32">
        <v>5.9282516326530619</v>
      </c>
      <c r="J78" s="32">
        <v>5.8765999999999998</v>
      </c>
      <c r="K78" s="32">
        <v>5.9513267041790598</v>
      </c>
      <c r="L78" s="32">
        <v>5.5096407035175874</v>
      </c>
      <c r="M78" s="53">
        <f t="shared" si="6"/>
        <v>2030</v>
      </c>
      <c r="N78" s="3"/>
      <c r="O78" s="3"/>
    </row>
    <row r="79" spans="8:15">
      <c r="H79" s="28">
        <v>47543</v>
      </c>
      <c r="I79" s="32">
        <v>4.5704965306122451</v>
      </c>
      <c r="J79" s="32">
        <v>4.5197000000000003</v>
      </c>
      <c r="K79" s="32">
        <v>4.5739495132726358</v>
      </c>
      <c r="L79" s="32">
        <v>4.408535175879396</v>
      </c>
      <c r="M79" s="53">
        <f t="shared" si="6"/>
        <v>2030</v>
      </c>
      <c r="N79" s="3"/>
      <c r="O79" s="3"/>
    </row>
    <row r="80" spans="8:15">
      <c r="H80" s="28">
        <v>47574</v>
      </c>
      <c r="I80" s="32">
        <v>4.2120271428571439</v>
      </c>
      <c r="J80" s="32">
        <v>4.1597999999999997</v>
      </c>
      <c r="K80" s="32">
        <v>3.9578873852240775</v>
      </c>
      <c r="L80" s="32">
        <v>4.1434095477386927</v>
      </c>
      <c r="M80" s="53">
        <f t="shared" si="6"/>
        <v>2030</v>
      </c>
      <c r="N80" s="3"/>
      <c r="O80" s="3"/>
    </row>
    <row r="81" spans="8:15">
      <c r="H81" s="28">
        <v>47604</v>
      </c>
      <c r="I81" s="32">
        <v>4.261516938775511</v>
      </c>
      <c r="J81" s="32">
        <v>4.2095000000000002</v>
      </c>
      <c r="K81" s="32">
        <v>3.9372695094527068</v>
      </c>
      <c r="L81" s="32">
        <v>4.0589874371859294</v>
      </c>
      <c r="M81" s="53">
        <f t="shared" si="6"/>
        <v>2030</v>
      </c>
      <c r="N81" s="3"/>
      <c r="O81" s="3"/>
    </row>
    <row r="82" spans="8:15">
      <c r="H82" s="28">
        <v>47635</v>
      </c>
      <c r="I82" s="32">
        <v>4.3442720408163273</v>
      </c>
      <c r="J82" s="32">
        <v>4.2918000000000003</v>
      </c>
      <c r="K82" s="32">
        <v>3.9946387487865458</v>
      </c>
      <c r="L82" s="32">
        <v>4.1379824120603015</v>
      </c>
      <c r="M82" s="53">
        <f t="shared" si="6"/>
        <v>2030</v>
      </c>
      <c r="N82" s="3"/>
      <c r="O82" s="3"/>
    </row>
    <row r="83" spans="8:15">
      <c r="H83" s="28">
        <v>47665</v>
      </c>
      <c r="I83" s="32">
        <v>4.8845781632653065</v>
      </c>
      <c r="J83" s="32">
        <v>4.8291000000000004</v>
      </c>
      <c r="K83" s="32">
        <v>4.5427649761684377</v>
      </c>
      <c r="L83" s="32">
        <v>4.4641130653266323</v>
      </c>
      <c r="M83" s="53">
        <f t="shared" si="6"/>
        <v>2030</v>
      </c>
      <c r="N83" s="3"/>
      <c r="O83" s="3"/>
    </row>
    <row r="84" spans="8:15">
      <c r="H84" s="28">
        <v>47696</v>
      </c>
      <c r="I84" s="32">
        <v>6.2257006122448981</v>
      </c>
      <c r="J84" s="32">
        <v>6.1452999999999998</v>
      </c>
      <c r="K84" s="32">
        <v>5.9746764484901362</v>
      </c>
      <c r="L84" s="32">
        <v>5.8352688442211047</v>
      </c>
      <c r="M84" s="53">
        <f t="shared" si="6"/>
        <v>2030</v>
      </c>
      <c r="N84" s="3"/>
      <c r="O84" s="3"/>
    </row>
    <row r="85" spans="8:15">
      <c r="H85" s="28">
        <v>47727</v>
      </c>
      <c r="I85" s="32">
        <v>6.2137618367346938</v>
      </c>
      <c r="J85" s="32">
        <v>6.1329000000000002</v>
      </c>
      <c r="K85" s="32">
        <v>6.0228191884162872</v>
      </c>
      <c r="L85" s="32">
        <v>5.8436105527638187</v>
      </c>
      <c r="M85" s="53">
        <f t="shared" si="6"/>
        <v>2030</v>
      </c>
      <c r="N85" s="3"/>
      <c r="O85" s="3"/>
    </row>
    <row r="86" spans="8:15">
      <c r="H86" s="28">
        <v>47757</v>
      </c>
      <c r="I86" s="32">
        <v>6.2376393877551024</v>
      </c>
      <c r="J86" s="32">
        <v>6.1532999999999998</v>
      </c>
      <c r="K86" s="32">
        <v>6.2035348695523513</v>
      </c>
      <c r="L86" s="32">
        <v>6.0203944723618088</v>
      </c>
      <c r="M86" s="53">
        <f t="shared" si="6"/>
        <v>2030</v>
      </c>
      <c r="N86" s="3"/>
      <c r="O86" s="3"/>
    </row>
    <row r="87" spans="8:15">
      <c r="H87" s="28">
        <v>47788</v>
      </c>
      <c r="I87" s="32">
        <v>6.4641700000000002</v>
      </c>
      <c r="J87" s="32">
        <v>6.3830999999999998</v>
      </c>
      <c r="K87" s="32">
        <v>6.468577662593324</v>
      </c>
      <c r="L87" s="32">
        <v>6.050042713567839</v>
      </c>
      <c r="M87" s="53">
        <f t="shared" si="6"/>
        <v>2030</v>
      </c>
      <c r="N87" s="3"/>
      <c r="O87" s="3"/>
    </row>
    <row r="88" spans="8:15">
      <c r="H88" s="28">
        <v>47818</v>
      </c>
      <c r="I88" s="32">
        <v>6.7981495918367356</v>
      </c>
      <c r="J88" s="32">
        <v>6.7312000000000003</v>
      </c>
      <c r="K88" s="32">
        <v>7.0348476206540216</v>
      </c>
      <c r="L88" s="32">
        <v>6.032253768844221</v>
      </c>
      <c r="M88" s="53">
        <f t="shared" si="6"/>
        <v>2030</v>
      </c>
      <c r="N88" s="3"/>
      <c r="O88" s="3"/>
    </row>
    <row r="89" spans="8:15">
      <c r="H89" s="28">
        <v>47849</v>
      </c>
      <c r="I89" s="32">
        <v>7.01417</v>
      </c>
      <c r="J89" s="32">
        <v>6.9482999999999997</v>
      </c>
      <c r="K89" s="32">
        <v>7.2315421555128996</v>
      </c>
      <c r="L89" s="32">
        <v>6.3455201005025117</v>
      </c>
      <c r="M89" s="53">
        <f t="shared" si="6"/>
        <v>2031</v>
      </c>
      <c r="N89" s="3"/>
      <c r="O89" s="3"/>
    </row>
    <row r="90" spans="8:15">
      <c r="H90" s="28">
        <v>47880</v>
      </c>
      <c r="I90" s="32">
        <v>6.8559046938775507</v>
      </c>
      <c r="J90" s="32">
        <v>6.7857000000000003</v>
      </c>
      <c r="K90" s="32">
        <v>6.8624821792053616</v>
      </c>
      <c r="L90" s="32">
        <v>6.4233090452261301</v>
      </c>
      <c r="M90" s="53">
        <f t="shared" si="6"/>
        <v>2031</v>
      </c>
      <c r="N90" s="3"/>
      <c r="O90" s="3"/>
    </row>
    <row r="91" spans="8:15">
      <c r="H91" s="28">
        <v>47908</v>
      </c>
      <c r="I91" s="32">
        <v>6.0766189795918368</v>
      </c>
      <c r="J91" s="32">
        <v>5.9957000000000003</v>
      </c>
      <c r="K91" s="32">
        <v>5.9645736893621653</v>
      </c>
      <c r="L91" s="32">
        <v>5.8919522613065318</v>
      </c>
      <c r="M91" s="53">
        <f t="shared" si="6"/>
        <v>2031</v>
      </c>
      <c r="N91" s="3"/>
      <c r="O91" s="3"/>
    </row>
    <row r="92" spans="8:15">
      <c r="H92" s="28">
        <v>47939</v>
      </c>
      <c r="I92" s="32">
        <v>5.9914148979591841</v>
      </c>
      <c r="J92" s="32">
        <v>5.9036</v>
      </c>
      <c r="K92" s="32">
        <v>5.6386050734167927</v>
      </c>
      <c r="L92" s="32">
        <v>5.8959723618090454</v>
      </c>
      <c r="M92" s="53">
        <f t="shared" si="6"/>
        <v>2031</v>
      </c>
      <c r="N92" s="3"/>
      <c r="O92" s="3"/>
    </row>
    <row r="93" spans="8:15">
      <c r="H93" s="28">
        <v>47969</v>
      </c>
      <c r="I93" s="32">
        <v>6.0035577551020411</v>
      </c>
      <c r="J93" s="32">
        <v>5.9166999999999996</v>
      </c>
      <c r="K93" s="32">
        <v>5.5832460769706618</v>
      </c>
      <c r="L93" s="32">
        <v>5.7747663316582907</v>
      </c>
      <c r="M93" s="53">
        <f t="shared" si="6"/>
        <v>2031</v>
      </c>
      <c r="N93" s="3"/>
      <c r="O93" s="3"/>
    </row>
    <row r="94" spans="8:15">
      <c r="H94" s="28">
        <v>48000</v>
      </c>
      <c r="I94" s="32">
        <v>6.0766189795918368</v>
      </c>
      <c r="J94" s="32">
        <v>5.9894999999999996</v>
      </c>
      <c r="K94" s="32">
        <v>5.6201520746014157</v>
      </c>
      <c r="L94" s="32">
        <v>5.844213567839196</v>
      </c>
      <c r="M94" s="53">
        <f t="shared" si="6"/>
        <v>2031</v>
      </c>
      <c r="N94" s="3"/>
      <c r="O94" s="3"/>
    </row>
    <row r="95" spans="8:15">
      <c r="H95" s="28">
        <v>48030</v>
      </c>
      <c r="I95" s="32">
        <v>6.5880475510204093</v>
      </c>
      <c r="J95" s="32">
        <v>6.4984000000000002</v>
      </c>
      <c r="K95" s="32">
        <v>6.2351833088614068</v>
      </c>
      <c r="L95" s="32">
        <v>6.1419020100502513</v>
      </c>
      <c r="M95" s="53">
        <f t="shared" si="6"/>
        <v>2031</v>
      </c>
      <c r="N95" s="3"/>
      <c r="O95" s="3"/>
    </row>
    <row r="96" spans="8:15">
      <c r="H96" s="28">
        <v>48061</v>
      </c>
      <c r="I96" s="32">
        <v>6.6367210204081637</v>
      </c>
      <c r="J96" s="32">
        <v>6.5480999999999998</v>
      </c>
      <c r="K96" s="32">
        <v>6.38280729938442</v>
      </c>
      <c r="L96" s="32">
        <v>6.2400929648241199</v>
      </c>
      <c r="M96" s="53">
        <f t="shared" si="6"/>
        <v>2031</v>
      </c>
      <c r="N96" s="3"/>
      <c r="O96" s="3"/>
    </row>
    <row r="97" spans="8:15">
      <c r="H97" s="28">
        <v>48092</v>
      </c>
      <c r="I97" s="32">
        <v>6.6001904081632663</v>
      </c>
      <c r="J97" s="32">
        <v>6.5115999999999996</v>
      </c>
      <c r="K97" s="32">
        <v>6.4197132970151749</v>
      </c>
      <c r="L97" s="32">
        <v>6.2242135678391959</v>
      </c>
      <c r="M97" s="53">
        <f t="shared" si="6"/>
        <v>2031</v>
      </c>
      <c r="N97" s="3"/>
      <c r="O97" s="3"/>
    </row>
    <row r="98" spans="8:15">
      <c r="H98" s="28">
        <v>48122</v>
      </c>
      <c r="I98" s="32">
        <v>6.5880475510204093</v>
      </c>
      <c r="J98" s="32">
        <v>6.4966999999999997</v>
      </c>
      <c r="K98" s="32">
        <v>6.554966562075367</v>
      </c>
      <c r="L98" s="32">
        <v>6.3655201005025122</v>
      </c>
      <c r="M98" s="53">
        <f t="shared" si="6"/>
        <v>2031</v>
      </c>
      <c r="N98" s="3"/>
      <c r="O98" s="3"/>
    </row>
    <row r="99" spans="8:15">
      <c r="H99" s="28">
        <v>48153</v>
      </c>
      <c r="I99" s="32">
        <v>6.7705985714285717</v>
      </c>
      <c r="J99" s="32">
        <v>6.6835000000000004</v>
      </c>
      <c r="K99" s="32">
        <v>6.7764025478598882</v>
      </c>
      <c r="L99" s="32">
        <v>6.3518517587939689</v>
      </c>
      <c r="M99" s="53">
        <f t="shared" si="6"/>
        <v>2031</v>
      </c>
      <c r="N99" s="3"/>
      <c r="O99" s="3"/>
    </row>
    <row r="100" spans="8:15">
      <c r="H100" s="28">
        <v>48183</v>
      </c>
      <c r="I100" s="32">
        <v>7.0507006122448983</v>
      </c>
      <c r="J100" s="32">
        <v>6.9786999999999999</v>
      </c>
      <c r="K100" s="32">
        <v>7.2684481531436518</v>
      </c>
      <c r="L100" s="32">
        <v>6.280997487437185</v>
      </c>
      <c r="M100" s="53">
        <f t="shared" si="6"/>
        <v>2031</v>
      </c>
      <c r="N100" s="3"/>
      <c r="O100" s="3"/>
    </row>
    <row r="101" spans="8:15">
      <c r="H101" s="28">
        <v>48214</v>
      </c>
      <c r="I101" s="32">
        <v>7.2433536734693886</v>
      </c>
      <c r="J101" s="32">
        <v>7.173</v>
      </c>
      <c r="K101" s="32">
        <v>7.4658127689650993</v>
      </c>
      <c r="L101" s="32">
        <v>6.5712487437185922</v>
      </c>
      <c r="M101" s="53">
        <f t="shared" si="6"/>
        <v>2032</v>
      </c>
      <c r="N101" s="3"/>
      <c r="O101" s="3"/>
    </row>
    <row r="102" spans="8:15">
      <c r="H102" s="28">
        <v>48245</v>
      </c>
      <c r="I102" s="32">
        <v>6.5216189795918371</v>
      </c>
      <c r="J102" s="32">
        <v>6.4581999999999997</v>
      </c>
      <c r="K102" s="32">
        <v>6.5104319504092061</v>
      </c>
      <c r="L102" s="32">
        <v>6.0940628140703517</v>
      </c>
      <c r="M102" s="53">
        <f t="shared" si="6"/>
        <v>2032</v>
      </c>
      <c r="N102" s="3"/>
      <c r="O102" s="3"/>
    </row>
    <row r="103" spans="8:15">
      <c r="H103" s="28">
        <v>48274</v>
      </c>
      <c r="I103" s="32">
        <v>5.97417</v>
      </c>
      <c r="J103" s="32">
        <v>5.8952</v>
      </c>
      <c r="K103" s="32">
        <v>5.8190114864162874</v>
      </c>
      <c r="L103" s="32">
        <v>5.7910477386934671</v>
      </c>
      <c r="M103" s="53">
        <f t="shared" si="6"/>
        <v>2032</v>
      </c>
      <c r="N103" s="3"/>
      <c r="O103" s="3"/>
    </row>
    <row r="104" spans="8:15">
      <c r="H104" s="28">
        <v>48305</v>
      </c>
      <c r="I104" s="32">
        <v>5.8870271428571437</v>
      </c>
      <c r="J104" s="32">
        <v>5.8013000000000003</v>
      </c>
      <c r="K104" s="32">
        <v>5.5046919702817396</v>
      </c>
      <c r="L104" s="32">
        <v>5.7931582914572859</v>
      </c>
      <c r="M104" s="53">
        <f t="shared" si="6"/>
        <v>2032</v>
      </c>
      <c r="N104" s="3"/>
      <c r="O104" s="3"/>
    </row>
    <row r="105" spans="8:15">
      <c r="H105" s="28">
        <v>48335</v>
      </c>
      <c r="I105" s="32">
        <v>5.9119251020408168</v>
      </c>
      <c r="J105" s="32">
        <v>5.8269000000000002</v>
      </c>
      <c r="K105" s="32">
        <v>5.466961257620131</v>
      </c>
      <c r="L105" s="32">
        <v>5.6845150753768845</v>
      </c>
      <c r="M105" s="53">
        <f t="shared" si="6"/>
        <v>2032</v>
      </c>
      <c r="N105" s="3"/>
      <c r="O105" s="3"/>
    </row>
    <row r="106" spans="8:15">
      <c r="H106" s="28">
        <v>48366</v>
      </c>
      <c r="I106" s="32">
        <v>5.986618979591837</v>
      </c>
      <c r="J106" s="32">
        <v>5.9013</v>
      </c>
      <c r="K106" s="32">
        <v>5.4795381618406678</v>
      </c>
      <c r="L106" s="32">
        <v>5.7555703517587933</v>
      </c>
      <c r="M106" s="53">
        <f t="shared" si="6"/>
        <v>2032</v>
      </c>
      <c r="N106" s="3"/>
      <c r="O106" s="3"/>
    </row>
    <row r="107" spans="8:15">
      <c r="H107" s="28">
        <v>48396</v>
      </c>
      <c r="I107" s="32">
        <v>6.4345781632653063</v>
      </c>
      <c r="J107" s="32">
        <v>6.3479999999999999</v>
      </c>
      <c r="K107" s="32">
        <v>6.057869577227617</v>
      </c>
      <c r="L107" s="32">
        <v>5.9907462311557786</v>
      </c>
      <c r="M107" s="53">
        <f t="shared" si="6"/>
        <v>2032</v>
      </c>
      <c r="N107" s="3"/>
      <c r="O107" s="3"/>
    </row>
    <row r="108" spans="8:15">
      <c r="H108" s="28">
        <v>48427</v>
      </c>
      <c r="I108" s="32">
        <v>6.509170000000001</v>
      </c>
      <c r="J108" s="32">
        <v>6.4230999999999998</v>
      </c>
      <c r="K108" s="32">
        <v>6.1835355300541233</v>
      </c>
      <c r="L108" s="32">
        <v>6.1144648241206028</v>
      </c>
      <c r="M108" s="53">
        <f t="shared" si="6"/>
        <v>2032</v>
      </c>
      <c r="N108" s="3"/>
      <c r="O108" s="3"/>
    </row>
    <row r="109" spans="8:15">
      <c r="H109" s="28">
        <v>48458</v>
      </c>
      <c r="I109" s="32">
        <v>6.509170000000001</v>
      </c>
      <c r="J109" s="32">
        <v>6.4223999999999997</v>
      </c>
      <c r="K109" s="32">
        <v>6.2212662427157319</v>
      </c>
      <c r="L109" s="32">
        <v>6.1345653266331652</v>
      </c>
      <c r="M109" s="53">
        <f t="shared" si="6"/>
        <v>2032</v>
      </c>
      <c r="N109" s="3"/>
      <c r="O109" s="3"/>
    </row>
    <row r="110" spans="8:15">
      <c r="H110" s="28">
        <v>48488</v>
      </c>
      <c r="I110" s="32">
        <v>6.4594761224489803</v>
      </c>
      <c r="J110" s="32">
        <v>6.3707000000000003</v>
      </c>
      <c r="K110" s="32">
        <v>6.3595090997627723</v>
      </c>
      <c r="L110" s="32">
        <v>6.2388869346733662</v>
      </c>
      <c r="M110" s="53">
        <f t="shared" si="6"/>
        <v>2032</v>
      </c>
      <c r="N110" s="3"/>
      <c r="O110" s="3"/>
    </row>
    <row r="111" spans="8:15">
      <c r="H111" s="28">
        <v>48519</v>
      </c>
      <c r="I111" s="32">
        <v>6.6585577551020414</v>
      </c>
      <c r="J111" s="32">
        <v>6.5735999999999999</v>
      </c>
      <c r="K111" s="32">
        <v>6.6486748074562474</v>
      </c>
      <c r="L111" s="32">
        <v>6.2414999999999994</v>
      </c>
      <c r="M111" s="53">
        <f t="shared" si="6"/>
        <v>2032</v>
      </c>
      <c r="N111" s="3"/>
      <c r="O111" s="3"/>
    </row>
    <row r="112" spans="8:15">
      <c r="H112" s="28">
        <v>48549</v>
      </c>
      <c r="I112" s="32">
        <v>7.0193740816326535</v>
      </c>
      <c r="J112" s="32">
        <v>6.9481000000000002</v>
      </c>
      <c r="K112" s="32">
        <v>7.1766470612716242</v>
      </c>
      <c r="L112" s="32">
        <v>6.2501432160804011</v>
      </c>
      <c r="M112" s="53">
        <f t="shared" si="6"/>
        <v>2032</v>
      </c>
      <c r="N112" s="3"/>
      <c r="O112" s="3"/>
    </row>
    <row r="113" spans="8:15">
      <c r="H113" s="28">
        <v>48580</v>
      </c>
      <c r="I113" s="32">
        <v>6.7417210204081641</v>
      </c>
      <c r="J113" s="32">
        <v>6.6813000000000002</v>
      </c>
      <c r="K113" s="32">
        <v>6.8718117679919066</v>
      </c>
      <c r="L113" s="32">
        <v>6.0771783919597988</v>
      </c>
      <c r="M113" s="53">
        <f t="shared" ref="M113:M159" si="7">YEAR(H113)</f>
        <v>2033</v>
      </c>
      <c r="N113" s="3"/>
      <c r="O113" s="3"/>
    </row>
    <row r="114" spans="8:15">
      <c r="H114" s="28">
        <v>48611</v>
      </c>
      <c r="I114" s="32">
        <v>6.6018230612244899</v>
      </c>
      <c r="J114" s="32">
        <v>6.5366999999999997</v>
      </c>
      <c r="K114" s="32">
        <v>6.589192235855843</v>
      </c>
      <c r="L114" s="32">
        <v>6.1730577889447229</v>
      </c>
      <c r="M114" s="53">
        <f t="shared" si="7"/>
        <v>2033</v>
      </c>
      <c r="N114" s="3"/>
      <c r="O114" s="3"/>
    </row>
    <row r="115" spans="8:15">
      <c r="H115" s="28">
        <v>48639</v>
      </c>
      <c r="I115" s="32">
        <v>5.813353673469388</v>
      </c>
      <c r="J115" s="32">
        <v>5.7375999999999996</v>
      </c>
      <c r="K115" s="32">
        <v>5.5741742116312594</v>
      </c>
      <c r="L115" s="32">
        <v>5.6326557788944713</v>
      </c>
      <c r="M115" s="53">
        <f t="shared" si="7"/>
        <v>2033</v>
      </c>
      <c r="N115" s="3"/>
      <c r="O115" s="3"/>
    </row>
    <row r="116" spans="8:15">
      <c r="H116" s="28">
        <v>48670</v>
      </c>
      <c r="I116" s="32">
        <v>5.7370271428571433</v>
      </c>
      <c r="J116" s="32">
        <v>5.6543000000000001</v>
      </c>
      <c r="K116" s="32">
        <v>5.2915546794951958</v>
      </c>
      <c r="L116" s="32">
        <v>5.6454195979899495</v>
      </c>
      <c r="M116" s="53">
        <f t="shared" si="7"/>
        <v>2033</v>
      </c>
      <c r="N116" s="3"/>
      <c r="O116" s="3"/>
    </row>
    <row r="117" spans="8:15">
      <c r="H117" s="28">
        <v>48700</v>
      </c>
      <c r="I117" s="32">
        <v>5.7751904081632652</v>
      </c>
      <c r="J117" s="32">
        <v>5.6928000000000001</v>
      </c>
      <c r="K117" s="32">
        <v>5.2915546794951958</v>
      </c>
      <c r="L117" s="32">
        <v>5.5498417085427132</v>
      </c>
      <c r="M117" s="53">
        <f t="shared" si="7"/>
        <v>2033</v>
      </c>
      <c r="N117" s="3"/>
      <c r="O117" s="3"/>
    </row>
    <row r="118" spans="8:15">
      <c r="H118" s="28">
        <v>48731</v>
      </c>
      <c r="I118" s="32">
        <v>5.8515169387755108</v>
      </c>
      <c r="J118" s="32">
        <v>5.7689000000000004</v>
      </c>
      <c r="K118" s="32">
        <v>5.3107808486519987</v>
      </c>
      <c r="L118" s="32">
        <v>5.6225050251256281</v>
      </c>
      <c r="M118" s="53">
        <f t="shared" si="7"/>
        <v>2033</v>
      </c>
      <c r="N118" s="3"/>
      <c r="O118" s="3"/>
    </row>
    <row r="119" spans="8:15">
      <c r="H119" s="28">
        <v>48761</v>
      </c>
      <c r="I119" s="32">
        <v>6.2838638775510205</v>
      </c>
      <c r="J119" s="32">
        <v>6.2004000000000001</v>
      </c>
      <c r="K119" s="32">
        <v>5.8954007161492168</v>
      </c>
      <c r="L119" s="32">
        <v>5.8423040201005021</v>
      </c>
      <c r="M119" s="53">
        <f t="shared" si="7"/>
        <v>2033</v>
      </c>
      <c r="N119" s="3"/>
      <c r="O119" s="3"/>
    </row>
    <row r="120" spans="8:15">
      <c r="H120" s="28">
        <v>48792</v>
      </c>
      <c r="I120" s="32">
        <v>6.4110067346938777</v>
      </c>
      <c r="J120" s="32">
        <v>6.3269000000000002</v>
      </c>
      <c r="K120" s="32">
        <v>6.0238500822048557</v>
      </c>
      <c r="L120" s="32">
        <v>6.0177814070351756</v>
      </c>
      <c r="M120" s="53">
        <f t="shared" si="7"/>
        <v>2033</v>
      </c>
      <c r="N120" s="3"/>
      <c r="O120" s="3"/>
    </row>
    <row r="121" spans="8:15">
      <c r="H121" s="28">
        <v>48823</v>
      </c>
      <c r="I121" s="32">
        <v>6.4110067346938777</v>
      </c>
      <c r="J121" s="32">
        <v>6.3262</v>
      </c>
      <c r="K121" s="32">
        <v>6.0624055098973191</v>
      </c>
      <c r="L121" s="32">
        <v>6.0378819095477381</v>
      </c>
      <c r="M121" s="53">
        <f t="shared" si="7"/>
        <v>2033</v>
      </c>
      <c r="N121" s="3"/>
      <c r="O121" s="3"/>
    </row>
    <row r="122" spans="8:15">
      <c r="H122" s="28">
        <v>48853</v>
      </c>
      <c r="I122" s="32">
        <v>6.4364148979591844</v>
      </c>
      <c r="J122" s="32">
        <v>6.3482000000000003</v>
      </c>
      <c r="K122" s="32">
        <v>6.1908548759529589</v>
      </c>
      <c r="L122" s="32">
        <v>6.2161733668341705</v>
      </c>
      <c r="M122" s="53">
        <f t="shared" si="7"/>
        <v>2033</v>
      </c>
      <c r="N122" s="3"/>
      <c r="O122" s="3"/>
    </row>
    <row r="123" spans="8:15">
      <c r="H123" s="28">
        <v>48884</v>
      </c>
      <c r="I123" s="32">
        <v>6.5382516326530622</v>
      </c>
      <c r="J123" s="32">
        <v>6.4557000000000002</v>
      </c>
      <c r="K123" s="32">
        <v>6.5377506358062734</v>
      </c>
      <c r="L123" s="32">
        <v>6.1230075376884425</v>
      </c>
      <c r="M123" s="53">
        <f t="shared" si="7"/>
        <v>2033</v>
      </c>
      <c r="N123" s="3"/>
      <c r="O123" s="3"/>
    </row>
    <row r="124" spans="8:15">
      <c r="H124" s="28">
        <v>48914</v>
      </c>
      <c r="I124" s="32">
        <v>6.8815169387755102</v>
      </c>
      <c r="J124" s="32">
        <v>6.8129999999999997</v>
      </c>
      <c r="K124" s="32">
        <v>7.0259819340723322</v>
      </c>
      <c r="L124" s="32">
        <v>6.1143643216080399</v>
      </c>
      <c r="M124" s="53">
        <f t="shared" si="7"/>
        <v>2033</v>
      </c>
      <c r="N124" s="3"/>
      <c r="O124" s="3"/>
    </row>
    <row r="125" spans="8:15">
      <c r="H125" s="28">
        <v>48945</v>
      </c>
      <c r="I125" s="32">
        <v>7.0851904081632657</v>
      </c>
      <c r="J125" s="32">
        <v>7.0179</v>
      </c>
      <c r="K125" s="32">
        <v>7.219686876944361</v>
      </c>
      <c r="L125" s="32">
        <v>6.4154698492462305</v>
      </c>
      <c r="M125" s="53">
        <f t="shared" si="7"/>
        <v>2034</v>
      </c>
      <c r="N125" s="3"/>
      <c r="O125" s="3"/>
    </row>
    <row r="126" spans="8:15">
      <c r="H126" s="28">
        <v>48976</v>
      </c>
      <c r="I126" s="32">
        <v>6.8252924489795923</v>
      </c>
      <c r="J126" s="32">
        <v>6.7557</v>
      </c>
      <c r="K126" s="32">
        <v>6.7601144260005057</v>
      </c>
      <c r="L126" s="32">
        <v>6.3931582914572864</v>
      </c>
      <c r="M126" s="53">
        <f t="shared" si="7"/>
        <v>2034</v>
      </c>
      <c r="N126" s="3"/>
      <c r="O126" s="3"/>
    </row>
    <row r="127" spans="8:15">
      <c r="H127" s="28">
        <v>49004</v>
      </c>
      <c r="I127" s="32">
        <v>6.0194761224489799</v>
      </c>
      <c r="J127" s="32">
        <v>5.9396000000000004</v>
      </c>
      <c r="K127" s="32">
        <v>5.7359214470576632</v>
      </c>
      <c r="L127" s="32">
        <v>5.8356708542713562</v>
      </c>
      <c r="M127" s="53">
        <f t="shared" si="7"/>
        <v>2034</v>
      </c>
      <c r="N127" s="3"/>
      <c r="O127" s="3"/>
    </row>
    <row r="128" spans="8:15">
      <c r="H128" s="28">
        <v>49035</v>
      </c>
      <c r="I128" s="32">
        <v>5.9544761224489795</v>
      </c>
      <c r="J128" s="32">
        <v>5.8673999999999999</v>
      </c>
      <c r="K128" s="32">
        <v>5.466755078862418</v>
      </c>
      <c r="L128" s="32">
        <v>5.8595904522613065</v>
      </c>
      <c r="M128" s="53">
        <f t="shared" si="7"/>
        <v>2034</v>
      </c>
      <c r="N128" s="3"/>
      <c r="O128" s="3"/>
    </row>
    <row r="129" spans="8:15">
      <c r="H129" s="28">
        <v>49065</v>
      </c>
      <c r="I129" s="32">
        <v>5.993455714285715</v>
      </c>
      <c r="J129" s="32">
        <v>5.9067999999999996</v>
      </c>
      <c r="K129" s="32">
        <v>5.4733527991092572</v>
      </c>
      <c r="L129" s="32">
        <v>5.7648165829145723</v>
      </c>
      <c r="M129" s="53">
        <f t="shared" si="7"/>
        <v>2034</v>
      </c>
      <c r="N129" s="3"/>
      <c r="O129" s="3"/>
    </row>
    <row r="130" spans="8:15">
      <c r="H130" s="28">
        <v>49096</v>
      </c>
      <c r="I130" s="32">
        <v>6.1103944897959188</v>
      </c>
      <c r="J130" s="32">
        <v>6.0225999999999997</v>
      </c>
      <c r="K130" s="32">
        <v>5.4996405907177541</v>
      </c>
      <c r="L130" s="32">
        <v>5.8774798994974864</v>
      </c>
      <c r="M130" s="53">
        <f t="shared" si="7"/>
        <v>2034</v>
      </c>
      <c r="N130" s="3"/>
      <c r="O130" s="3"/>
    </row>
    <row r="131" spans="8:15">
      <c r="H131" s="28">
        <v>49126</v>
      </c>
      <c r="I131" s="32">
        <v>6.5652924489795925</v>
      </c>
      <c r="J131" s="32">
        <v>6.4762000000000004</v>
      </c>
      <c r="K131" s="32">
        <v>6.1298259636697017</v>
      </c>
      <c r="L131" s="32">
        <v>6.1194899497487425</v>
      </c>
      <c r="M131" s="53">
        <f t="shared" si="7"/>
        <v>2034</v>
      </c>
      <c r="N131" s="3"/>
      <c r="O131" s="3"/>
    </row>
    <row r="132" spans="8:15">
      <c r="H132" s="28">
        <v>49157</v>
      </c>
      <c r="I132" s="32">
        <v>6.734272040816327</v>
      </c>
      <c r="J132" s="32">
        <v>6.6436999999999999</v>
      </c>
      <c r="K132" s="32">
        <v>6.3268297666651492</v>
      </c>
      <c r="L132" s="32">
        <v>6.3361733668341707</v>
      </c>
      <c r="M132" s="53">
        <f t="shared" si="7"/>
        <v>2034</v>
      </c>
      <c r="N132" s="3"/>
      <c r="O132" s="3"/>
    </row>
    <row r="133" spans="8:15">
      <c r="H133" s="28">
        <v>49188</v>
      </c>
      <c r="I133" s="32">
        <v>6.734272040816327</v>
      </c>
      <c r="J133" s="32">
        <v>6.6429999999999998</v>
      </c>
      <c r="K133" s="32">
        <v>6.3662099093884672</v>
      </c>
      <c r="L133" s="32">
        <v>6.356273869346734</v>
      </c>
      <c r="M133" s="53">
        <f t="shared" si="7"/>
        <v>2034</v>
      </c>
      <c r="N133" s="3"/>
      <c r="O133" s="3"/>
    </row>
    <row r="134" spans="8:15">
      <c r="H134" s="28">
        <v>49218</v>
      </c>
      <c r="I134" s="32">
        <v>6.7602924489795928</v>
      </c>
      <c r="J134" s="32">
        <v>6.6654999999999998</v>
      </c>
      <c r="K134" s="32">
        <v>6.444970194835105</v>
      </c>
      <c r="L134" s="32">
        <v>6.5351683417085429</v>
      </c>
      <c r="M134" s="53">
        <f t="shared" si="7"/>
        <v>2034</v>
      </c>
      <c r="N134" s="3"/>
      <c r="O134" s="3"/>
    </row>
    <row r="135" spans="8:15">
      <c r="H135" s="28">
        <v>49249</v>
      </c>
      <c r="I135" s="32">
        <v>6.8642720408163269</v>
      </c>
      <c r="J135" s="32">
        <v>6.7751999999999999</v>
      </c>
      <c r="K135" s="32">
        <v>6.8520701519408203</v>
      </c>
      <c r="L135" s="32">
        <v>6.4441130653266327</v>
      </c>
      <c r="M135" s="53">
        <f t="shared" si="7"/>
        <v>2034</v>
      </c>
      <c r="N135" s="3"/>
      <c r="O135" s="3"/>
    </row>
    <row r="136" spans="8:15">
      <c r="H136" s="28">
        <v>49279</v>
      </c>
      <c r="I136" s="32">
        <v>7.2801904081632651</v>
      </c>
      <c r="J136" s="32">
        <v>7.2035999999999998</v>
      </c>
      <c r="K136" s="32">
        <v>7.4363807513014679</v>
      </c>
      <c r="L136" s="32">
        <v>6.5070276381909542</v>
      </c>
      <c r="M136" s="53">
        <f t="shared" si="7"/>
        <v>2034</v>
      </c>
      <c r="N136" s="3"/>
      <c r="O136" s="3"/>
    </row>
    <row r="137" spans="8:15">
      <c r="H137" s="28">
        <v>49310</v>
      </c>
      <c r="I137" s="32">
        <v>7.2678434693877554</v>
      </c>
      <c r="J137" s="32">
        <v>7.1970000000000001</v>
      </c>
      <c r="K137" s="32">
        <v>7.3916915055670209</v>
      </c>
      <c r="L137" s="32">
        <v>6.5953693467336683</v>
      </c>
      <c r="M137" s="53">
        <f t="shared" ref="M137:M148" si="8">YEAR(H137)</f>
        <v>2035</v>
      </c>
      <c r="N137" s="3"/>
      <c r="O137" s="3"/>
    </row>
    <row r="138" spans="8:15">
      <c r="H138" s="28">
        <v>49341</v>
      </c>
      <c r="I138" s="32">
        <v>7.042027142857143</v>
      </c>
      <c r="J138" s="32">
        <v>6.9682000000000004</v>
      </c>
      <c r="K138" s="32">
        <v>6.9220678401846234</v>
      </c>
      <c r="L138" s="32">
        <v>6.6066256281407032</v>
      </c>
      <c r="M138" s="53">
        <f t="shared" si="8"/>
        <v>2035</v>
      </c>
      <c r="N138" s="3"/>
      <c r="O138" s="3"/>
    </row>
    <row r="139" spans="8:15">
      <c r="H139" s="28">
        <v>49369</v>
      </c>
      <c r="I139" s="32">
        <v>6.2982516326530611</v>
      </c>
      <c r="J139" s="32">
        <v>6.2129000000000003</v>
      </c>
      <c r="K139" s="32">
        <v>5.9558110921593332</v>
      </c>
      <c r="L139" s="32">
        <v>6.1102437185929643</v>
      </c>
      <c r="M139" s="53">
        <f t="shared" si="8"/>
        <v>2035</v>
      </c>
      <c r="N139" s="3"/>
      <c r="O139" s="3"/>
    </row>
    <row r="140" spans="8:15">
      <c r="H140" s="28">
        <v>49400</v>
      </c>
      <c r="I140" s="32">
        <v>6.2583536734693883</v>
      </c>
      <c r="J140" s="32">
        <v>6.1651999999999996</v>
      </c>
      <c r="K140" s="32">
        <v>5.7008710582463333</v>
      </c>
      <c r="L140" s="32">
        <v>6.1588869346733661</v>
      </c>
      <c r="M140" s="53">
        <f t="shared" si="8"/>
        <v>2035</v>
      </c>
      <c r="N140" s="3"/>
      <c r="O140" s="3"/>
    </row>
    <row r="141" spans="8:15">
      <c r="H141" s="28">
        <v>49430</v>
      </c>
      <c r="I141" s="32">
        <v>6.2849863265306123</v>
      </c>
      <c r="J141" s="32">
        <v>6.1924000000000001</v>
      </c>
      <c r="K141" s="32">
        <v>5.7075718678720282</v>
      </c>
      <c r="L141" s="32">
        <v>6.051952261306532</v>
      </c>
      <c r="M141" s="53">
        <f t="shared" si="8"/>
        <v>2035</v>
      </c>
      <c r="N141" s="3"/>
      <c r="O141" s="3"/>
    </row>
    <row r="142" spans="8:15">
      <c r="H142" s="28">
        <v>49461</v>
      </c>
      <c r="I142" s="32">
        <v>6.4443740816326534</v>
      </c>
      <c r="J142" s="32">
        <v>6.3498999999999999</v>
      </c>
      <c r="K142" s="32">
        <v>5.7478798150050583</v>
      </c>
      <c r="L142" s="32">
        <v>6.2064246231155771</v>
      </c>
      <c r="M142" s="53">
        <f t="shared" si="8"/>
        <v>2035</v>
      </c>
      <c r="N142" s="3"/>
      <c r="O142" s="3"/>
    </row>
    <row r="143" spans="8:15">
      <c r="H143" s="28">
        <v>49491</v>
      </c>
      <c r="I143" s="32">
        <v>6.9092720408163268</v>
      </c>
      <c r="J143" s="32">
        <v>6.8132000000000001</v>
      </c>
      <c r="K143" s="32">
        <v>6.3852814444769859</v>
      </c>
      <c r="L143" s="32">
        <v>6.4582839195979895</v>
      </c>
      <c r="M143" s="53">
        <f t="shared" si="8"/>
        <v>2035</v>
      </c>
      <c r="N143" s="3"/>
      <c r="O143" s="3"/>
    </row>
    <row r="144" spans="8:15">
      <c r="H144" s="28">
        <v>49522</v>
      </c>
      <c r="I144" s="32">
        <v>7.042027142857143</v>
      </c>
      <c r="J144" s="32">
        <v>6.9452999999999996</v>
      </c>
      <c r="K144" s="32">
        <v>6.6134182398872028</v>
      </c>
      <c r="L144" s="32">
        <v>6.6392889447236172</v>
      </c>
      <c r="M144" s="53">
        <f t="shared" si="8"/>
        <v>2035</v>
      </c>
      <c r="N144" s="3"/>
      <c r="O144" s="3"/>
    </row>
    <row r="145" spans="8:15">
      <c r="H145" s="28">
        <v>49553</v>
      </c>
      <c r="I145" s="32">
        <v>7.0819251020408167</v>
      </c>
      <c r="J145" s="32">
        <v>6.9836999999999998</v>
      </c>
      <c r="K145" s="32">
        <v>6.6536230976413764</v>
      </c>
      <c r="L145" s="32">
        <v>6.6986859296482413</v>
      </c>
      <c r="M145" s="53">
        <f t="shared" si="8"/>
        <v>2035</v>
      </c>
      <c r="N145" s="3"/>
      <c r="O145" s="3"/>
    </row>
    <row r="146" spans="8:15">
      <c r="H146" s="28">
        <v>49583</v>
      </c>
      <c r="I146" s="32">
        <v>7.1084557142857152</v>
      </c>
      <c r="J146" s="32">
        <v>7.0068000000000001</v>
      </c>
      <c r="K146" s="32">
        <v>6.6939310447744056</v>
      </c>
      <c r="L146" s="32">
        <v>6.8780829145728637</v>
      </c>
      <c r="M146" s="53">
        <f t="shared" si="8"/>
        <v>2035</v>
      </c>
      <c r="N146" s="3"/>
      <c r="O146" s="3"/>
    </row>
    <row r="147" spans="8:15">
      <c r="H147" s="28">
        <v>49614</v>
      </c>
      <c r="I147" s="32">
        <v>7.1881495918367353</v>
      </c>
      <c r="J147" s="32">
        <v>7.0926</v>
      </c>
      <c r="K147" s="32">
        <v>7.0964950692104196</v>
      </c>
      <c r="L147" s="32">
        <v>6.7631080402010051</v>
      </c>
      <c r="M147" s="53">
        <f t="shared" si="8"/>
        <v>2035</v>
      </c>
      <c r="N147" s="3"/>
      <c r="O147" s="3"/>
    </row>
    <row r="148" spans="8:15">
      <c r="H148" s="28">
        <v>49644</v>
      </c>
      <c r="I148" s="32">
        <v>7.5866189795918366</v>
      </c>
      <c r="J148" s="32">
        <v>7.5039999999999996</v>
      </c>
      <c r="K148" s="32">
        <v>7.6332299202286293</v>
      </c>
      <c r="L148" s="32">
        <v>6.808836683417085</v>
      </c>
      <c r="M148" s="53">
        <f t="shared" si="8"/>
        <v>2035</v>
      </c>
      <c r="N148" s="3"/>
      <c r="O148" s="3"/>
    </row>
    <row r="149" spans="8:15">
      <c r="H149" s="28">
        <v>49675</v>
      </c>
      <c r="I149" s="32">
        <v>7.8081495918367354</v>
      </c>
      <c r="J149" s="32">
        <v>7.7263999999999999</v>
      </c>
      <c r="K149" s="32">
        <v>7.8557998891805774</v>
      </c>
      <c r="L149" s="32">
        <v>7.1275301507537678</v>
      </c>
      <c r="M149" s="53">
        <f t="shared" si="7"/>
        <v>2036</v>
      </c>
      <c r="N149" s="3"/>
      <c r="O149" s="3"/>
    </row>
    <row r="150" spans="8:15">
      <c r="H150" s="28">
        <v>49706</v>
      </c>
      <c r="I150" s="32">
        <v>7.1700883673469393</v>
      </c>
      <c r="J150" s="32">
        <v>7.0936000000000003</v>
      </c>
      <c r="K150" s="32">
        <v>6.9780453729038951</v>
      </c>
      <c r="L150" s="32">
        <v>6.7327562814070347</v>
      </c>
      <c r="M150" s="53">
        <f t="shared" si="7"/>
        <v>2036</v>
      </c>
      <c r="N150" s="3"/>
      <c r="O150" s="3"/>
    </row>
    <row r="151" spans="8:15">
      <c r="H151" s="28">
        <v>49735</v>
      </c>
      <c r="I151" s="32">
        <v>6.6135577551020415</v>
      </c>
      <c r="J151" s="32">
        <v>6.5217999999999998</v>
      </c>
      <c r="K151" s="32">
        <v>6.251162162584218</v>
      </c>
      <c r="L151" s="32">
        <v>6.4207964824120598</v>
      </c>
      <c r="M151" s="53">
        <f t="shared" si="7"/>
        <v>2036</v>
      </c>
      <c r="N151" s="3"/>
      <c r="O151" s="3"/>
    </row>
    <row r="152" spans="8:15">
      <c r="H152" s="28">
        <v>49766</v>
      </c>
      <c r="I152" s="32">
        <v>6.5863128571428575</v>
      </c>
      <c r="J152" s="32">
        <v>6.4866000000000001</v>
      </c>
      <c r="K152" s="32">
        <v>5.9632335274370254</v>
      </c>
      <c r="L152" s="32">
        <v>6.4819020100502511</v>
      </c>
      <c r="M152" s="53">
        <f t="shared" si="7"/>
        <v>2036</v>
      </c>
      <c r="N152" s="3"/>
      <c r="O152" s="3"/>
    </row>
    <row r="153" spans="8:15">
      <c r="H153" s="28">
        <v>49796</v>
      </c>
      <c r="I153" s="32">
        <v>6.6271291836734694</v>
      </c>
      <c r="J153" s="32">
        <v>6.5277000000000003</v>
      </c>
      <c r="K153" s="32">
        <v>5.9837998585189691</v>
      </c>
      <c r="L153" s="32">
        <v>6.388937185929648</v>
      </c>
      <c r="M153" s="53">
        <f t="shared" si="7"/>
        <v>2036</v>
      </c>
      <c r="N153" s="3"/>
      <c r="O153" s="3"/>
    </row>
    <row r="154" spans="8:15">
      <c r="H154" s="28">
        <v>49827</v>
      </c>
      <c r="I154" s="32">
        <v>6.7628434693877555</v>
      </c>
      <c r="J154" s="32">
        <v>6.6619999999999999</v>
      </c>
      <c r="K154" s="32">
        <v>6.0043661896009111</v>
      </c>
      <c r="L154" s="32">
        <v>6.5200929648241202</v>
      </c>
      <c r="M154" s="53">
        <f t="shared" si="7"/>
        <v>2036</v>
      </c>
      <c r="N154" s="3"/>
      <c r="O154" s="3"/>
    </row>
    <row r="155" spans="8:15">
      <c r="H155" s="28">
        <v>49857</v>
      </c>
      <c r="I155" s="32">
        <v>7.2379455102040824</v>
      </c>
      <c r="J155" s="32">
        <v>7.1353999999999997</v>
      </c>
      <c r="K155" s="32">
        <v>6.6351700988259994</v>
      </c>
      <c r="L155" s="32">
        <v>6.7820025125628138</v>
      </c>
      <c r="M155" s="53">
        <f t="shared" si="7"/>
        <v>2036</v>
      </c>
      <c r="N155" s="3"/>
      <c r="O155" s="3"/>
    </row>
    <row r="156" spans="8:15">
      <c r="H156" s="28">
        <v>49888</v>
      </c>
      <c r="I156" s="32">
        <v>7.3193740816326534</v>
      </c>
      <c r="J156" s="32">
        <v>7.2171000000000003</v>
      </c>
      <c r="K156" s="32">
        <v>6.8820691611881646</v>
      </c>
      <c r="L156" s="32">
        <v>6.9124547738693467</v>
      </c>
      <c r="M156" s="53">
        <f t="shared" si="7"/>
        <v>2036</v>
      </c>
      <c r="N156" s="3"/>
      <c r="O156" s="3"/>
    </row>
    <row r="157" spans="8:15">
      <c r="H157" s="28">
        <v>49919</v>
      </c>
      <c r="I157" s="32">
        <v>7.3601904081632652</v>
      </c>
      <c r="J157" s="32">
        <v>7.2563000000000004</v>
      </c>
      <c r="K157" s="32">
        <v>6.9232018233520494</v>
      </c>
      <c r="L157" s="32">
        <v>6.9727562814070341</v>
      </c>
      <c r="M157" s="53">
        <f t="shared" si="7"/>
        <v>2036</v>
      </c>
      <c r="N157" s="3"/>
      <c r="O157" s="3"/>
    </row>
    <row r="158" spans="8:15">
      <c r="H158" s="28">
        <v>49949</v>
      </c>
      <c r="I158" s="32">
        <v>7.4009046938775516</v>
      </c>
      <c r="J158" s="32">
        <v>7.2933000000000003</v>
      </c>
      <c r="K158" s="32">
        <v>6.9506235981279723</v>
      </c>
      <c r="L158" s="32">
        <v>7.1661231155778893</v>
      </c>
      <c r="M158" s="53">
        <f t="shared" si="7"/>
        <v>2036</v>
      </c>
      <c r="N158" s="3"/>
      <c r="O158" s="3"/>
    </row>
    <row r="159" spans="8:15">
      <c r="H159" s="28">
        <v>49980</v>
      </c>
      <c r="I159" s="32">
        <v>7.4551904081632649</v>
      </c>
      <c r="J159" s="32">
        <v>7.3543000000000003</v>
      </c>
      <c r="K159" s="32">
        <v>7.2797879848179061</v>
      </c>
      <c r="L159" s="32">
        <v>7.0261231155778887</v>
      </c>
      <c r="M159" s="53">
        <f t="shared" si="7"/>
        <v>2036</v>
      </c>
      <c r="N159" s="3"/>
      <c r="O159" s="3"/>
    </row>
    <row r="160" spans="8:15">
      <c r="H160" s="28">
        <v>50010</v>
      </c>
      <c r="I160" s="32">
        <v>7.8352924489795921</v>
      </c>
      <c r="J160" s="32">
        <v>7.7476000000000003</v>
      </c>
      <c r="K160" s="32">
        <v>7.8489959901760251</v>
      </c>
      <c r="L160" s="32">
        <v>7.053761306532663</v>
      </c>
      <c r="M160" s="53">
        <f t="shared" ref="M160:M223" si="9">YEAR(H160)</f>
        <v>2036</v>
      </c>
      <c r="N160" s="3"/>
      <c r="O160" s="3"/>
    </row>
    <row r="161" spans="8:15">
      <c r="H161" s="28">
        <v>50041</v>
      </c>
      <c r="I161" s="32">
        <v>8.0554965306122455</v>
      </c>
      <c r="J161" s="32">
        <v>7.9687999999999999</v>
      </c>
      <c r="K161" s="32">
        <v>8.0555355607157324</v>
      </c>
      <c r="L161" s="32">
        <v>7.3711482412060292</v>
      </c>
      <c r="M161" s="53">
        <f t="shared" si="9"/>
        <v>2037</v>
      </c>
      <c r="N161" s="3"/>
      <c r="O161" s="3"/>
    </row>
    <row r="162" spans="8:15">
      <c r="H162" s="28">
        <v>50072</v>
      </c>
      <c r="I162" s="32">
        <v>7.5981495918367354</v>
      </c>
      <c r="J162" s="32">
        <v>7.5130999999999997</v>
      </c>
      <c r="K162" s="32">
        <v>7.3484455111365703</v>
      </c>
      <c r="L162" s="32">
        <v>7.154364321608039</v>
      </c>
      <c r="M162" s="53">
        <f t="shared" si="9"/>
        <v>2037</v>
      </c>
      <c r="N162" s="3"/>
      <c r="O162" s="3"/>
    </row>
    <row r="163" spans="8:15">
      <c r="H163" s="28">
        <v>50100</v>
      </c>
      <c r="I163" s="32">
        <v>6.7803944897959187</v>
      </c>
      <c r="J163" s="32">
        <v>6.6852999999999998</v>
      </c>
      <c r="K163" s="32">
        <v>6.3962089186358124</v>
      </c>
      <c r="L163" s="32">
        <v>6.5851180904522604</v>
      </c>
      <c r="M163" s="53">
        <f t="shared" si="9"/>
        <v>2037</v>
      </c>
      <c r="N163" s="3"/>
      <c r="O163" s="3"/>
    </row>
    <row r="164" spans="8:15">
      <c r="H164" s="28">
        <v>50131</v>
      </c>
      <c r="I164" s="32">
        <v>6.7248842857142854</v>
      </c>
      <c r="J164" s="32">
        <v>6.6223999999999998</v>
      </c>
      <c r="K164" s="32">
        <v>6.0811677768492665</v>
      </c>
      <c r="L164" s="32">
        <v>6.6183844221105526</v>
      </c>
      <c r="M164" s="53">
        <f t="shared" si="9"/>
        <v>2037</v>
      </c>
      <c r="N164" s="3"/>
      <c r="O164" s="3"/>
    </row>
    <row r="165" spans="8:15">
      <c r="H165" s="28">
        <v>50161</v>
      </c>
      <c r="I165" s="32">
        <v>6.7665169387755109</v>
      </c>
      <c r="J165" s="32">
        <v>6.6642999999999999</v>
      </c>
      <c r="K165" s="32">
        <v>6.0741576990870003</v>
      </c>
      <c r="L165" s="32">
        <v>6.5262236180904516</v>
      </c>
      <c r="M165" s="53">
        <f t="shared" si="9"/>
        <v>2037</v>
      </c>
      <c r="N165" s="3"/>
      <c r="O165" s="3"/>
    </row>
    <row r="166" spans="8:15">
      <c r="H166" s="28">
        <v>50192</v>
      </c>
      <c r="I166" s="32">
        <v>6.9189659183673475</v>
      </c>
      <c r="J166" s="32">
        <v>6.8150000000000004</v>
      </c>
      <c r="K166" s="32">
        <v>6.102198010136064</v>
      </c>
      <c r="L166" s="32">
        <v>6.673861809045226</v>
      </c>
      <c r="M166" s="53">
        <f t="shared" si="9"/>
        <v>2037</v>
      </c>
      <c r="N166" s="3"/>
      <c r="O166" s="3"/>
    </row>
    <row r="167" spans="8:15">
      <c r="H167" s="28">
        <v>50222</v>
      </c>
      <c r="I167" s="32">
        <v>7.3347822448979594</v>
      </c>
      <c r="J167" s="32">
        <v>7.2302</v>
      </c>
      <c r="K167" s="32">
        <v>6.7182601381846236</v>
      </c>
      <c r="L167" s="32">
        <v>6.8773793969849244</v>
      </c>
      <c r="M167" s="53">
        <f t="shared" si="9"/>
        <v>2037</v>
      </c>
      <c r="N167" s="3"/>
      <c r="O167" s="3"/>
    </row>
    <row r="168" spans="8:15">
      <c r="H168" s="28">
        <v>50253</v>
      </c>
      <c r="I168" s="32">
        <v>7.4594761224489794</v>
      </c>
      <c r="J168" s="32">
        <v>7.3544</v>
      </c>
      <c r="K168" s="32">
        <v>6.9983539805386954</v>
      </c>
      <c r="L168" s="32">
        <v>7.0504447236180896</v>
      </c>
      <c r="M168" s="53">
        <f t="shared" si="9"/>
        <v>2037</v>
      </c>
      <c r="N168" s="3"/>
      <c r="O168" s="3"/>
    </row>
    <row r="169" spans="8:15">
      <c r="H169" s="28">
        <v>50284</v>
      </c>
      <c r="I169" s="32">
        <v>7.5011087755102048</v>
      </c>
      <c r="J169" s="32">
        <v>7.3944000000000001</v>
      </c>
      <c r="K169" s="32">
        <v>7.0404144471122923</v>
      </c>
      <c r="L169" s="32">
        <v>7.11155025125628</v>
      </c>
      <c r="M169" s="53">
        <f t="shared" si="9"/>
        <v>2037</v>
      </c>
      <c r="N169" s="3"/>
      <c r="O169" s="3"/>
    </row>
    <row r="170" spans="8:15">
      <c r="H170" s="28">
        <v>50314</v>
      </c>
      <c r="I170" s="32">
        <v>7.5426393877551021</v>
      </c>
      <c r="J170" s="32">
        <v>7.4322999999999997</v>
      </c>
      <c r="K170" s="32">
        <v>7.096391979831564</v>
      </c>
      <c r="L170" s="32">
        <v>7.3057211055276374</v>
      </c>
      <c r="M170" s="53">
        <f t="shared" si="9"/>
        <v>2037</v>
      </c>
      <c r="N170" s="3"/>
      <c r="O170" s="3"/>
    </row>
    <row r="171" spans="8:15">
      <c r="H171" s="28">
        <v>50345</v>
      </c>
      <c r="I171" s="32">
        <v>7.6535577551020415</v>
      </c>
      <c r="J171" s="32">
        <v>7.5487000000000002</v>
      </c>
      <c r="K171" s="32">
        <v>7.4464835104294389</v>
      </c>
      <c r="L171" s="32">
        <v>7.2214999999999998</v>
      </c>
      <c r="M171" s="53">
        <f t="shared" si="9"/>
        <v>2037</v>
      </c>
      <c r="N171" s="3"/>
      <c r="O171" s="3"/>
    </row>
    <row r="172" spans="8:15">
      <c r="H172" s="28">
        <v>50375</v>
      </c>
      <c r="I172" s="32">
        <v>8.0416189795918367</v>
      </c>
      <c r="J172" s="32">
        <v>7.9499000000000004</v>
      </c>
      <c r="K172" s="32">
        <v>8.0345053274289331</v>
      </c>
      <c r="L172" s="32">
        <v>7.2569773869346728</v>
      </c>
      <c r="M172" s="53">
        <f t="shared" si="9"/>
        <v>2037</v>
      </c>
      <c r="N172" s="3"/>
      <c r="O172" s="3"/>
    </row>
    <row r="173" spans="8:15">
      <c r="H173" s="28">
        <v>50406</v>
      </c>
      <c r="I173" s="32">
        <v>8.0126393877551028</v>
      </c>
      <c r="J173" s="32">
        <v>7.9268000000000001</v>
      </c>
      <c r="K173" s="32">
        <v>7.8027604037587261</v>
      </c>
      <c r="L173" s="32">
        <v>7.3289371859296475</v>
      </c>
      <c r="M173" s="53">
        <f t="shared" si="9"/>
        <v>2038</v>
      </c>
      <c r="N173" s="3"/>
      <c r="O173" s="3"/>
    </row>
    <row r="174" spans="8:15">
      <c r="H174" s="28">
        <v>50437</v>
      </c>
      <c r="I174" s="32">
        <v>7.6164148979591841</v>
      </c>
      <c r="J174" s="32">
        <v>7.5309999999999997</v>
      </c>
      <c r="K174" s="32">
        <v>7.316693982448661</v>
      </c>
      <c r="L174" s="32">
        <v>7.1723542713567827</v>
      </c>
      <c r="M174" s="53">
        <f t="shared" si="9"/>
        <v>2038</v>
      </c>
      <c r="N174" s="3"/>
      <c r="O174" s="3"/>
    </row>
    <row r="175" spans="8:15">
      <c r="H175" s="28">
        <v>50465</v>
      </c>
      <c r="I175" s="32">
        <v>6.8946802040816326</v>
      </c>
      <c r="J175" s="32">
        <v>6.7973999999999997</v>
      </c>
      <c r="K175" s="32">
        <v>6.5159987768674759</v>
      </c>
      <c r="L175" s="32">
        <v>6.6976809045226124</v>
      </c>
      <c r="M175" s="53">
        <f t="shared" si="9"/>
        <v>2038</v>
      </c>
      <c r="N175" s="3"/>
      <c r="O175" s="3"/>
    </row>
    <row r="176" spans="8:15">
      <c r="H176" s="28">
        <v>50496</v>
      </c>
      <c r="I176" s="32">
        <v>6.8804965306122456</v>
      </c>
      <c r="J176" s="32">
        <v>6.7748999999999997</v>
      </c>
      <c r="K176" s="32">
        <v>6.2015246266646438</v>
      </c>
      <c r="L176" s="32">
        <v>6.771650753768844</v>
      </c>
      <c r="M176" s="53">
        <f t="shared" si="9"/>
        <v>2038</v>
      </c>
      <c r="N176" s="3"/>
      <c r="O176" s="3"/>
    </row>
    <row r="177" spans="8:15">
      <c r="H177" s="28">
        <v>50526</v>
      </c>
      <c r="I177" s="32">
        <v>6.922945510204082</v>
      </c>
      <c r="J177" s="32">
        <v>6.8177000000000003</v>
      </c>
      <c r="K177" s="32">
        <v>6.201473081975216</v>
      </c>
      <c r="L177" s="32">
        <v>6.6802939698492461</v>
      </c>
      <c r="M177" s="53">
        <f t="shared" si="9"/>
        <v>2038</v>
      </c>
      <c r="N177" s="3"/>
      <c r="O177" s="3"/>
    </row>
    <row r="178" spans="8:15">
      <c r="H178" s="28">
        <v>50557</v>
      </c>
      <c r="I178" s="32">
        <v>7.0786597959183677</v>
      </c>
      <c r="J178" s="32">
        <v>6.9714999999999998</v>
      </c>
      <c r="K178" s="32">
        <v>6.2301319292974204</v>
      </c>
      <c r="L178" s="32">
        <v>6.8311482412060291</v>
      </c>
      <c r="M178" s="53">
        <f t="shared" si="9"/>
        <v>2038</v>
      </c>
      <c r="N178" s="3"/>
      <c r="O178" s="3"/>
    </row>
    <row r="179" spans="8:15">
      <c r="H179" s="28">
        <v>50587</v>
      </c>
      <c r="I179" s="32">
        <v>7.559782244897959</v>
      </c>
      <c r="J179" s="32">
        <v>7.4508000000000001</v>
      </c>
      <c r="K179" s="32">
        <v>6.8734096533641882</v>
      </c>
      <c r="L179" s="32">
        <v>7.0989874371859294</v>
      </c>
      <c r="M179" s="53">
        <f t="shared" si="9"/>
        <v>2038</v>
      </c>
      <c r="N179" s="3"/>
      <c r="O179" s="3"/>
    </row>
    <row r="180" spans="8:15">
      <c r="H180" s="28">
        <v>50618</v>
      </c>
      <c r="I180" s="32">
        <v>7.6446802040816335</v>
      </c>
      <c r="J180" s="32">
        <v>7.5358999999999998</v>
      </c>
      <c r="K180" s="32">
        <v>7.1737090139742046</v>
      </c>
      <c r="L180" s="32">
        <v>7.2328567839195976</v>
      </c>
      <c r="M180" s="53">
        <f t="shared" si="9"/>
        <v>2038</v>
      </c>
      <c r="N180" s="3"/>
      <c r="O180" s="3"/>
    </row>
    <row r="181" spans="8:15">
      <c r="H181" s="28">
        <v>50649</v>
      </c>
      <c r="I181" s="32">
        <v>7.672945510204082</v>
      </c>
      <c r="J181" s="32">
        <v>7.5629</v>
      </c>
      <c r="K181" s="32">
        <v>7.2165941955786552</v>
      </c>
      <c r="L181" s="32">
        <v>7.2807964824120592</v>
      </c>
      <c r="M181" s="53">
        <f t="shared" si="9"/>
        <v>2038</v>
      </c>
      <c r="N181" s="3"/>
      <c r="O181" s="3"/>
    </row>
    <row r="182" spans="8:15">
      <c r="H182" s="28">
        <v>50679</v>
      </c>
      <c r="I182" s="32">
        <v>7.7153944897959192</v>
      </c>
      <c r="J182" s="32">
        <v>7.6016000000000004</v>
      </c>
      <c r="K182" s="32">
        <v>7.2594793771831068</v>
      </c>
      <c r="L182" s="32">
        <v>7.4758718592964817</v>
      </c>
      <c r="M182" s="53">
        <f t="shared" si="9"/>
        <v>2038</v>
      </c>
      <c r="N182" s="3"/>
      <c r="O182" s="3"/>
    </row>
    <row r="183" spans="8:15">
      <c r="H183" s="28">
        <v>50710</v>
      </c>
      <c r="I183" s="32">
        <v>7.7720271428571435</v>
      </c>
      <c r="J183" s="32">
        <v>7.6647999999999996</v>
      </c>
      <c r="K183" s="32">
        <v>7.4882347088664645</v>
      </c>
      <c r="L183" s="32">
        <v>7.3381834170854265</v>
      </c>
      <c r="M183" s="53">
        <f t="shared" si="9"/>
        <v>2038</v>
      </c>
      <c r="N183" s="3"/>
      <c r="O183" s="3"/>
    </row>
    <row r="184" spans="8:15">
      <c r="H184" s="28">
        <v>50740</v>
      </c>
      <c r="I184" s="32">
        <v>8.0975373469387755</v>
      </c>
      <c r="J184" s="32">
        <v>8.0045999999999999</v>
      </c>
      <c r="K184" s="32">
        <v>7.8313161617020741</v>
      </c>
      <c r="L184" s="32">
        <v>7.3120527638190946</v>
      </c>
      <c r="M184" s="53">
        <f t="shared" si="9"/>
        <v>2038</v>
      </c>
      <c r="N184" s="3"/>
      <c r="O184" s="3"/>
    </row>
    <row r="185" spans="8:15">
      <c r="H185" s="28">
        <v>50771</v>
      </c>
      <c r="I185" s="32">
        <v>8.3400883673469384</v>
      </c>
      <c r="J185" s="32">
        <v>8.2477</v>
      </c>
      <c r="K185" s="32">
        <v>8.0393505282352056</v>
      </c>
      <c r="L185" s="32">
        <v>7.6514497487437181</v>
      </c>
      <c r="M185" s="53">
        <f t="shared" si="9"/>
        <v>2039</v>
      </c>
      <c r="N185" s="3"/>
      <c r="O185" s="3"/>
    </row>
    <row r="186" spans="8:15">
      <c r="H186" s="28">
        <v>50802</v>
      </c>
      <c r="I186" s="32">
        <v>7.9354965306122454</v>
      </c>
      <c r="J186" s="32">
        <v>7.8437000000000001</v>
      </c>
      <c r="K186" s="32">
        <v>7.6014268468512896</v>
      </c>
      <c r="L186" s="32">
        <v>7.4866256281407031</v>
      </c>
      <c r="M186" s="53">
        <f t="shared" si="9"/>
        <v>2039</v>
      </c>
      <c r="N186" s="3"/>
      <c r="O186" s="3"/>
    </row>
    <row r="187" spans="8:15">
      <c r="H187" s="28">
        <v>50830</v>
      </c>
      <c r="I187" s="32">
        <v>7.1552924489795924</v>
      </c>
      <c r="J187" s="32">
        <v>7.0528000000000004</v>
      </c>
      <c r="K187" s="32">
        <v>6.7548568676788054</v>
      </c>
      <c r="L187" s="32">
        <v>6.9543643216080397</v>
      </c>
      <c r="M187" s="53">
        <f t="shared" si="9"/>
        <v>2039</v>
      </c>
      <c r="N187" s="3"/>
      <c r="O187" s="3"/>
    </row>
    <row r="188" spans="8:15">
      <c r="H188" s="28">
        <v>50861</v>
      </c>
      <c r="I188" s="32">
        <v>7.0974353061224491</v>
      </c>
      <c r="J188" s="32">
        <v>6.9874999999999998</v>
      </c>
      <c r="K188" s="32">
        <v>6.404456068944361</v>
      </c>
      <c r="L188" s="32">
        <v>6.9853190954773865</v>
      </c>
      <c r="M188" s="53">
        <f t="shared" si="9"/>
        <v>2039</v>
      </c>
      <c r="N188" s="3"/>
      <c r="O188" s="3"/>
    </row>
    <row r="189" spans="8:15">
      <c r="H189" s="28">
        <v>50891</v>
      </c>
      <c r="I189" s="32">
        <v>7.1408026530612245</v>
      </c>
      <c r="J189" s="32">
        <v>7.0312000000000001</v>
      </c>
      <c r="K189" s="32">
        <v>6.4337334525397063</v>
      </c>
      <c r="L189" s="32">
        <v>6.8948668341708537</v>
      </c>
      <c r="M189" s="53">
        <f t="shared" si="9"/>
        <v>2039</v>
      </c>
      <c r="N189" s="3"/>
      <c r="O189" s="3"/>
    </row>
    <row r="190" spans="8:15">
      <c r="H190" s="28">
        <v>50922</v>
      </c>
      <c r="I190" s="32">
        <v>7.3431495918367347</v>
      </c>
      <c r="J190" s="32">
        <v>7.2306999999999997</v>
      </c>
      <c r="K190" s="32">
        <v>6.4629077467561959</v>
      </c>
      <c r="L190" s="32">
        <v>7.0916507537688442</v>
      </c>
      <c r="M190" s="53">
        <f t="shared" si="9"/>
        <v>2039</v>
      </c>
      <c r="N190" s="3"/>
      <c r="O190" s="3"/>
    </row>
    <row r="191" spans="8:15">
      <c r="H191" s="28">
        <v>50952</v>
      </c>
      <c r="I191" s="32">
        <v>7.8343740816326539</v>
      </c>
      <c r="J191" s="32">
        <v>7.7198000000000002</v>
      </c>
      <c r="K191" s="32">
        <v>7.1196901794532126</v>
      </c>
      <c r="L191" s="32">
        <v>7.3694396984924619</v>
      </c>
      <c r="M191" s="53">
        <f t="shared" si="9"/>
        <v>2039</v>
      </c>
      <c r="N191" s="3"/>
      <c r="O191" s="3"/>
    </row>
    <row r="192" spans="8:15">
      <c r="H192" s="28">
        <v>50983</v>
      </c>
      <c r="I192" s="32">
        <v>7.9210067346938775</v>
      </c>
      <c r="J192" s="32">
        <v>7.8067000000000002</v>
      </c>
      <c r="K192" s="32">
        <v>7.4116393003758221</v>
      </c>
      <c r="L192" s="32">
        <v>7.5050175879396983</v>
      </c>
      <c r="M192" s="53">
        <f t="shared" si="9"/>
        <v>2039</v>
      </c>
      <c r="N192" s="3"/>
      <c r="O192" s="3"/>
    </row>
    <row r="193" spans="8:15">
      <c r="H193" s="28">
        <v>51014</v>
      </c>
      <c r="I193" s="32">
        <v>7.9210067346938775</v>
      </c>
      <c r="J193" s="32">
        <v>7.806</v>
      </c>
      <c r="K193" s="32">
        <v>7.4409166839711691</v>
      </c>
      <c r="L193" s="32">
        <v>7.5251180904522608</v>
      </c>
      <c r="M193" s="53">
        <f t="shared" si="9"/>
        <v>2039</v>
      </c>
      <c r="N193" s="3"/>
      <c r="O193" s="3"/>
    </row>
    <row r="194" spans="8:15">
      <c r="H194" s="28">
        <v>51044</v>
      </c>
      <c r="I194" s="32">
        <v>7.9643740816326538</v>
      </c>
      <c r="J194" s="32">
        <v>7.8456000000000001</v>
      </c>
      <c r="K194" s="32">
        <v>7.4846265806064753</v>
      </c>
      <c r="L194" s="32">
        <v>7.7210979899497483</v>
      </c>
      <c r="M194" s="53">
        <f t="shared" si="9"/>
        <v>2039</v>
      </c>
      <c r="N194" s="3"/>
      <c r="O194" s="3"/>
    </row>
    <row r="195" spans="8:15">
      <c r="H195" s="28">
        <v>51075</v>
      </c>
      <c r="I195" s="32">
        <v>8.0077414285714283</v>
      </c>
      <c r="J195" s="32">
        <v>7.8958000000000004</v>
      </c>
      <c r="K195" s="32">
        <v>7.6890528188796159</v>
      </c>
      <c r="L195" s="32">
        <v>7.5703442211055263</v>
      </c>
      <c r="M195" s="53">
        <f t="shared" si="9"/>
        <v>2039</v>
      </c>
      <c r="N195" s="3"/>
      <c r="O195" s="3"/>
    </row>
    <row r="196" spans="8:15">
      <c r="H196" s="28">
        <v>51105</v>
      </c>
      <c r="I196" s="32">
        <v>8.2533536734693875</v>
      </c>
      <c r="J196" s="32">
        <v>8.1574000000000009</v>
      </c>
      <c r="K196" s="32">
        <v>7.995537542221042</v>
      </c>
      <c r="L196" s="32">
        <v>7.4655201005025127</v>
      </c>
      <c r="M196" s="53">
        <f t="shared" si="9"/>
        <v>2039</v>
      </c>
      <c r="N196" s="3"/>
      <c r="O196" s="3"/>
    </row>
    <row r="197" spans="8:15">
      <c r="H197" s="28">
        <v>51136</v>
      </c>
      <c r="I197" s="32">
        <v>8.5153944897959182</v>
      </c>
      <c r="J197" s="32">
        <v>8.4196000000000009</v>
      </c>
      <c r="K197" s="32">
        <v>8.2079016626661616</v>
      </c>
      <c r="L197" s="32">
        <v>7.8241130653266326</v>
      </c>
      <c r="M197" s="53">
        <f t="shared" si="9"/>
        <v>2040</v>
      </c>
      <c r="N197" s="3"/>
      <c r="O197" s="3"/>
    </row>
    <row r="198" spans="8:15">
      <c r="H198" s="28">
        <v>51167</v>
      </c>
      <c r="I198" s="32">
        <v>7.9695781632653064</v>
      </c>
      <c r="J198" s="32">
        <v>7.8772000000000002</v>
      </c>
      <c r="K198" s="32">
        <v>7.6118388741158327</v>
      </c>
      <c r="L198" s="32">
        <v>7.5201934673366821</v>
      </c>
      <c r="M198" s="53">
        <f t="shared" si="9"/>
        <v>2040</v>
      </c>
      <c r="N198" s="3"/>
      <c r="O198" s="3"/>
    </row>
    <row r="199" spans="8:15">
      <c r="H199" s="28">
        <v>51196</v>
      </c>
      <c r="I199" s="32">
        <v>7.3795781632653066</v>
      </c>
      <c r="J199" s="32">
        <v>7.2725</v>
      </c>
      <c r="K199" s="32">
        <v>6.9709322057627716</v>
      </c>
      <c r="L199" s="32">
        <v>7.1752688442211054</v>
      </c>
      <c r="M199" s="53">
        <f t="shared" si="9"/>
        <v>2040</v>
      </c>
      <c r="N199" s="3"/>
      <c r="O199" s="3"/>
    </row>
    <row r="200" spans="8:15">
      <c r="H200" s="28">
        <v>51227</v>
      </c>
      <c r="I200" s="32">
        <v>7.3499863265306127</v>
      </c>
      <c r="J200" s="32">
        <v>7.2350000000000003</v>
      </c>
      <c r="K200" s="32">
        <v>6.6431079809979767</v>
      </c>
      <c r="L200" s="32">
        <v>7.2340628140703505</v>
      </c>
      <c r="M200" s="53">
        <f t="shared" si="9"/>
        <v>2040</v>
      </c>
      <c r="N200" s="3"/>
      <c r="O200" s="3"/>
    </row>
    <row r="201" spans="8:15">
      <c r="H201" s="28">
        <v>51257</v>
      </c>
      <c r="I201" s="32">
        <v>7.3942720408163272</v>
      </c>
      <c r="J201" s="32">
        <v>7.2796000000000003</v>
      </c>
      <c r="K201" s="32">
        <v>6.553626400150228</v>
      </c>
      <c r="L201" s="32">
        <v>7.1445150753768845</v>
      </c>
      <c r="M201" s="53">
        <f t="shared" si="9"/>
        <v>2040</v>
      </c>
      <c r="N201" s="3"/>
      <c r="O201" s="3"/>
    </row>
    <row r="202" spans="8:15">
      <c r="H202" s="28">
        <v>51288</v>
      </c>
      <c r="I202" s="32">
        <v>7.645088367346939</v>
      </c>
      <c r="J202" s="32">
        <v>7.5266000000000002</v>
      </c>
      <c r="K202" s="32">
        <v>6.6505304162756707</v>
      </c>
      <c r="L202" s="32">
        <v>7.3890376884422109</v>
      </c>
      <c r="M202" s="53">
        <f t="shared" si="9"/>
        <v>2040</v>
      </c>
      <c r="N202" s="3"/>
      <c r="O202" s="3"/>
    </row>
    <row r="203" spans="8:15">
      <c r="H203" s="28">
        <v>51318</v>
      </c>
      <c r="I203" s="32">
        <v>8.1466189795918371</v>
      </c>
      <c r="J203" s="32">
        <v>8.0259</v>
      </c>
      <c r="K203" s="32">
        <v>7.3434972209514422</v>
      </c>
      <c r="L203" s="32">
        <v>7.6769773869346727</v>
      </c>
      <c r="M203" s="53">
        <f t="shared" si="9"/>
        <v>2040</v>
      </c>
      <c r="N203" s="3"/>
      <c r="O203" s="3"/>
    </row>
    <row r="204" spans="8:15">
      <c r="H204" s="28">
        <v>51349</v>
      </c>
      <c r="I204" s="32">
        <v>8.2350883673469397</v>
      </c>
      <c r="J204" s="32">
        <v>8.1144999999999996</v>
      </c>
      <c r="K204" s="32">
        <v>7.7012173655847249</v>
      </c>
      <c r="L204" s="32">
        <v>7.8143643216080392</v>
      </c>
      <c r="M204" s="53">
        <f t="shared" si="9"/>
        <v>2040</v>
      </c>
      <c r="N204" s="3"/>
      <c r="O204" s="3"/>
    </row>
    <row r="205" spans="8:15">
      <c r="H205" s="28">
        <v>51380</v>
      </c>
      <c r="I205" s="32">
        <v>8.2498842857142858</v>
      </c>
      <c r="J205" s="32">
        <v>8.1282999999999994</v>
      </c>
      <c r="K205" s="32">
        <v>7.7608030265639858</v>
      </c>
      <c r="L205" s="32">
        <v>7.8490376884422108</v>
      </c>
      <c r="M205" s="53">
        <f t="shared" si="9"/>
        <v>2040</v>
      </c>
      <c r="N205" s="3"/>
      <c r="O205" s="3"/>
    </row>
    <row r="206" spans="8:15">
      <c r="H206" s="28">
        <v>51410</v>
      </c>
      <c r="I206" s="32">
        <v>8.2941700000000012</v>
      </c>
      <c r="J206" s="32">
        <v>8.1686999999999994</v>
      </c>
      <c r="K206" s="32">
        <v>7.8055438169878615</v>
      </c>
      <c r="L206" s="32">
        <v>8.0459221105527643</v>
      </c>
      <c r="M206" s="53">
        <f t="shared" si="9"/>
        <v>2040</v>
      </c>
      <c r="N206" s="3"/>
      <c r="O206" s="3"/>
    </row>
    <row r="207" spans="8:15">
      <c r="H207" s="28">
        <v>51441</v>
      </c>
      <c r="I207" s="32">
        <v>8.3383536734693884</v>
      </c>
      <c r="J207" s="32">
        <v>8.2199000000000009</v>
      </c>
      <c r="K207" s="32">
        <v>7.9844038893045024</v>
      </c>
      <c r="L207" s="32">
        <v>7.8959723618090454</v>
      </c>
      <c r="M207" s="53">
        <f t="shared" si="9"/>
        <v>2040</v>
      </c>
      <c r="N207" s="3"/>
      <c r="O207" s="3"/>
    </row>
    <row r="208" spans="8:15">
      <c r="H208" s="28">
        <v>51471</v>
      </c>
      <c r="I208" s="32">
        <v>8.7367210204081633</v>
      </c>
      <c r="J208" s="32">
        <v>8.6310000000000002</v>
      </c>
      <c r="K208" s="32">
        <v>8.3719168644274156</v>
      </c>
      <c r="L208" s="32">
        <v>7.9416005025125624</v>
      </c>
      <c r="M208" s="53">
        <f t="shared" si="9"/>
        <v>2040</v>
      </c>
      <c r="N208" s="3"/>
      <c r="O208" s="3"/>
    </row>
    <row r="209" spans="8:15">
      <c r="H209" s="28">
        <v>51502</v>
      </c>
      <c r="I209" s="32">
        <v>8.6191700000000004</v>
      </c>
      <c r="J209" s="32">
        <v>8.5212000000000003</v>
      </c>
      <c r="K209" s="32">
        <v>8.2887237356899348</v>
      </c>
      <c r="L209" s="32">
        <v>7.9263241206030148</v>
      </c>
      <c r="M209" s="53">
        <f t="shared" si="9"/>
        <v>2041</v>
      </c>
      <c r="N209" s="3"/>
      <c r="O209" s="3"/>
    </row>
    <row r="210" spans="8:15">
      <c r="H210" s="28">
        <v>51533</v>
      </c>
      <c r="I210" s="32">
        <v>8.4233536734693875</v>
      </c>
      <c r="J210" s="32">
        <v>8.3217999999999996</v>
      </c>
      <c r="K210" s="32">
        <v>8.0149183454461319</v>
      </c>
      <c r="L210" s="32">
        <v>7.967128140703517</v>
      </c>
      <c r="M210" s="53">
        <f t="shared" si="9"/>
        <v>2041</v>
      </c>
      <c r="N210" s="3"/>
      <c r="O210" s="3"/>
    </row>
    <row r="211" spans="8:15">
      <c r="H211" s="28">
        <v>51561</v>
      </c>
      <c r="I211" s="32">
        <v>7.6100883673469397</v>
      </c>
      <c r="J211" s="32">
        <v>7.4984000000000002</v>
      </c>
      <c r="K211" s="32">
        <v>7.132370173052605</v>
      </c>
      <c r="L211" s="32">
        <v>7.4023040201005026</v>
      </c>
      <c r="M211" s="53">
        <f t="shared" si="9"/>
        <v>2041</v>
      </c>
      <c r="N211" s="3"/>
      <c r="O211" s="3"/>
    </row>
    <row r="212" spans="8:15">
      <c r="H212" s="28">
        <v>51592</v>
      </c>
      <c r="I212" s="32">
        <v>7.6100883673469397</v>
      </c>
      <c r="J212" s="32">
        <v>7.4897999999999998</v>
      </c>
      <c r="K212" s="32">
        <v>6.8279987819777448</v>
      </c>
      <c r="L212" s="32">
        <v>7.4902437185929642</v>
      </c>
      <c r="M212" s="53">
        <f t="shared" si="9"/>
        <v>2041</v>
      </c>
      <c r="N212" s="3"/>
      <c r="O212" s="3"/>
    </row>
    <row r="213" spans="8:15">
      <c r="H213" s="28">
        <v>51622</v>
      </c>
      <c r="I213" s="32">
        <v>7.655190408163266</v>
      </c>
      <c r="J213" s="32">
        <v>7.5353000000000003</v>
      </c>
      <c r="K213" s="32">
        <v>6.6910445421664146</v>
      </c>
      <c r="L213" s="32">
        <v>7.4014999999999995</v>
      </c>
      <c r="M213" s="53">
        <f t="shared" si="9"/>
        <v>2041</v>
      </c>
      <c r="N213" s="3"/>
      <c r="O213" s="3"/>
    </row>
    <row r="214" spans="8:15">
      <c r="H214" s="28">
        <v>51653</v>
      </c>
      <c r="I214" s="32">
        <v>7.8661087755102042</v>
      </c>
      <c r="J214" s="32">
        <v>7.7431999999999999</v>
      </c>
      <c r="K214" s="32">
        <v>6.7367131370000006</v>
      </c>
      <c r="L214" s="32">
        <v>7.6067261306532652</v>
      </c>
      <c r="M214" s="53">
        <f t="shared" si="9"/>
        <v>2041</v>
      </c>
      <c r="N214" s="3"/>
      <c r="O214" s="3"/>
    </row>
    <row r="215" spans="8:15">
      <c r="H215" s="28">
        <v>51683</v>
      </c>
      <c r="I215" s="32">
        <v>8.3932516326530617</v>
      </c>
      <c r="J215" s="32">
        <v>8.2675999999999998</v>
      </c>
      <c r="K215" s="32">
        <v>7.4671013862008104</v>
      </c>
      <c r="L215" s="32">
        <v>7.9198919597989947</v>
      </c>
      <c r="M215" s="53">
        <f t="shared" si="9"/>
        <v>2041</v>
      </c>
      <c r="N215" s="3"/>
      <c r="O215" s="3"/>
    </row>
    <row r="216" spans="8:15">
      <c r="H216" s="28">
        <v>51714</v>
      </c>
      <c r="I216" s="32">
        <v>8.4685577551020401</v>
      </c>
      <c r="J216" s="32">
        <v>8.3432999999999993</v>
      </c>
      <c r="K216" s="32">
        <v>7.7866784606570567</v>
      </c>
      <c r="L216" s="32">
        <v>8.0443140703517582</v>
      </c>
      <c r="M216" s="53">
        <f t="shared" si="9"/>
        <v>2041</v>
      </c>
      <c r="N216" s="3"/>
      <c r="O216" s="3"/>
    </row>
    <row r="217" spans="8:15">
      <c r="H217" s="28">
        <v>51745</v>
      </c>
      <c r="I217" s="32">
        <v>8.453455714285715</v>
      </c>
      <c r="J217" s="32">
        <v>8.3277999999999999</v>
      </c>
      <c r="K217" s="32">
        <v>7.8322439661117862</v>
      </c>
      <c r="L217" s="32">
        <v>8.0495402010050245</v>
      </c>
      <c r="M217" s="53">
        <f t="shared" si="9"/>
        <v>2041</v>
      </c>
      <c r="N217" s="3"/>
      <c r="O217" s="3"/>
    </row>
    <row r="218" spans="8:15">
      <c r="H218" s="28">
        <v>51775</v>
      </c>
      <c r="I218" s="32">
        <v>8.4836597959183688</v>
      </c>
      <c r="J218" s="32">
        <v>8.3544</v>
      </c>
      <c r="K218" s="32">
        <v>7.8627584222534139</v>
      </c>
      <c r="L218" s="32">
        <v>8.232555276381909</v>
      </c>
      <c r="M218" s="53">
        <f t="shared" si="9"/>
        <v>2041</v>
      </c>
      <c r="N218" s="3"/>
      <c r="O218" s="3"/>
    </row>
    <row r="219" spans="8:15">
      <c r="H219" s="28">
        <v>51806</v>
      </c>
      <c r="I219" s="32">
        <v>8.5287618367346951</v>
      </c>
      <c r="J219" s="32">
        <v>8.4064999999999994</v>
      </c>
      <c r="K219" s="32">
        <v>8.0604838509008605</v>
      </c>
      <c r="L219" s="32">
        <v>8.083510050251256</v>
      </c>
      <c r="M219" s="53">
        <f t="shared" si="9"/>
        <v>2041</v>
      </c>
      <c r="N219" s="3"/>
      <c r="O219" s="3"/>
    </row>
    <row r="220" spans="8:15">
      <c r="H220" s="28">
        <v>51836</v>
      </c>
      <c r="I220" s="32">
        <v>8.7998842857142865</v>
      </c>
      <c r="J220" s="32">
        <v>8.6929999999999996</v>
      </c>
      <c r="K220" s="32">
        <v>8.3953181534279206</v>
      </c>
      <c r="L220" s="32">
        <v>8.0038115577889446</v>
      </c>
      <c r="M220" s="53">
        <f t="shared" si="9"/>
        <v>2041</v>
      </c>
      <c r="N220" s="3"/>
      <c r="O220" s="3"/>
    </row>
    <row r="221" spans="8:15">
      <c r="H221" s="28">
        <v>51867</v>
      </c>
      <c r="I221" s="32">
        <v>9.046414897959183</v>
      </c>
      <c r="J221" s="32">
        <v>8.94</v>
      </c>
      <c r="K221" s="32">
        <v>8.6334546185872547</v>
      </c>
      <c r="L221" s="32">
        <v>8.3471281407035178</v>
      </c>
      <c r="M221" s="53">
        <f t="shared" si="9"/>
        <v>2042</v>
      </c>
      <c r="N221" s="3"/>
      <c r="O221" s="3"/>
    </row>
    <row r="222" spans="8:15">
      <c r="H222" s="28">
        <v>51898</v>
      </c>
      <c r="I222" s="32">
        <v>8.7081495918367349</v>
      </c>
      <c r="J222" s="32">
        <v>8.6008999999999993</v>
      </c>
      <c r="K222" s="32">
        <v>8.2295504322260999</v>
      </c>
      <c r="L222" s="32">
        <v>8.2476306532663308</v>
      </c>
      <c r="M222" s="53">
        <f t="shared" si="9"/>
        <v>2042</v>
      </c>
      <c r="N222" s="3"/>
      <c r="O222" s="3"/>
    </row>
    <row r="223" spans="8:15">
      <c r="H223" s="28">
        <v>51926</v>
      </c>
      <c r="I223" s="32">
        <v>7.8777414285714293</v>
      </c>
      <c r="J223" s="32">
        <v>7.7607999999999997</v>
      </c>
      <c r="K223" s="32">
        <v>7.359527619363682</v>
      </c>
      <c r="L223" s="32">
        <v>7.6659221105527635</v>
      </c>
      <c r="M223" s="53">
        <f t="shared" si="9"/>
        <v>2042</v>
      </c>
      <c r="N223" s="3"/>
      <c r="O223" s="3"/>
    </row>
    <row r="224" spans="8:15">
      <c r="H224" s="28">
        <v>51957</v>
      </c>
      <c r="I224" s="32">
        <v>7.9392720408163271</v>
      </c>
      <c r="J224" s="32">
        <v>7.8124000000000002</v>
      </c>
      <c r="K224" s="32">
        <v>7.0488677761785539</v>
      </c>
      <c r="L224" s="32">
        <v>7.8144648241206029</v>
      </c>
      <c r="M224" s="53">
        <f t="shared" ref="M224:M311" si="10">YEAR(H224)</f>
        <v>2042</v>
      </c>
      <c r="N224" s="3"/>
      <c r="O224" s="3"/>
    </row>
    <row r="225" spans="8:15">
      <c r="H225" s="28">
        <v>51987</v>
      </c>
      <c r="I225" s="32">
        <v>7.9699863265306128</v>
      </c>
      <c r="J225" s="32">
        <v>7.8437999999999999</v>
      </c>
      <c r="K225" s="32">
        <v>6.9245419852771883</v>
      </c>
      <c r="L225" s="32">
        <v>7.7115502512562806</v>
      </c>
      <c r="M225" s="53">
        <f t="shared" si="10"/>
        <v>2042</v>
      </c>
      <c r="N225" s="3"/>
      <c r="O225" s="3"/>
    </row>
    <row r="226" spans="8:15">
      <c r="H226" s="28">
        <v>52018</v>
      </c>
      <c r="I226" s="32">
        <v>8.1852924489795917</v>
      </c>
      <c r="J226" s="32">
        <v>8.0559999999999992</v>
      </c>
      <c r="K226" s="32">
        <v>7.0177347837637836</v>
      </c>
      <c r="L226" s="32">
        <v>7.9210979899497476</v>
      </c>
      <c r="M226" s="53">
        <f t="shared" si="10"/>
        <v>2042</v>
      </c>
      <c r="N226" s="3"/>
      <c r="O226" s="3"/>
    </row>
    <row r="227" spans="8:15">
      <c r="H227" s="28">
        <v>52048</v>
      </c>
      <c r="I227" s="32">
        <v>8.7542720408163284</v>
      </c>
      <c r="J227" s="32">
        <v>8.6213999999999995</v>
      </c>
      <c r="K227" s="32">
        <v>7.6547240557202842</v>
      </c>
      <c r="L227" s="32">
        <v>8.27546984924623</v>
      </c>
      <c r="M227" s="53">
        <f t="shared" si="10"/>
        <v>2042</v>
      </c>
      <c r="N227" s="3"/>
      <c r="O227" s="3"/>
    </row>
    <row r="228" spans="8:15">
      <c r="H228" s="28">
        <v>52079</v>
      </c>
      <c r="I228" s="32">
        <v>8.8003944897959183</v>
      </c>
      <c r="J228" s="32">
        <v>8.6684999999999999</v>
      </c>
      <c r="K228" s="32">
        <v>8.0741947382888206</v>
      </c>
      <c r="L228" s="32">
        <v>8.3711482412060292</v>
      </c>
      <c r="M228" s="53">
        <f t="shared" si="10"/>
        <v>2042</v>
      </c>
      <c r="N228" s="3"/>
      <c r="O228" s="3"/>
    </row>
    <row r="229" spans="8:15">
      <c r="H229" s="28">
        <v>52110</v>
      </c>
      <c r="I229" s="32">
        <v>8.8312108163265304</v>
      </c>
      <c r="J229" s="32">
        <v>8.6979000000000006</v>
      </c>
      <c r="K229" s="32">
        <v>8.1207911375321196</v>
      </c>
      <c r="L229" s="32">
        <v>8.4216005025125629</v>
      </c>
      <c r="M229" s="53">
        <f t="shared" si="10"/>
        <v>2042</v>
      </c>
      <c r="N229" s="3"/>
      <c r="O229" s="3"/>
    </row>
    <row r="230" spans="8:15">
      <c r="H230" s="28">
        <v>52140</v>
      </c>
      <c r="I230" s="32">
        <v>8.8773332653061239</v>
      </c>
      <c r="J230" s="32">
        <v>8.7401999999999997</v>
      </c>
      <c r="K230" s="32">
        <v>8.1673875367754167</v>
      </c>
      <c r="L230" s="32">
        <v>8.6202939698492447</v>
      </c>
      <c r="M230" s="53">
        <f t="shared" si="10"/>
        <v>2042</v>
      </c>
      <c r="N230" s="3"/>
      <c r="O230" s="3"/>
    </row>
    <row r="231" spans="8:15">
      <c r="H231" s="28">
        <v>52171</v>
      </c>
      <c r="I231" s="32">
        <v>8.9387618367346953</v>
      </c>
      <c r="J231" s="32">
        <v>8.8082999999999991</v>
      </c>
      <c r="K231" s="32">
        <v>8.4626355178214467</v>
      </c>
      <c r="L231" s="32">
        <v>8.4873291457286424</v>
      </c>
      <c r="M231" s="53">
        <f t="shared" si="10"/>
        <v>2042</v>
      </c>
      <c r="N231" s="3"/>
      <c r="O231" s="3"/>
    </row>
    <row r="232" spans="8:15">
      <c r="H232" s="28">
        <v>52201</v>
      </c>
      <c r="I232" s="32">
        <v>9.3078434693877554</v>
      </c>
      <c r="J232" s="32">
        <v>9.1907999999999994</v>
      </c>
      <c r="K232" s="32">
        <v>8.8043768087319183</v>
      </c>
      <c r="L232" s="32">
        <v>8.5041130653266332</v>
      </c>
      <c r="M232" s="53">
        <f t="shared" si="10"/>
        <v>2042</v>
      </c>
      <c r="N232" s="3"/>
      <c r="O232" s="3"/>
    </row>
    <row r="233" spans="8:15">
      <c r="H233" s="28">
        <v>52232</v>
      </c>
      <c r="I233" s="32">
        <v>9.2523332653061239</v>
      </c>
      <c r="J233" s="32">
        <v>9.1417999999999999</v>
      </c>
      <c r="K233" s="32">
        <v>8.8304584215827013</v>
      </c>
      <c r="L233" s="32">
        <v>8.5499422110552743</v>
      </c>
      <c r="M233" s="53">
        <f t="shared" si="10"/>
        <v>2043</v>
      </c>
      <c r="N233" s="3"/>
      <c r="O233" s="3"/>
    </row>
    <row r="234" spans="8:15">
      <c r="H234" s="28">
        <v>52263</v>
      </c>
      <c r="I234" s="32">
        <v>9.0953944897959182</v>
      </c>
      <c r="J234" s="32">
        <v>8.9803999999999995</v>
      </c>
      <c r="K234" s="32">
        <v>8.592528135181082</v>
      </c>
      <c r="L234" s="32">
        <v>8.6290376884422102</v>
      </c>
      <c r="M234" s="53">
        <f t="shared" si="10"/>
        <v>2043</v>
      </c>
      <c r="N234" s="3"/>
      <c r="O234" s="3"/>
    </row>
    <row r="235" spans="8:15">
      <c r="H235" s="28">
        <v>52291</v>
      </c>
      <c r="I235" s="32">
        <v>8.3574353061224489</v>
      </c>
      <c r="J235" s="32">
        <v>8.2309000000000001</v>
      </c>
      <c r="K235" s="32">
        <v>7.6883311932276186</v>
      </c>
      <c r="L235" s="32">
        <v>8.1383844221105512</v>
      </c>
      <c r="M235" s="53">
        <f t="shared" si="10"/>
        <v>2043</v>
      </c>
      <c r="N235" s="3"/>
      <c r="O235" s="3"/>
    </row>
    <row r="236" spans="8:15">
      <c r="H236" s="28">
        <v>52322</v>
      </c>
      <c r="I236" s="32">
        <v>8.3417210204081638</v>
      </c>
      <c r="J236" s="32">
        <v>8.2068999999999992</v>
      </c>
      <c r="K236" s="32">
        <v>7.3552494101411234</v>
      </c>
      <c r="L236" s="32">
        <v>8.2108467336683422</v>
      </c>
      <c r="M236" s="53">
        <f t="shared" si="10"/>
        <v>2043</v>
      </c>
      <c r="N236" s="3"/>
      <c r="O236" s="3"/>
    </row>
    <row r="237" spans="8:15">
      <c r="H237" s="28">
        <v>52352</v>
      </c>
      <c r="I237" s="32">
        <v>8.373149591836734</v>
      </c>
      <c r="J237" s="32">
        <v>8.2387999999999995</v>
      </c>
      <c r="K237" s="32">
        <v>7.0221676270546292</v>
      </c>
      <c r="L237" s="32">
        <v>8.1086356783919591</v>
      </c>
      <c r="M237" s="53">
        <f t="shared" si="10"/>
        <v>2043</v>
      </c>
      <c r="N237" s="3"/>
      <c r="O237" s="3"/>
    </row>
    <row r="238" spans="8:15">
      <c r="H238" s="28">
        <v>52383</v>
      </c>
      <c r="I238" s="32">
        <v>8.5772312244897968</v>
      </c>
      <c r="J238" s="32">
        <v>8.4400999999999993</v>
      </c>
      <c r="K238" s="32">
        <v>7.1173191237395041</v>
      </c>
      <c r="L238" s="32">
        <v>8.3071281407035151</v>
      </c>
      <c r="M238" s="53">
        <f t="shared" si="10"/>
        <v>2043</v>
      </c>
      <c r="N238" s="3"/>
      <c r="O238" s="3"/>
    </row>
    <row r="239" spans="8:15">
      <c r="H239" s="28">
        <v>52413</v>
      </c>
      <c r="I239" s="32">
        <v>9.0953944897959182</v>
      </c>
      <c r="J239" s="32">
        <v>8.9556000000000004</v>
      </c>
      <c r="K239" s="32">
        <v>7.9262614796292361</v>
      </c>
      <c r="L239" s="32">
        <v>8.611449748743718</v>
      </c>
      <c r="M239" s="53">
        <f t="shared" si="10"/>
        <v>2043</v>
      </c>
      <c r="N239" s="3"/>
      <c r="O239" s="3"/>
    </row>
    <row r="240" spans="8:15">
      <c r="H240" s="28">
        <v>52444</v>
      </c>
      <c r="I240" s="32">
        <v>9.1581495918367359</v>
      </c>
      <c r="J240" s="32">
        <v>9.0190999999999999</v>
      </c>
      <c r="K240" s="32">
        <v>8.3387220844355081</v>
      </c>
      <c r="L240" s="32">
        <v>8.7235100502512548</v>
      </c>
      <c r="M240" s="53">
        <f t="shared" si="10"/>
        <v>2043</v>
      </c>
      <c r="N240" s="3"/>
      <c r="O240" s="3"/>
    </row>
    <row r="241" spans="8:15">
      <c r="H241" s="28">
        <v>52475</v>
      </c>
      <c r="I241" s="32">
        <v>9.1581495918367359</v>
      </c>
      <c r="J241" s="32">
        <v>9.0183999999999997</v>
      </c>
      <c r="K241" s="32">
        <v>8.4021220524324747</v>
      </c>
      <c r="L241" s="32">
        <v>8.7436105527638173</v>
      </c>
      <c r="M241" s="53">
        <f t="shared" si="10"/>
        <v>2043</v>
      </c>
      <c r="N241" s="3"/>
      <c r="O241" s="3"/>
    </row>
    <row r="242" spans="8:15">
      <c r="H242" s="28">
        <v>52505</v>
      </c>
      <c r="I242" s="32">
        <v>9.2052924489795913</v>
      </c>
      <c r="J242" s="32">
        <v>9.0616000000000003</v>
      </c>
      <c r="K242" s="32">
        <v>8.433873581120384</v>
      </c>
      <c r="L242" s="32">
        <v>8.9433090452261297</v>
      </c>
      <c r="M242" s="53">
        <f t="shared" si="10"/>
        <v>2043</v>
      </c>
      <c r="N242" s="3"/>
      <c r="O242" s="3"/>
    </row>
    <row r="243" spans="8:15">
      <c r="H243" s="28">
        <v>52536</v>
      </c>
      <c r="I243" s="32">
        <v>9.268047551020409</v>
      </c>
      <c r="J243" s="32">
        <v>9.1309000000000005</v>
      </c>
      <c r="K243" s="32">
        <v>8.7510795998629227</v>
      </c>
      <c r="L243" s="32">
        <v>8.8116507537688431</v>
      </c>
      <c r="M243" s="53">
        <f t="shared" si="10"/>
        <v>2043</v>
      </c>
      <c r="N243" s="3"/>
      <c r="O243" s="3"/>
    </row>
    <row r="244" spans="8:15">
      <c r="H244" s="28">
        <v>52566</v>
      </c>
      <c r="I244" s="32">
        <v>9.503557755102042</v>
      </c>
      <c r="J244" s="32">
        <v>9.3826000000000001</v>
      </c>
      <c r="K244" s="32">
        <v>8.9890098862645438</v>
      </c>
      <c r="L244" s="32">
        <v>8.6968768844221085</v>
      </c>
      <c r="M244" s="53">
        <f t="shared" si="10"/>
        <v>2043</v>
      </c>
      <c r="N244" s="3"/>
      <c r="O244" s="3"/>
    </row>
    <row r="245" spans="8:15">
      <c r="H245" s="28">
        <v>52597</v>
      </c>
      <c r="I245" s="32">
        <v>9.7610067346938774</v>
      </c>
      <c r="J245" s="32">
        <v>9.6402999999999999</v>
      </c>
      <c r="K245" s="32">
        <v>9.2351873229747081</v>
      </c>
      <c r="L245" s="32">
        <v>9.0509472361809049</v>
      </c>
      <c r="M245" s="53">
        <f t="shared" si="10"/>
        <v>2044</v>
      </c>
      <c r="N245" s="3"/>
      <c r="O245" s="3"/>
    </row>
    <row r="246" spans="8:15">
      <c r="H246" s="28">
        <v>52628</v>
      </c>
      <c r="I246" s="32">
        <v>9.2315169387755098</v>
      </c>
      <c r="J246" s="32">
        <v>9.1137999999999995</v>
      </c>
      <c r="K246" s="32">
        <v>8.6677833817465864</v>
      </c>
      <c r="L246" s="32">
        <v>8.7631080402010042</v>
      </c>
      <c r="M246" s="53">
        <f t="shared" si="10"/>
        <v>2044</v>
      </c>
      <c r="N246" s="3"/>
      <c r="O246" s="3"/>
    </row>
    <row r="247" spans="8:15">
      <c r="H247" s="28">
        <v>52657</v>
      </c>
      <c r="I247" s="32">
        <v>8.7500883673469385</v>
      </c>
      <c r="J247" s="32">
        <v>8.6157000000000004</v>
      </c>
      <c r="K247" s="32">
        <v>8.0436802821471929</v>
      </c>
      <c r="L247" s="32">
        <v>8.5251180904522599</v>
      </c>
      <c r="M247" s="53">
        <f t="shared" si="10"/>
        <v>2044</v>
      </c>
      <c r="N247" s="3"/>
      <c r="O247" s="3"/>
    </row>
    <row r="248" spans="8:15">
      <c r="H248" s="28">
        <v>52688</v>
      </c>
      <c r="I248" s="32">
        <v>8.7180475510204083</v>
      </c>
      <c r="J248" s="32">
        <v>8.5756999999999994</v>
      </c>
      <c r="K248" s="32">
        <v>7.6465284501011634</v>
      </c>
      <c r="L248" s="32">
        <v>8.5815000000000001</v>
      </c>
      <c r="M248" s="53">
        <f t="shared" si="10"/>
        <v>2044</v>
      </c>
      <c r="N248" s="3"/>
      <c r="O248" s="3"/>
    </row>
    <row r="249" spans="8:15">
      <c r="H249" s="28">
        <v>52718</v>
      </c>
      <c r="I249" s="32">
        <v>8.7662108163265309</v>
      </c>
      <c r="J249" s="32">
        <v>8.6240000000000006</v>
      </c>
      <c r="K249" s="32">
        <v>7.3871555728973206</v>
      </c>
      <c r="L249" s="32">
        <v>8.4957713567839193</v>
      </c>
      <c r="M249" s="53">
        <f t="shared" si="10"/>
        <v>2044</v>
      </c>
      <c r="N249" s="3"/>
      <c r="O249" s="3"/>
    </row>
    <row r="250" spans="8:15">
      <c r="H250" s="28">
        <v>52749</v>
      </c>
      <c r="I250" s="32">
        <v>8.9587618367346931</v>
      </c>
      <c r="J250" s="32">
        <v>8.8140000000000001</v>
      </c>
      <c r="K250" s="32">
        <v>7.4195771825478012</v>
      </c>
      <c r="L250" s="32">
        <v>8.6829070351758784</v>
      </c>
      <c r="M250" s="53">
        <f t="shared" si="10"/>
        <v>2044</v>
      </c>
      <c r="N250" s="3"/>
      <c r="O250" s="3"/>
    </row>
    <row r="251" spans="8:15">
      <c r="H251" s="28">
        <v>52779</v>
      </c>
      <c r="I251" s="32">
        <v>9.520394489795919</v>
      </c>
      <c r="J251" s="32">
        <v>9.3720999999999997</v>
      </c>
      <c r="K251" s="32">
        <v>8.2949090984213463</v>
      </c>
      <c r="L251" s="32">
        <v>9.0300427135678376</v>
      </c>
      <c r="M251" s="53">
        <f t="shared" si="10"/>
        <v>2044</v>
      </c>
      <c r="N251" s="3"/>
      <c r="O251" s="3"/>
    </row>
    <row r="252" spans="8:15">
      <c r="H252" s="28">
        <v>52810</v>
      </c>
      <c r="I252" s="32">
        <v>9.5684557142857134</v>
      </c>
      <c r="J252" s="32">
        <v>9.4212000000000007</v>
      </c>
      <c r="K252" s="32">
        <v>8.6677833817465864</v>
      </c>
      <c r="L252" s="32">
        <v>9.1276306532663316</v>
      </c>
      <c r="M252" s="53">
        <f t="shared" si="10"/>
        <v>2044</v>
      </c>
      <c r="N252" s="3"/>
      <c r="O252" s="3"/>
    </row>
    <row r="253" spans="8:15">
      <c r="H253" s="28">
        <v>52841</v>
      </c>
      <c r="I253" s="32">
        <v>9.5524353061224492</v>
      </c>
      <c r="J253" s="32">
        <v>9.4047999999999998</v>
      </c>
      <c r="K253" s="32">
        <v>8.7326266010475493</v>
      </c>
      <c r="L253" s="32">
        <v>9.131952261306532</v>
      </c>
      <c r="M253" s="53">
        <f t="shared" si="10"/>
        <v>2044</v>
      </c>
      <c r="N253" s="3"/>
      <c r="O253" s="3"/>
    </row>
    <row r="254" spans="8:15">
      <c r="H254" s="28">
        <v>52871</v>
      </c>
      <c r="I254" s="32">
        <v>9.5845781632653058</v>
      </c>
      <c r="J254" s="32">
        <v>9.4332999999999991</v>
      </c>
      <c r="K254" s="32">
        <v>8.74891472290693</v>
      </c>
      <c r="L254" s="32">
        <v>9.3168768844221113</v>
      </c>
      <c r="M254" s="53">
        <f t="shared" si="10"/>
        <v>2044</v>
      </c>
      <c r="N254" s="3"/>
      <c r="O254" s="3"/>
    </row>
    <row r="255" spans="8:15">
      <c r="H255" s="28">
        <v>52902</v>
      </c>
      <c r="I255" s="32">
        <v>9.6487618367346943</v>
      </c>
      <c r="J255" s="32">
        <v>9.5039999999999996</v>
      </c>
      <c r="K255" s="32">
        <v>9.1216859168533144</v>
      </c>
      <c r="L255" s="32">
        <v>9.1866256281407033</v>
      </c>
      <c r="M255" s="53">
        <f t="shared" si="10"/>
        <v>2044</v>
      </c>
      <c r="N255" s="3"/>
      <c r="O255" s="3"/>
    </row>
    <row r="256" spans="8:15">
      <c r="H256" s="28">
        <v>52932</v>
      </c>
      <c r="I256" s="32">
        <v>9.8733536734693867</v>
      </c>
      <c r="J256" s="32">
        <v>9.7449999999999992</v>
      </c>
      <c r="K256" s="32">
        <v>9.3325036966155803</v>
      </c>
      <c r="L256" s="32">
        <v>9.061097989949749</v>
      </c>
      <c r="M256" s="53">
        <f t="shared" si="10"/>
        <v>2044</v>
      </c>
      <c r="N256" s="3"/>
      <c r="O256" s="3"/>
    </row>
    <row r="257" spans="8:15">
      <c r="H257" s="28">
        <v>52963</v>
      </c>
      <c r="I257" s="32">
        <v>10.139986326530613</v>
      </c>
      <c r="J257" s="32">
        <v>10.011699999999999</v>
      </c>
      <c r="K257" s="32">
        <v>9.5872375517708655</v>
      </c>
      <c r="L257" s="32">
        <v>9.4242135678391961</v>
      </c>
      <c r="M257" s="53">
        <f t="shared" si="10"/>
        <v>2045</v>
      </c>
      <c r="N257" s="3"/>
      <c r="O257" s="3"/>
    </row>
    <row r="258" spans="8:15">
      <c r="H258" s="28">
        <v>52994</v>
      </c>
      <c r="I258" s="32">
        <v>9.828455714285715</v>
      </c>
      <c r="J258" s="32">
        <v>9.6988000000000003</v>
      </c>
      <c r="K258" s="32">
        <v>9.2559082881249388</v>
      </c>
      <c r="L258" s="32">
        <v>9.3510477386934667</v>
      </c>
      <c r="M258" s="53">
        <f t="shared" si="10"/>
        <v>2045</v>
      </c>
      <c r="N258" s="3"/>
      <c r="O258" s="3"/>
    </row>
    <row r="259" spans="8:15">
      <c r="H259" s="28">
        <v>53022</v>
      </c>
      <c r="I259" s="32">
        <v>9.1232516326530622</v>
      </c>
      <c r="J259" s="32">
        <v>8.9814000000000007</v>
      </c>
      <c r="K259" s="32">
        <v>8.4108846496353067</v>
      </c>
      <c r="L259" s="32">
        <v>8.892655778894472</v>
      </c>
      <c r="M259" s="53">
        <f t="shared" si="10"/>
        <v>2045</v>
      </c>
      <c r="N259" s="3"/>
      <c r="O259" s="3"/>
    </row>
    <row r="260" spans="8:15">
      <c r="H260" s="28">
        <v>53053</v>
      </c>
      <c r="I260" s="32">
        <v>9.1068230612244907</v>
      </c>
      <c r="J260" s="32">
        <v>8.9566999999999997</v>
      </c>
      <c r="K260" s="32">
        <v>7.8890977585513404</v>
      </c>
      <c r="L260" s="32">
        <v>8.964414572864321</v>
      </c>
      <c r="M260" s="53">
        <f t="shared" si="10"/>
        <v>2045</v>
      </c>
      <c r="N260" s="3"/>
      <c r="O260" s="3"/>
    </row>
    <row r="261" spans="8:15">
      <c r="H261" s="28">
        <v>53083</v>
      </c>
      <c r="I261" s="32">
        <v>9.1561087755102033</v>
      </c>
      <c r="J261" s="32">
        <v>9.0061</v>
      </c>
      <c r="K261" s="32">
        <v>7.6322505711294886</v>
      </c>
      <c r="L261" s="32">
        <v>8.8797914572864318</v>
      </c>
      <c r="M261" s="53">
        <f t="shared" si="10"/>
        <v>2045</v>
      </c>
      <c r="N261" s="3"/>
      <c r="O261" s="3"/>
    </row>
    <row r="262" spans="8:15">
      <c r="H262" s="28">
        <v>53114</v>
      </c>
      <c r="I262" s="32">
        <v>9.3692720408163268</v>
      </c>
      <c r="J262" s="32">
        <v>9.2163000000000004</v>
      </c>
      <c r="K262" s="32">
        <v>7.6322505711294895</v>
      </c>
      <c r="L262" s="32">
        <v>9.0872286432160791</v>
      </c>
      <c r="M262" s="53">
        <f t="shared" si="10"/>
        <v>2045</v>
      </c>
      <c r="N262" s="3"/>
      <c r="O262" s="3"/>
    </row>
    <row r="263" spans="8:15">
      <c r="H263" s="28">
        <v>53144</v>
      </c>
      <c r="I263" s="32">
        <v>9.8940679591836744</v>
      </c>
      <c r="J263" s="32">
        <v>9.7383000000000006</v>
      </c>
      <c r="K263" s="32">
        <v>8.5103659002321717</v>
      </c>
      <c r="L263" s="32">
        <v>9.3980829145728642</v>
      </c>
      <c r="M263" s="53">
        <f t="shared" si="10"/>
        <v>2045</v>
      </c>
      <c r="N263" s="3"/>
      <c r="O263" s="3"/>
    </row>
    <row r="264" spans="8:15">
      <c r="H264" s="28">
        <v>53175</v>
      </c>
      <c r="I264" s="32">
        <v>9.9432516326530607</v>
      </c>
      <c r="J264" s="32">
        <v>9.7883999999999993</v>
      </c>
      <c r="K264" s="32">
        <v>8.9245790244790086</v>
      </c>
      <c r="L264" s="32">
        <v>9.4967763819095481</v>
      </c>
      <c r="M264" s="53">
        <f t="shared" si="10"/>
        <v>2045</v>
      </c>
      <c r="N264" s="3"/>
      <c r="O264" s="3"/>
    </row>
    <row r="265" spans="8:15">
      <c r="H265" s="28">
        <v>53206</v>
      </c>
      <c r="I265" s="32">
        <v>9.9268230612244892</v>
      </c>
      <c r="J265" s="32">
        <v>9.7716999999999992</v>
      </c>
      <c r="K265" s="32">
        <v>8.9742681050880115</v>
      </c>
      <c r="L265" s="32">
        <v>9.500695979899497</v>
      </c>
      <c r="M265" s="53">
        <f t="shared" si="10"/>
        <v>2045</v>
      </c>
      <c r="N265" s="3"/>
      <c r="O265" s="3"/>
    </row>
    <row r="266" spans="8:15">
      <c r="H266" s="28">
        <v>53236</v>
      </c>
      <c r="I266" s="32">
        <v>9.9924353061224505</v>
      </c>
      <c r="J266" s="32">
        <v>9.8330000000000002</v>
      </c>
      <c r="K266" s="32">
        <v>9.0405545756929708</v>
      </c>
      <c r="L266" s="32">
        <v>9.7185854271356771</v>
      </c>
      <c r="M266" s="53">
        <f t="shared" si="10"/>
        <v>2045</v>
      </c>
      <c r="N266" s="3"/>
      <c r="O266" s="3"/>
    </row>
    <row r="267" spans="8:15">
      <c r="H267" s="28">
        <v>53267</v>
      </c>
      <c r="I267" s="32">
        <v>10.058047551020408</v>
      </c>
      <c r="J267" s="32">
        <v>9.9050999999999991</v>
      </c>
      <c r="K267" s="32">
        <v>9.471262000556905</v>
      </c>
      <c r="L267" s="32">
        <v>9.5897412060301495</v>
      </c>
      <c r="M267" s="53">
        <f t="shared" si="10"/>
        <v>2045</v>
      </c>
      <c r="N267" s="3"/>
      <c r="O267" s="3"/>
    </row>
    <row r="268" spans="8:15">
      <c r="H268" s="28">
        <v>53297</v>
      </c>
      <c r="I268" s="32">
        <v>10.386006734693879</v>
      </c>
      <c r="J268" s="32">
        <v>10.247400000000001</v>
      </c>
      <c r="K268" s="32">
        <v>9.7529537282832575</v>
      </c>
      <c r="L268" s="32">
        <v>9.5660226130653268</v>
      </c>
      <c r="M268" s="53">
        <f t="shared" si="10"/>
        <v>2045</v>
      </c>
      <c r="N268" s="3"/>
      <c r="O268" s="3"/>
    </row>
    <row r="269" spans="8:15">
      <c r="H269" s="28">
        <v>53328</v>
      </c>
      <c r="I269" s="32">
        <v>10.246006734693879</v>
      </c>
      <c r="J269" s="32">
        <v>10.115600000000001</v>
      </c>
      <c r="K269" s="32">
        <v>9.6285763926924641</v>
      </c>
      <c r="L269" s="32">
        <v>9.528635678391959</v>
      </c>
      <c r="M269" s="53">
        <f t="shared" si="10"/>
        <v>2046</v>
      </c>
      <c r="N269" s="3"/>
      <c r="O269" s="3"/>
    </row>
    <row r="270" spans="8:15">
      <c r="H270" s="28">
        <v>53359</v>
      </c>
      <c r="I270" s="32">
        <v>10.011414897959185</v>
      </c>
      <c r="J270" s="32">
        <v>9.8780999999999999</v>
      </c>
      <c r="K270" s="32">
        <v>9.4253872269656025</v>
      </c>
      <c r="L270" s="32">
        <v>9.5312487437185922</v>
      </c>
      <c r="M270" s="53">
        <f t="shared" si="10"/>
        <v>2046</v>
      </c>
      <c r="N270" s="3"/>
      <c r="O270" s="3"/>
    </row>
    <row r="271" spans="8:15">
      <c r="H271" s="28">
        <v>53387</v>
      </c>
      <c r="I271" s="32">
        <v>9.3242720408163269</v>
      </c>
      <c r="J271" s="32">
        <v>9.1783000000000001</v>
      </c>
      <c r="K271" s="32">
        <v>8.5957239059256469</v>
      </c>
      <c r="L271" s="32">
        <v>9.0906457286432154</v>
      </c>
      <c r="M271" s="53">
        <f t="shared" si="10"/>
        <v>2046</v>
      </c>
      <c r="N271" s="3"/>
      <c r="O271" s="3"/>
    </row>
    <row r="272" spans="8:15">
      <c r="H272" s="28">
        <v>53418</v>
      </c>
      <c r="I272" s="32">
        <v>9.3242720408163269</v>
      </c>
      <c r="J272" s="32">
        <v>9.1697000000000006</v>
      </c>
      <c r="K272" s="32">
        <v>8.0623394597202847</v>
      </c>
      <c r="L272" s="32">
        <v>9.1785854271356779</v>
      </c>
      <c r="M272" s="53">
        <f t="shared" si="10"/>
        <v>2046</v>
      </c>
      <c r="N272" s="3"/>
      <c r="O272" s="3"/>
    </row>
    <row r="273" spans="8:15">
      <c r="H273" s="28">
        <v>53448</v>
      </c>
      <c r="I273" s="32">
        <v>9.3744761224489803</v>
      </c>
      <c r="J273" s="32">
        <v>9.2202000000000002</v>
      </c>
      <c r="K273" s="32">
        <v>7.8083787749064237</v>
      </c>
      <c r="L273" s="32">
        <v>9.094866834170853</v>
      </c>
      <c r="M273" s="53">
        <f t="shared" si="10"/>
        <v>2046</v>
      </c>
      <c r="N273" s="3"/>
      <c r="O273" s="3"/>
    </row>
    <row r="274" spans="8:15">
      <c r="H274" s="28">
        <v>53479</v>
      </c>
      <c r="I274" s="32">
        <v>9.5588638775510208</v>
      </c>
      <c r="J274" s="32">
        <v>9.4021000000000008</v>
      </c>
      <c r="K274" s="32">
        <v>7.8676551677491151</v>
      </c>
      <c r="L274" s="32">
        <v>9.2739623115577885</v>
      </c>
      <c r="M274" s="53">
        <f t="shared" si="10"/>
        <v>2046</v>
      </c>
      <c r="N274" s="3"/>
      <c r="O274" s="3"/>
    </row>
    <row r="275" spans="8:15">
      <c r="H275" s="28">
        <v>53509</v>
      </c>
      <c r="I275" s="32">
        <v>10.111925102040816</v>
      </c>
      <c r="J275" s="32">
        <v>9.9519000000000002</v>
      </c>
      <c r="K275" s="32">
        <v>8.6803602859671205</v>
      </c>
      <c r="L275" s="32">
        <v>9.6126557788944726</v>
      </c>
      <c r="M275" s="53">
        <f t="shared" si="10"/>
        <v>2046</v>
      </c>
      <c r="N275" s="3"/>
      <c r="O275" s="3"/>
    </row>
    <row r="276" spans="8:15">
      <c r="H276" s="28">
        <v>53540</v>
      </c>
      <c r="I276" s="32">
        <v>10.195700612244899</v>
      </c>
      <c r="J276" s="32">
        <v>10.0359</v>
      </c>
      <c r="K276" s="32">
        <v>9.1544683393297941</v>
      </c>
      <c r="L276" s="32">
        <v>9.7454195979899492</v>
      </c>
      <c r="M276" s="53">
        <f t="shared" si="10"/>
        <v>2046</v>
      </c>
      <c r="N276" s="3"/>
      <c r="O276" s="3"/>
    </row>
    <row r="277" spans="8:15">
      <c r="H277" s="28">
        <v>53571</v>
      </c>
      <c r="I277" s="32">
        <v>10.162231224489796</v>
      </c>
      <c r="J277" s="32">
        <v>10.0024</v>
      </c>
      <c r="K277" s="32">
        <v>9.2052914031062212</v>
      </c>
      <c r="L277" s="32">
        <v>9.732555276381909</v>
      </c>
      <c r="M277" s="53">
        <f t="shared" si="10"/>
        <v>2046</v>
      </c>
      <c r="N277" s="3"/>
      <c r="O277" s="3"/>
    </row>
    <row r="278" spans="8:15">
      <c r="H278" s="28">
        <v>53601</v>
      </c>
      <c r="I278" s="32">
        <v>10.178965918367346</v>
      </c>
      <c r="J278" s="32">
        <v>10.0159</v>
      </c>
      <c r="K278" s="32">
        <v>9.2052914031062212</v>
      </c>
      <c r="L278" s="32">
        <v>9.9023040201005017</v>
      </c>
      <c r="M278" s="53">
        <f t="shared" si="10"/>
        <v>2046</v>
      </c>
      <c r="N278" s="3"/>
      <c r="O278" s="3"/>
    </row>
    <row r="279" spans="8:15">
      <c r="H279" s="28">
        <v>53632</v>
      </c>
      <c r="I279" s="32">
        <v>10.229272040816326</v>
      </c>
      <c r="J279" s="32">
        <v>10.072900000000001</v>
      </c>
      <c r="K279" s="32">
        <v>9.6285763926924641</v>
      </c>
      <c r="L279" s="32">
        <v>9.7583844221105522</v>
      </c>
      <c r="M279" s="53">
        <f t="shared" si="10"/>
        <v>2046</v>
      </c>
      <c r="N279" s="3"/>
      <c r="O279" s="3"/>
    </row>
    <row r="280" spans="8:15">
      <c r="H280" s="28">
        <v>53662</v>
      </c>
      <c r="I280" s="32">
        <v>10.430394489795919</v>
      </c>
      <c r="J280" s="32">
        <v>10.290800000000001</v>
      </c>
      <c r="K280" s="32">
        <v>9.814858900286799</v>
      </c>
      <c r="L280" s="32">
        <v>9.6097412060301508</v>
      </c>
      <c r="M280" s="53">
        <f t="shared" si="10"/>
        <v>2046</v>
      </c>
      <c r="N280" s="3"/>
      <c r="O280" s="3"/>
    </row>
    <row r="281" spans="8:15">
      <c r="H281" s="28">
        <v>53693</v>
      </c>
      <c r="I281" s="32">
        <v>10.728659795918368</v>
      </c>
      <c r="J281" s="32">
        <v>10.5885</v>
      </c>
      <c r="K281" s="32">
        <v>10.099797943447143</v>
      </c>
      <c r="L281" s="32">
        <v>10.00401256281407</v>
      </c>
      <c r="M281" s="53">
        <f t="shared" ref="M281:M304" si="11">YEAR(H281)</f>
        <v>2047</v>
      </c>
      <c r="N281" s="3"/>
      <c r="O281" s="3"/>
    </row>
    <row r="282" spans="8:15">
      <c r="H282" s="28">
        <v>53724</v>
      </c>
      <c r="I282" s="32">
        <v>10.368863877551021</v>
      </c>
      <c r="J282" s="32">
        <v>10.2285</v>
      </c>
      <c r="K282" s="32">
        <v>9.7536238092458269</v>
      </c>
      <c r="L282" s="32">
        <v>9.8833090452261292</v>
      </c>
      <c r="M282" s="53">
        <f t="shared" si="11"/>
        <v>2047</v>
      </c>
      <c r="N282" s="3"/>
      <c r="O282" s="3"/>
    </row>
    <row r="283" spans="8:15">
      <c r="H283" s="28">
        <v>53752</v>
      </c>
      <c r="I283" s="32">
        <v>9.6494761224489807</v>
      </c>
      <c r="J283" s="32">
        <v>9.4970999999999997</v>
      </c>
      <c r="K283" s="32">
        <v>8.8538597105832082</v>
      </c>
      <c r="L283" s="32">
        <v>9.4109472361809026</v>
      </c>
      <c r="M283" s="53">
        <f t="shared" si="11"/>
        <v>2047</v>
      </c>
      <c r="N283" s="3"/>
      <c r="O283" s="3"/>
    </row>
    <row r="284" spans="8:15">
      <c r="H284" s="28">
        <v>53783</v>
      </c>
      <c r="I284" s="32">
        <v>9.6666189795918385</v>
      </c>
      <c r="J284" s="32">
        <v>9.5053000000000001</v>
      </c>
      <c r="K284" s="32">
        <v>8.1616145315594331</v>
      </c>
      <c r="L284" s="32">
        <v>9.5157713567839188</v>
      </c>
      <c r="M284" s="53">
        <f t="shared" si="11"/>
        <v>2047</v>
      </c>
      <c r="N284" s="3"/>
      <c r="O284" s="3"/>
    </row>
    <row r="285" spans="8:15">
      <c r="H285" s="28">
        <v>53813</v>
      </c>
      <c r="I285" s="32">
        <v>9.7180475510204083</v>
      </c>
      <c r="J285" s="32">
        <v>9.5568000000000008</v>
      </c>
      <c r="K285" s="32">
        <v>8.0058464801067277</v>
      </c>
      <c r="L285" s="32">
        <v>9.4332587939698485</v>
      </c>
      <c r="M285" s="53">
        <f t="shared" si="11"/>
        <v>2047</v>
      </c>
      <c r="N285" s="3"/>
      <c r="O285" s="3"/>
    </row>
    <row r="286" spans="8:15">
      <c r="H286" s="28">
        <v>53844</v>
      </c>
      <c r="I286" s="32">
        <v>9.9064148979591842</v>
      </c>
      <c r="J286" s="32">
        <v>9.7426999999999992</v>
      </c>
      <c r="K286" s="32">
        <v>8.0404845114026315</v>
      </c>
      <c r="L286" s="32">
        <v>9.6162738693467329</v>
      </c>
      <c r="M286" s="53">
        <f t="shared" si="11"/>
        <v>2047</v>
      </c>
      <c r="N286" s="3"/>
      <c r="O286" s="3"/>
    </row>
    <row r="287" spans="8:15">
      <c r="H287" s="28">
        <v>53874</v>
      </c>
      <c r="I287" s="32">
        <v>10.488761836734694</v>
      </c>
      <c r="J287" s="32">
        <v>10.321199999999999</v>
      </c>
      <c r="K287" s="32">
        <v>8.9576707150920605</v>
      </c>
      <c r="L287" s="32">
        <v>9.9838115577889432</v>
      </c>
      <c r="M287" s="53">
        <f t="shared" si="11"/>
        <v>2047</v>
      </c>
      <c r="N287" s="3"/>
      <c r="O287" s="3"/>
    </row>
    <row r="288" spans="8:15">
      <c r="H288" s="28">
        <v>53905</v>
      </c>
      <c r="I288" s="32">
        <v>10.557333265306124</v>
      </c>
      <c r="J288" s="32">
        <v>10.3903</v>
      </c>
      <c r="K288" s="32">
        <v>9.4248717800713209</v>
      </c>
      <c r="L288" s="32">
        <v>10.101600502512563</v>
      </c>
      <c r="M288" s="53">
        <f t="shared" si="11"/>
        <v>2047</v>
      </c>
      <c r="N288" s="3"/>
      <c r="O288" s="3"/>
    </row>
    <row r="289" spans="8:15">
      <c r="H289" s="28">
        <v>53936</v>
      </c>
      <c r="I289" s="32">
        <v>10.505904693877552</v>
      </c>
      <c r="J289" s="32">
        <v>10.3392</v>
      </c>
      <c r="K289" s="32">
        <v>9.4768288270151757</v>
      </c>
      <c r="L289" s="32">
        <v>10.071047738693466</v>
      </c>
      <c r="M289" s="53">
        <f t="shared" si="11"/>
        <v>2047</v>
      </c>
      <c r="N289" s="3"/>
      <c r="O289" s="3"/>
    </row>
    <row r="290" spans="8:15">
      <c r="H290" s="28">
        <v>53966</v>
      </c>
      <c r="I290" s="32">
        <v>10.557333265306124</v>
      </c>
      <c r="J290" s="32">
        <v>10.3866</v>
      </c>
      <c r="K290" s="32">
        <v>9.5460018002281242</v>
      </c>
      <c r="L290" s="32">
        <v>10.274967336683416</v>
      </c>
      <c r="M290" s="53">
        <f t="shared" si="11"/>
        <v>2047</v>
      </c>
      <c r="N290" s="3"/>
      <c r="O290" s="3"/>
    </row>
    <row r="291" spans="8:15">
      <c r="H291" s="28">
        <v>53997</v>
      </c>
      <c r="I291" s="32">
        <v>10.608761836734695</v>
      </c>
      <c r="J291" s="32">
        <v>10.444800000000001</v>
      </c>
      <c r="K291" s="32">
        <v>9.9786679232903399</v>
      </c>
      <c r="L291" s="32">
        <v>10.132153266331658</v>
      </c>
      <c r="M291" s="53">
        <f t="shared" si="11"/>
        <v>2047</v>
      </c>
      <c r="N291" s="3"/>
      <c r="O291" s="3"/>
    </row>
    <row r="292" spans="8:15">
      <c r="H292" s="28">
        <v>54027</v>
      </c>
      <c r="I292" s="32">
        <v>10.814272040816327</v>
      </c>
      <c r="J292" s="32">
        <v>10.667</v>
      </c>
      <c r="K292" s="32">
        <v>10.186289932308043</v>
      </c>
      <c r="L292" s="32">
        <v>9.9878316582914568</v>
      </c>
      <c r="M292" s="53">
        <f t="shared" si="11"/>
        <v>2047</v>
      </c>
      <c r="N292" s="3"/>
      <c r="O292" s="3"/>
    </row>
    <row r="293" spans="8:15">
      <c r="H293" s="28">
        <v>54058</v>
      </c>
      <c r="I293" s="32">
        <v>11.122435306122449</v>
      </c>
      <c r="J293" s="32">
        <v>10.974399999999999</v>
      </c>
      <c r="K293" s="32">
        <v>10.463188003917551</v>
      </c>
      <c r="L293" s="32">
        <v>10.391851758793969</v>
      </c>
      <c r="M293" s="53">
        <f t="shared" si="11"/>
        <v>2048</v>
      </c>
      <c r="N293" s="3"/>
      <c r="O293" s="3"/>
    </row>
    <row r="294" spans="8:15">
      <c r="H294" s="28">
        <v>54089</v>
      </c>
      <c r="I294" s="32">
        <v>10.562231224489796</v>
      </c>
      <c r="J294" s="32">
        <v>10.417999999999999</v>
      </c>
      <c r="K294" s="32">
        <v>9.8265080000976237</v>
      </c>
      <c r="L294" s="32">
        <v>10.073761306532663</v>
      </c>
      <c r="M294" s="53">
        <f t="shared" si="11"/>
        <v>2048</v>
      </c>
      <c r="N294" s="3"/>
      <c r="O294" s="3"/>
    </row>
    <row r="295" spans="8:15">
      <c r="H295" s="28">
        <v>54118</v>
      </c>
      <c r="I295" s="32">
        <v>10.07212918367347</v>
      </c>
      <c r="J295" s="32">
        <v>9.9111999999999991</v>
      </c>
      <c r="K295" s="32">
        <v>9.1721997124931711</v>
      </c>
      <c r="L295" s="32">
        <v>9.8272286432160794</v>
      </c>
      <c r="M295" s="53">
        <f t="shared" si="11"/>
        <v>2048</v>
      </c>
      <c r="N295" s="3"/>
      <c r="O295" s="3"/>
    </row>
    <row r="296" spans="8:15">
      <c r="H296" s="28">
        <v>54149</v>
      </c>
      <c r="I296" s="32">
        <v>10.089578163265307</v>
      </c>
      <c r="J296" s="32">
        <v>9.9198000000000004</v>
      </c>
      <c r="K296" s="32">
        <v>8.4470174769246338</v>
      </c>
      <c r="L296" s="32">
        <v>9.9323542713567825</v>
      </c>
      <c r="M296" s="53">
        <f t="shared" si="11"/>
        <v>2048</v>
      </c>
      <c r="N296" s="3"/>
      <c r="O296" s="3"/>
    </row>
    <row r="297" spans="8:15">
      <c r="H297" s="28">
        <v>54179</v>
      </c>
      <c r="I297" s="32">
        <v>10.159680204081633</v>
      </c>
      <c r="J297" s="32">
        <v>9.9895999999999994</v>
      </c>
      <c r="K297" s="32">
        <v>8.385163849610521</v>
      </c>
      <c r="L297" s="32">
        <v>9.8682336683417073</v>
      </c>
      <c r="M297" s="53">
        <f t="shared" si="11"/>
        <v>2048</v>
      </c>
      <c r="N297" s="3"/>
      <c r="O297" s="3"/>
    </row>
    <row r="298" spans="8:15">
      <c r="H298" s="28">
        <v>54210</v>
      </c>
      <c r="I298" s="32">
        <v>10.369680204081634</v>
      </c>
      <c r="J298" s="32">
        <v>10.1967</v>
      </c>
      <c r="K298" s="32">
        <v>8.420523506558423</v>
      </c>
      <c r="L298" s="32">
        <v>10.072555276381909</v>
      </c>
      <c r="M298" s="53">
        <f t="shared" si="11"/>
        <v>2048</v>
      </c>
      <c r="N298" s="3"/>
      <c r="O298" s="3"/>
    </row>
    <row r="299" spans="8:15">
      <c r="H299" s="28">
        <v>54240</v>
      </c>
      <c r="I299" s="32">
        <v>10.982435306122449</v>
      </c>
      <c r="J299" s="32">
        <v>10.8049</v>
      </c>
      <c r="K299" s="32">
        <v>9.3667293703960564</v>
      </c>
      <c r="L299" s="32">
        <v>10.470042713567839</v>
      </c>
      <c r="M299" s="53">
        <f t="shared" si="11"/>
        <v>2048</v>
      </c>
      <c r="N299" s="3"/>
      <c r="O299" s="3"/>
    </row>
    <row r="300" spans="8:15">
      <c r="H300" s="28">
        <v>54271</v>
      </c>
      <c r="I300" s="32">
        <v>11.052435306122449</v>
      </c>
      <c r="J300" s="32">
        <v>10.875500000000001</v>
      </c>
      <c r="K300" s="32">
        <v>9.8972273139934259</v>
      </c>
      <c r="L300" s="32">
        <v>10.589238693467337</v>
      </c>
      <c r="M300" s="53">
        <f t="shared" si="11"/>
        <v>2048</v>
      </c>
      <c r="N300" s="3"/>
      <c r="O300" s="3"/>
    </row>
    <row r="301" spans="8:15">
      <c r="H301" s="28">
        <v>54302</v>
      </c>
      <c r="I301" s="32">
        <v>11.069884285714286</v>
      </c>
      <c r="J301" s="32">
        <v>10.8919</v>
      </c>
      <c r="K301" s="32">
        <v>9.9503183441047049</v>
      </c>
      <c r="L301" s="32">
        <v>10.62652512562814</v>
      </c>
      <c r="M301" s="53">
        <f t="shared" si="11"/>
        <v>2048</v>
      </c>
      <c r="N301" s="3"/>
      <c r="O301" s="3"/>
    </row>
    <row r="302" spans="8:15">
      <c r="H302" s="28">
        <v>54332</v>
      </c>
      <c r="I302" s="32">
        <v>11.139986326530613</v>
      </c>
      <c r="J302" s="32">
        <v>10.957599999999999</v>
      </c>
      <c r="K302" s="32">
        <v>10.056397314948407</v>
      </c>
      <c r="L302" s="32">
        <v>10.848836683417085</v>
      </c>
      <c r="M302" s="53">
        <f t="shared" si="11"/>
        <v>2048</v>
      </c>
      <c r="N302" s="3"/>
      <c r="O302" s="3"/>
    </row>
    <row r="303" spans="8:15">
      <c r="H303" s="28">
        <v>54363</v>
      </c>
      <c r="I303" s="32">
        <v>11.209986326530613</v>
      </c>
      <c r="J303" s="32">
        <v>11.034000000000001</v>
      </c>
      <c r="K303" s="32">
        <v>10.551638690976734</v>
      </c>
      <c r="L303" s="32">
        <v>10.724314070351758</v>
      </c>
      <c r="M303" s="53">
        <f t="shared" si="11"/>
        <v>2048</v>
      </c>
      <c r="N303" s="3"/>
      <c r="O303" s="3"/>
    </row>
    <row r="304" spans="8:15">
      <c r="H304" s="28">
        <v>54393</v>
      </c>
      <c r="I304" s="32">
        <v>11.507537346938777</v>
      </c>
      <c r="J304" s="32">
        <v>11.346500000000001</v>
      </c>
      <c r="K304" s="32">
        <v>10.816939207464847</v>
      </c>
      <c r="L304" s="32">
        <v>10.670645728643215</v>
      </c>
      <c r="M304" s="53">
        <f t="shared" si="11"/>
        <v>2048</v>
      </c>
      <c r="N304" s="3"/>
      <c r="O304" s="3"/>
    </row>
    <row r="305" spans="8:15">
      <c r="H305" s="28">
        <v>54424</v>
      </c>
      <c r="I305" s="32">
        <v>11.528353673469388</v>
      </c>
      <c r="J305" s="32">
        <v>11.372299999999999</v>
      </c>
      <c r="K305" s="32">
        <v>10.711221049447143</v>
      </c>
      <c r="L305" s="32">
        <v>10.791650753768844</v>
      </c>
      <c r="M305" s="53">
        <f t="shared" si="10"/>
        <v>2049</v>
      </c>
      <c r="N305" s="3"/>
      <c r="O305" s="3"/>
    </row>
    <row r="306" spans="8:15">
      <c r="H306" s="28">
        <v>54455</v>
      </c>
      <c r="I306" s="32">
        <v>11.259986326530612</v>
      </c>
      <c r="J306" s="32">
        <v>11.101800000000001</v>
      </c>
      <c r="K306" s="32">
        <v>10.422055341753667</v>
      </c>
      <c r="L306" s="32">
        <v>10.760997487437185</v>
      </c>
      <c r="M306" s="53">
        <f t="shared" si="10"/>
        <v>2049</v>
      </c>
      <c r="N306" s="3"/>
      <c r="O306" s="3"/>
    </row>
    <row r="307" spans="8:15">
      <c r="H307" s="28">
        <v>54483</v>
      </c>
      <c r="I307" s="32">
        <v>10.598047551020409</v>
      </c>
      <c r="J307" s="32">
        <v>10.4267</v>
      </c>
      <c r="K307" s="32">
        <v>9.5724957705943368</v>
      </c>
      <c r="L307" s="32">
        <v>10.345218592964823</v>
      </c>
      <c r="M307" s="53">
        <f t="shared" si="10"/>
        <v>2049</v>
      </c>
      <c r="N307" s="3"/>
      <c r="O307" s="3"/>
    </row>
    <row r="308" spans="8:15">
      <c r="H308" s="28">
        <v>54514</v>
      </c>
      <c r="I308" s="32">
        <v>10.580190408163265</v>
      </c>
      <c r="J308" s="32">
        <v>10.400600000000001</v>
      </c>
      <c r="K308" s="32">
        <v>8.7953049433925159</v>
      </c>
      <c r="L308" s="32">
        <v>10.415570351758793</v>
      </c>
      <c r="M308" s="53">
        <f t="shared" si="10"/>
        <v>2049</v>
      </c>
      <c r="N308" s="3"/>
      <c r="O308" s="3"/>
    </row>
    <row r="309" spans="8:15">
      <c r="H309" s="28">
        <v>54544</v>
      </c>
      <c r="I309" s="32">
        <v>10.63386387755102</v>
      </c>
      <c r="J309" s="32">
        <v>10.4544</v>
      </c>
      <c r="K309" s="32">
        <v>8.7320596094638354</v>
      </c>
      <c r="L309" s="32">
        <v>10.335268844221105</v>
      </c>
      <c r="M309" s="53">
        <f t="shared" si="10"/>
        <v>2049</v>
      </c>
      <c r="N309" s="3"/>
      <c r="O309" s="3"/>
    </row>
    <row r="310" spans="8:15">
      <c r="H310" s="28">
        <v>54575</v>
      </c>
      <c r="I310" s="32">
        <v>10.848557755102041</v>
      </c>
      <c r="J310" s="32">
        <v>10.666</v>
      </c>
      <c r="K310" s="32">
        <v>8.8043252640424896</v>
      </c>
      <c r="L310" s="32">
        <v>10.544213567839195</v>
      </c>
      <c r="M310" s="53">
        <f t="shared" si="10"/>
        <v>2049</v>
      </c>
      <c r="N310" s="3"/>
      <c r="O310" s="3"/>
    </row>
    <row r="311" spans="8:15">
      <c r="H311" s="28">
        <v>54605</v>
      </c>
      <c r="I311" s="32">
        <v>11.367333265306122</v>
      </c>
      <c r="J311" s="32">
        <v>11.1822</v>
      </c>
      <c r="K311" s="32">
        <v>9.6990895278305516</v>
      </c>
      <c r="L311" s="32">
        <v>10.849138190954774</v>
      </c>
      <c r="M311" s="53">
        <f t="shared" si="10"/>
        <v>2049</v>
      </c>
      <c r="N311" s="3"/>
      <c r="O311" s="3"/>
    </row>
    <row r="312" spans="8:15">
      <c r="H312" s="28">
        <v>54636</v>
      </c>
      <c r="I312" s="32">
        <v>11.438965918367346</v>
      </c>
      <c r="J312" s="32">
        <v>11.254200000000001</v>
      </c>
      <c r="K312" s="32">
        <v>10.259380301917552</v>
      </c>
      <c r="L312" s="32">
        <v>10.969942211055276</v>
      </c>
      <c r="M312" s="53">
        <f t="shared" ref="M312:M328" si="12">YEAR(H312)</f>
        <v>2049</v>
      </c>
      <c r="N312" s="3"/>
      <c r="O312" s="3"/>
    </row>
    <row r="313" spans="8:15">
      <c r="H313" s="28">
        <v>54667</v>
      </c>
      <c r="I313" s="32">
        <v>11.421006734693878</v>
      </c>
      <c r="J313" s="32">
        <v>11.236000000000001</v>
      </c>
      <c r="K313" s="32">
        <v>10.313605315196257</v>
      </c>
      <c r="L313" s="32">
        <v>10.972354271356783</v>
      </c>
      <c r="M313" s="53">
        <f t="shared" si="12"/>
        <v>2049</v>
      </c>
      <c r="N313" s="3"/>
      <c r="O313" s="3"/>
    </row>
    <row r="314" spans="8:15">
      <c r="H314" s="28">
        <v>54697</v>
      </c>
      <c r="I314" s="32">
        <v>11.492639387755101</v>
      </c>
      <c r="J314" s="32">
        <v>11.3032</v>
      </c>
      <c r="K314" s="32">
        <v>10.385870969774913</v>
      </c>
      <c r="L314" s="32">
        <v>11.19617336683417</v>
      </c>
      <c r="M314" s="53">
        <f t="shared" si="12"/>
        <v>2049</v>
      </c>
      <c r="N314" s="3"/>
      <c r="O314" s="3"/>
    </row>
    <row r="315" spans="8:15">
      <c r="H315" s="28">
        <v>54728</v>
      </c>
      <c r="I315" s="32">
        <v>11.510496530612246</v>
      </c>
      <c r="J315" s="32">
        <v>11.3285</v>
      </c>
      <c r="K315" s="32">
        <v>10.837711717304503</v>
      </c>
      <c r="L315" s="32">
        <v>11.020293969849245</v>
      </c>
      <c r="M315" s="53">
        <f t="shared" si="12"/>
        <v>2049</v>
      </c>
      <c r="N315" s="3"/>
      <c r="O315" s="3"/>
    </row>
    <row r="316" spans="8:15">
      <c r="H316" s="28">
        <v>54758</v>
      </c>
      <c r="I316" s="32">
        <v>11.743047551020409</v>
      </c>
      <c r="J316" s="32">
        <v>11.577299999999999</v>
      </c>
      <c r="K316" s="32">
        <v>11.054611770419323</v>
      </c>
      <c r="L316" s="32">
        <v>10.90260552763819</v>
      </c>
      <c r="M316" s="53">
        <f t="shared" si="12"/>
        <v>2049</v>
      </c>
      <c r="N316" s="3"/>
      <c r="O316" s="3"/>
    </row>
    <row r="317" spans="8:15">
      <c r="H317" s="28">
        <v>54789</v>
      </c>
      <c r="I317" s="32">
        <v>12.093149591836736</v>
      </c>
      <c r="J317" s="32">
        <v>11.925700000000001</v>
      </c>
      <c r="K317" s="32">
        <v>11.371508521025291</v>
      </c>
      <c r="L317" s="32">
        <v>11.347932160804019</v>
      </c>
      <c r="M317" s="53">
        <f t="shared" si="12"/>
        <v>2050</v>
      </c>
      <c r="N317" s="3"/>
      <c r="O317" s="3"/>
    </row>
    <row r="318" spans="8:15">
      <c r="H318" s="28">
        <v>54820</v>
      </c>
      <c r="I318" s="32">
        <v>11.763965918367347</v>
      </c>
      <c r="J318" s="32">
        <v>11.595599999999999</v>
      </c>
      <c r="K318" s="32">
        <v>10.909668103746586</v>
      </c>
      <c r="L318" s="32">
        <v>11.257379396984923</v>
      </c>
      <c r="M318" s="53">
        <f t="shared" si="12"/>
        <v>2050</v>
      </c>
      <c r="N318" s="3"/>
      <c r="O318" s="3"/>
    </row>
    <row r="319" spans="8:15">
      <c r="H319" s="28">
        <v>54848</v>
      </c>
      <c r="I319" s="32">
        <v>11.032639387755102</v>
      </c>
      <c r="J319" s="32">
        <v>10.852499999999999</v>
      </c>
      <c r="K319" s="32">
        <v>9.9121752739276694</v>
      </c>
      <c r="L319" s="32">
        <v>10.773258793969848</v>
      </c>
      <c r="M319" s="53">
        <f t="shared" si="12"/>
        <v>2050</v>
      </c>
      <c r="N319" s="3"/>
      <c r="O319" s="3"/>
    </row>
    <row r="320" spans="8:15">
      <c r="H320" s="28">
        <v>54879</v>
      </c>
      <c r="I320" s="32">
        <v>11.06917</v>
      </c>
      <c r="J320" s="32">
        <v>10.879799999999999</v>
      </c>
      <c r="K320" s="32">
        <v>9.1456026527481029</v>
      </c>
      <c r="L320" s="32">
        <v>10.897178391959798</v>
      </c>
      <c r="M320" s="53">
        <f t="shared" si="12"/>
        <v>2050</v>
      </c>
      <c r="N320" s="3"/>
      <c r="O320" s="3"/>
    </row>
    <row r="321" spans="8:15">
      <c r="H321" s="28">
        <v>54909</v>
      </c>
      <c r="I321" s="32">
        <v>11.124067959183675</v>
      </c>
      <c r="J321" s="32">
        <v>10.934699999999999</v>
      </c>
      <c r="K321" s="32">
        <v>9.0716875681077411</v>
      </c>
      <c r="L321" s="32">
        <v>10.818082914572862</v>
      </c>
      <c r="M321" s="53">
        <f t="shared" si="12"/>
        <v>2050</v>
      </c>
      <c r="N321" s="3"/>
      <c r="O321" s="3"/>
    </row>
    <row r="322" spans="8:15">
      <c r="H322" s="28">
        <v>54940</v>
      </c>
      <c r="I322" s="32">
        <v>11.270292448979593</v>
      </c>
      <c r="J322" s="32">
        <v>11.0793</v>
      </c>
      <c r="K322" s="32">
        <v>9.1178716098356105</v>
      </c>
      <c r="L322" s="32">
        <v>10.959590452261306</v>
      </c>
      <c r="M322" s="53">
        <f t="shared" si="12"/>
        <v>2050</v>
      </c>
      <c r="N322" s="3"/>
      <c r="O322" s="3"/>
    </row>
    <row r="323" spans="8:15">
      <c r="H323" s="28">
        <v>54970</v>
      </c>
      <c r="I323" s="32">
        <v>11.891925102040817</v>
      </c>
      <c r="J323" s="32">
        <v>11.696300000000001</v>
      </c>
      <c r="K323" s="32">
        <v>10.300100606566012</v>
      </c>
      <c r="L323" s="32">
        <v>11.3658216080402</v>
      </c>
      <c r="M323" s="53">
        <f t="shared" si="12"/>
        <v>2050</v>
      </c>
      <c r="N323" s="3"/>
      <c r="O323" s="3"/>
    </row>
    <row r="324" spans="8:15">
      <c r="H324" s="28">
        <v>55001</v>
      </c>
      <c r="I324" s="32">
        <v>11.96508836734694</v>
      </c>
      <c r="J324" s="32">
        <v>11.7699</v>
      </c>
      <c r="K324" s="32">
        <v>10.835753019106223</v>
      </c>
      <c r="L324" s="32">
        <v>11.488133165829145</v>
      </c>
      <c r="M324" s="53">
        <f t="shared" si="12"/>
        <v>2050</v>
      </c>
      <c r="N324" s="3"/>
      <c r="O324" s="3"/>
    </row>
    <row r="325" spans="8:15">
      <c r="H325" s="28">
        <v>55032</v>
      </c>
      <c r="I325" s="32">
        <v>12.001721020408164</v>
      </c>
      <c r="J325" s="32">
        <v>11.805</v>
      </c>
      <c r="K325" s="32">
        <v>10.909668103746586</v>
      </c>
      <c r="L325" s="32">
        <v>11.544314070351756</v>
      </c>
      <c r="M325" s="53">
        <f t="shared" si="12"/>
        <v>2050</v>
      </c>
      <c r="N325" s="3"/>
      <c r="O325" s="3"/>
    </row>
    <row r="326" spans="8:15">
      <c r="H326" s="28">
        <v>55062</v>
      </c>
      <c r="I326" s="32">
        <v>12.056516938775509</v>
      </c>
      <c r="J326" s="32">
        <v>11.8559</v>
      </c>
      <c r="K326" s="32">
        <v>10.965130189571575</v>
      </c>
      <c r="L326" s="32">
        <v>11.75155025125628</v>
      </c>
      <c r="M326" s="53">
        <f t="shared" si="12"/>
        <v>2050</v>
      </c>
      <c r="N326" s="3"/>
      <c r="O326" s="3"/>
    </row>
    <row r="327" spans="8:15">
      <c r="H327" s="28">
        <v>55093</v>
      </c>
      <c r="I327" s="32">
        <v>12.147945510204082</v>
      </c>
      <c r="J327" s="32">
        <v>11.953200000000001</v>
      </c>
      <c r="K327" s="32">
        <v>11.426867517471422</v>
      </c>
      <c r="L327" s="32">
        <v>11.648133165829146</v>
      </c>
      <c r="M327" s="53">
        <f t="shared" si="12"/>
        <v>2050</v>
      </c>
      <c r="N327" s="3"/>
      <c r="O327" s="3"/>
    </row>
    <row r="328" spans="8:15">
      <c r="H328" s="28">
        <v>55123</v>
      </c>
      <c r="I328" s="32">
        <v>12.714782244897959</v>
      </c>
      <c r="J328" s="32">
        <v>12.529500000000001</v>
      </c>
      <c r="K328" s="32">
        <v>12.036435014651998</v>
      </c>
      <c r="L328" s="32">
        <v>11.859690954773868</v>
      </c>
      <c r="M328" s="53">
        <f t="shared" si="12"/>
        <v>2050</v>
      </c>
      <c r="N328" s="3"/>
      <c r="O328" s="3"/>
    </row>
    <row r="329" spans="8:15">
      <c r="H329" s="28">
        <v>55154</v>
      </c>
      <c r="I329" s="32">
        <v>12.37151693877551</v>
      </c>
      <c r="J329" s="32">
        <v>12.198499999999999</v>
      </c>
      <c r="K329" s="32">
        <v>11.632737007048561</v>
      </c>
      <c r="L329" s="32">
        <v>11.622103015075377</v>
      </c>
      <c r="M329" s="53">
        <f t="shared" ref="M329:M340" si="13">YEAR(H329)</f>
        <v>2051</v>
      </c>
    </row>
    <row r="330" spans="8:15">
      <c r="H330" s="28">
        <v>55185</v>
      </c>
      <c r="I330" s="32">
        <v>12.03478224489796</v>
      </c>
      <c r="J330" s="32">
        <v>11.8611</v>
      </c>
      <c r="K330" s="32">
        <v>11.160381473126456</v>
      </c>
      <c r="L330" s="32">
        <v>11.524113065326633</v>
      </c>
      <c r="M330" s="53">
        <f t="shared" si="13"/>
        <v>2051</v>
      </c>
    </row>
    <row r="331" spans="8:15">
      <c r="H331" s="28">
        <v>55213</v>
      </c>
      <c r="I331" s="32">
        <v>11.286618979591838</v>
      </c>
      <c r="J331" s="32">
        <v>11.1015</v>
      </c>
      <c r="K331" s="32">
        <v>10.139899711822459</v>
      </c>
      <c r="L331" s="32">
        <v>11.023409547738693</v>
      </c>
      <c r="M331" s="53">
        <f t="shared" si="13"/>
        <v>2051</v>
      </c>
    </row>
    <row r="332" spans="8:15">
      <c r="H332" s="28">
        <v>55244</v>
      </c>
      <c r="I332" s="32">
        <v>11.324067959183674</v>
      </c>
      <c r="J332" s="32">
        <v>11.1295</v>
      </c>
      <c r="K332" s="32">
        <v>9.3556472621689455</v>
      </c>
      <c r="L332" s="32">
        <v>11.148233668341707</v>
      </c>
      <c r="M332" s="53">
        <f t="shared" si="13"/>
        <v>2051</v>
      </c>
    </row>
    <row r="333" spans="8:15">
      <c r="H333" s="28">
        <v>55274</v>
      </c>
      <c r="I333" s="32">
        <v>11.380088367346939</v>
      </c>
      <c r="J333" s="32">
        <v>11.185700000000001</v>
      </c>
      <c r="K333" s="32">
        <v>9.2800827474668708</v>
      </c>
      <c r="L333" s="32">
        <v>11.070243718592964</v>
      </c>
      <c r="M333" s="53">
        <f t="shared" si="13"/>
        <v>2051</v>
      </c>
    </row>
    <row r="334" spans="8:15">
      <c r="H334" s="28">
        <v>55305</v>
      </c>
      <c r="I334" s="32">
        <v>11.529782244897959</v>
      </c>
      <c r="J334" s="32">
        <v>11.333600000000001</v>
      </c>
      <c r="K334" s="32">
        <v>9.3273492276727374</v>
      </c>
      <c r="L334" s="32">
        <v>11.215168341708543</v>
      </c>
      <c r="M334" s="53">
        <f t="shared" si="13"/>
        <v>2051</v>
      </c>
    </row>
    <row r="335" spans="8:15">
      <c r="H335" s="28">
        <v>55335</v>
      </c>
      <c r="I335" s="32">
        <v>12.165700612244899</v>
      </c>
      <c r="J335" s="32">
        <v>11.964600000000001</v>
      </c>
      <c r="K335" s="32">
        <v>10.536690731042491</v>
      </c>
      <c r="L335" s="32">
        <v>11.635469849246229</v>
      </c>
      <c r="M335" s="53">
        <f t="shared" si="13"/>
        <v>2051</v>
      </c>
    </row>
    <row r="336" spans="8:15">
      <c r="H336" s="28">
        <v>55366</v>
      </c>
      <c r="I336" s="32">
        <v>12.240598571428572</v>
      </c>
      <c r="J336" s="32">
        <v>12.0398</v>
      </c>
      <c r="K336" s="32">
        <v>11.084713869045522</v>
      </c>
      <c r="L336" s="32">
        <v>11.759489949748742</v>
      </c>
      <c r="M336" s="53">
        <f t="shared" si="13"/>
        <v>2051</v>
      </c>
    </row>
    <row r="337" spans="8:13">
      <c r="H337" s="28">
        <v>55397</v>
      </c>
      <c r="I337" s="32">
        <v>12.277945510204082</v>
      </c>
      <c r="J337" s="32">
        <v>12.075799999999999</v>
      </c>
      <c r="K337" s="32">
        <v>11.160381473126456</v>
      </c>
      <c r="L337" s="32">
        <v>11.816374371859297</v>
      </c>
      <c r="M337" s="53">
        <f t="shared" si="13"/>
        <v>2051</v>
      </c>
    </row>
    <row r="338" spans="8:13">
      <c r="H338" s="28">
        <v>55427</v>
      </c>
      <c r="I338" s="32">
        <v>12.334067959183674</v>
      </c>
      <c r="J338" s="32">
        <v>12.1279</v>
      </c>
      <c r="K338" s="32">
        <v>11.217080631497724</v>
      </c>
      <c r="L338" s="32">
        <v>12.024917085427134</v>
      </c>
      <c r="M338" s="53">
        <f t="shared" si="13"/>
        <v>2051</v>
      </c>
    </row>
    <row r="339" spans="8:13">
      <c r="H339" s="28">
        <v>55458</v>
      </c>
      <c r="I339" s="32">
        <v>12.427639387755104</v>
      </c>
      <c r="J339" s="32">
        <v>12.2273</v>
      </c>
      <c r="K339" s="32">
        <v>11.68943616541983</v>
      </c>
      <c r="L339" s="32">
        <v>11.923610552763819</v>
      </c>
      <c r="M339" s="53">
        <f t="shared" si="13"/>
        <v>2051</v>
      </c>
    </row>
    <row r="340" spans="8:13">
      <c r="H340" s="28">
        <v>55488</v>
      </c>
      <c r="I340" s="32">
        <v>13.007435306122449</v>
      </c>
      <c r="J340" s="32">
        <v>12.8164</v>
      </c>
      <c r="K340" s="32">
        <v>12.313023818124936</v>
      </c>
      <c r="L340" s="32">
        <v>12.147932160804018</v>
      </c>
      <c r="M340" s="53">
        <f t="shared" si="13"/>
        <v>2051</v>
      </c>
    </row>
    <row r="341" spans="8:13">
      <c r="H341" s="28">
        <v>55519</v>
      </c>
      <c r="I341" s="32">
        <v>12.656312857142858</v>
      </c>
      <c r="J341" s="32">
        <v>12.477600000000001</v>
      </c>
      <c r="K341" s="32">
        <v>11.900047766424382</v>
      </c>
      <c r="L341" s="32">
        <v>11.90260552763819</v>
      </c>
      <c r="M341" s="53">
        <f>YEAR(H341)</f>
        <v>2052</v>
      </c>
    </row>
    <row r="342" spans="8:13">
      <c r="H342" s="28">
        <v>55550</v>
      </c>
      <c r="I342" s="32">
        <v>12.311823061224491</v>
      </c>
      <c r="J342" s="32">
        <v>12.1326</v>
      </c>
      <c r="K342" s="32">
        <v>11.416764758343451</v>
      </c>
      <c r="L342" s="32">
        <v>11.796977386934671</v>
      </c>
      <c r="M342" s="53">
        <f>YEAR(H342)</f>
        <v>2052</v>
      </c>
    </row>
    <row r="343" spans="8:13">
      <c r="H343" s="28">
        <v>55579</v>
      </c>
      <c r="I343" s="32">
        <v>11.546414897959185</v>
      </c>
      <c r="J343" s="32">
        <v>11.3561</v>
      </c>
      <c r="K343" s="32">
        <v>10.372881708038948</v>
      </c>
      <c r="L343" s="32">
        <v>11.279288944723616</v>
      </c>
      <c r="M343" s="53">
        <f>YEAR(H343)</f>
        <v>2052</v>
      </c>
    </row>
    <row r="344" spans="8:13">
      <c r="H344" s="28">
        <v>55610</v>
      </c>
      <c r="I344" s="32">
        <v>11.58478224489796</v>
      </c>
      <c r="J344" s="32">
        <v>11.385</v>
      </c>
      <c r="K344" s="32">
        <v>9.5705886170854839</v>
      </c>
      <c r="L344" s="32">
        <v>11.405017587939698</v>
      </c>
      <c r="M344" s="53">
        <f t="shared" ref="M344:M365" si="14">YEAR(H344)</f>
        <v>2052</v>
      </c>
    </row>
    <row r="345" spans="8:13">
      <c r="H345" s="28">
        <v>55640</v>
      </c>
      <c r="I345" s="32">
        <v>11.64212918367347</v>
      </c>
      <c r="J345" s="32">
        <v>11.442500000000001</v>
      </c>
      <c r="K345" s="32">
        <v>9.4932715829428425</v>
      </c>
      <c r="L345" s="32">
        <v>11.328334170854271</v>
      </c>
      <c r="M345" s="53">
        <f t="shared" si="14"/>
        <v>2052</v>
      </c>
    </row>
    <row r="346" spans="8:13">
      <c r="H346" s="28">
        <v>55671</v>
      </c>
      <c r="I346" s="32">
        <v>11.795190408163265</v>
      </c>
      <c r="J346" s="32">
        <v>11.5937</v>
      </c>
      <c r="K346" s="32">
        <v>9.5416205016267082</v>
      </c>
      <c r="L346" s="32">
        <v>11.476575376884421</v>
      </c>
      <c r="M346" s="53">
        <f t="shared" si="14"/>
        <v>2052</v>
      </c>
    </row>
    <row r="347" spans="8:13">
      <c r="H347" s="28">
        <v>55701</v>
      </c>
      <c r="I347" s="32">
        <v>12.445802653061225</v>
      </c>
      <c r="J347" s="32">
        <v>12.239100000000001</v>
      </c>
      <c r="K347" s="32">
        <v>10.77884768197724</v>
      </c>
      <c r="L347" s="32">
        <v>11.911349246231156</v>
      </c>
      <c r="M347" s="53">
        <f t="shared" si="14"/>
        <v>2052</v>
      </c>
    </row>
    <row r="348" spans="8:13">
      <c r="H348" s="28">
        <v>55732</v>
      </c>
      <c r="I348" s="32">
        <v>12.522333265306122</v>
      </c>
      <c r="J348" s="32">
        <v>12.316000000000001</v>
      </c>
      <c r="K348" s="32">
        <v>11.339447724200809</v>
      </c>
      <c r="L348" s="32">
        <v>12.036977386934673</v>
      </c>
      <c r="M348" s="53">
        <f t="shared" si="14"/>
        <v>2052</v>
      </c>
    </row>
    <row r="349" spans="8:13">
      <c r="H349" s="28">
        <v>55763</v>
      </c>
      <c r="I349" s="32">
        <v>12.560598571428573</v>
      </c>
      <c r="J349" s="32">
        <v>12.3528</v>
      </c>
      <c r="K349" s="32">
        <v>11.416764758343451</v>
      </c>
      <c r="L349" s="32">
        <v>12.09476633165829</v>
      </c>
      <c r="M349" s="53">
        <f t="shared" si="14"/>
        <v>2052</v>
      </c>
    </row>
    <row r="350" spans="8:13">
      <c r="H350" s="28">
        <v>55793</v>
      </c>
      <c r="I350" s="32">
        <v>12.618047551020409</v>
      </c>
      <c r="J350" s="32">
        <v>12.4061</v>
      </c>
      <c r="K350" s="32">
        <v>11.47480407863986</v>
      </c>
      <c r="L350" s="32">
        <v>12.304615577889447</v>
      </c>
      <c r="M350" s="53">
        <f t="shared" si="14"/>
        <v>2052</v>
      </c>
    </row>
    <row r="351" spans="8:13">
      <c r="H351" s="28">
        <v>55824</v>
      </c>
      <c r="I351" s="32">
        <v>12.713659795918367</v>
      </c>
      <c r="J351" s="32">
        <v>12.5077</v>
      </c>
      <c r="K351" s="32">
        <v>11.958087086720791</v>
      </c>
      <c r="L351" s="32">
        <v>12.205319095477385</v>
      </c>
      <c r="M351" s="53">
        <f t="shared" si="14"/>
        <v>2052</v>
      </c>
    </row>
    <row r="352" spans="8:13">
      <c r="H352" s="28">
        <v>55854</v>
      </c>
      <c r="I352" s="32">
        <v>13.306925102040816</v>
      </c>
      <c r="J352" s="32">
        <v>13.1098</v>
      </c>
      <c r="K352" s="32">
        <v>12.596004163087002</v>
      </c>
      <c r="L352" s="32">
        <v>12.44290703517588</v>
      </c>
      <c r="M352" s="53">
        <f t="shared" si="14"/>
        <v>2052</v>
      </c>
    </row>
    <row r="353" spans="8:13">
      <c r="H353" s="28">
        <v>55885</v>
      </c>
      <c r="I353" s="32">
        <v>12.947639387755101</v>
      </c>
      <c r="J353" s="32">
        <v>12.7631</v>
      </c>
      <c r="K353" s="32">
        <v>12.173543888531615</v>
      </c>
      <c r="L353" s="32">
        <v>12.189540201005025</v>
      </c>
      <c r="M353" s="53">
        <f t="shared" si="14"/>
        <v>2053</v>
      </c>
    </row>
    <row r="354" spans="8:13">
      <c r="H354" s="28">
        <v>55916</v>
      </c>
      <c r="I354" s="32">
        <v>12.595292448979592</v>
      </c>
      <c r="J354" s="32">
        <v>12.410299999999999</v>
      </c>
      <c r="K354" s="32">
        <v>11.679127227534144</v>
      </c>
      <c r="L354" s="32">
        <v>12.076173366834171</v>
      </c>
      <c r="M354" s="53">
        <f t="shared" si="14"/>
        <v>2053</v>
      </c>
    </row>
    <row r="355" spans="8:13">
      <c r="H355" s="28">
        <v>55944</v>
      </c>
      <c r="I355" s="32">
        <v>11.812333265306123</v>
      </c>
      <c r="J355" s="32">
        <v>11.6166</v>
      </c>
      <c r="K355" s="32">
        <v>10.611224351955995</v>
      </c>
      <c r="L355" s="32">
        <v>11.541198492462311</v>
      </c>
      <c r="M355" s="53">
        <f t="shared" si="14"/>
        <v>2053</v>
      </c>
    </row>
    <row r="356" spans="8:13">
      <c r="H356" s="28">
        <v>55975</v>
      </c>
      <c r="I356" s="32">
        <v>11.851414897959184</v>
      </c>
      <c r="J356" s="32">
        <v>11.6464</v>
      </c>
      <c r="K356" s="32">
        <v>9.790478262187154</v>
      </c>
      <c r="L356" s="32">
        <v>11.667630653266331</v>
      </c>
      <c r="M356" s="53">
        <f t="shared" si="14"/>
        <v>2053</v>
      </c>
    </row>
    <row r="357" spans="8:13">
      <c r="H357" s="28">
        <v>56005</v>
      </c>
      <c r="I357" s="32">
        <v>11.910190408163265</v>
      </c>
      <c r="J357" s="32">
        <v>11.7051</v>
      </c>
      <c r="K357" s="32">
        <v>9.7113571639145171</v>
      </c>
      <c r="L357" s="32">
        <v>11.592354271356783</v>
      </c>
      <c r="M357" s="53">
        <f t="shared" si="14"/>
        <v>2053</v>
      </c>
    </row>
    <row r="358" spans="8:13">
      <c r="H358" s="28">
        <v>56036</v>
      </c>
      <c r="I358" s="32">
        <v>12.066721020408165</v>
      </c>
      <c r="J358" s="32">
        <v>11.8599</v>
      </c>
      <c r="K358" s="32">
        <v>9.7607885210763783</v>
      </c>
      <c r="L358" s="32">
        <v>11.744012562814069</v>
      </c>
      <c r="M358" s="53">
        <f t="shared" si="14"/>
        <v>2053</v>
      </c>
    </row>
    <row r="359" spans="8:13">
      <c r="H359" s="28">
        <v>56066</v>
      </c>
      <c r="I359" s="32">
        <v>12.732333265306123</v>
      </c>
      <c r="J359" s="32">
        <v>12.5199</v>
      </c>
      <c r="K359" s="32">
        <v>11.026468369991402</v>
      </c>
      <c r="L359" s="32">
        <v>12.193560301507537</v>
      </c>
      <c r="M359" s="53">
        <f t="shared" si="14"/>
        <v>2053</v>
      </c>
    </row>
    <row r="360" spans="8:13">
      <c r="H360" s="28">
        <v>56097</v>
      </c>
      <c r="I360" s="32">
        <v>12.810598571428573</v>
      </c>
      <c r="J360" s="32">
        <v>12.5985</v>
      </c>
      <c r="K360" s="32">
        <v>11.599954584572078</v>
      </c>
      <c r="L360" s="32">
        <v>12.320896984924621</v>
      </c>
      <c r="M360" s="53">
        <f t="shared" si="14"/>
        <v>2053</v>
      </c>
    </row>
    <row r="361" spans="8:13">
      <c r="H361" s="28">
        <v>56128</v>
      </c>
      <c r="I361" s="32">
        <v>12.849782244897959</v>
      </c>
      <c r="J361" s="32">
        <v>12.636200000000001</v>
      </c>
      <c r="K361" s="32">
        <v>11.679127227534144</v>
      </c>
      <c r="L361" s="32">
        <v>12.379590452261306</v>
      </c>
      <c r="M361" s="53">
        <f t="shared" si="14"/>
        <v>2053</v>
      </c>
    </row>
    <row r="362" spans="8:13">
      <c r="H362" s="28">
        <v>56158</v>
      </c>
      <c r="I362" s="32">
        <v>12.908455714285715</v>
      </c>
      <c r="J362" s="32">
        <v>12.690799999999999</v>
      </c>
      <c r="K362" s="32">
        <v>11.738403620376834</v>
      </c>
      <c r="L362" s="32">
        <v>12.590645728643214</v>
      </c>
      <c r="M362" s="53">
        <f t="shared" si="14"/>
        <v>2053</v>
      </c>
    </row>
    <row r="363" spans="8:13">
      <c r="H363" s="28">
        <v>56189</v>
      </c>
      <c r="I363" s="32">
        <v>13.006414897959184</v>
      </c>
      <c r="J363" s="32">
        <v>12.794499999999999</v>
      </c>
      <c r="K363" s="32">
        <v>12.232820281374304</v>
      </c>
      <c r="L363" s="32">
        <v>12.4936608040201</v>
      </c>
      <c r="M363" s="53">
        <f t="shared" si="14"/>
        <v>2053</v>
      </c>
    </row>
    <row r="364" spans="8:13">
      <c r="H364" s="28">
        <v>56219</v>
      </c>
      <c r="I364" s="32">
        <v>13.613251632653062</v>
      </c>
      <c r="J364" s="32">
        <v>13.41</v>
      </c>
      <c r="K364" s="32">
        <v>12.885479138917047</v>
      </c>
      <c r="L364" s="32">
        <v>12.744615577889446</v>
      </c>
      <c r="M364" s="53">
        <f t="shared" si="14"/>
        <v>2053</v>
      </c>
    </row>
    <row r="365" spans="8:13">
      <c r="H365" s="28">
        <v>0</v>
      </c>
      <c r="I365" s="32" t="e">
        <v>#N/A</v>
      </c>
      <c r="J365" s="32" t="e">
        <v>#N/A</v>
      </c>
      <c r="K365" s="32" t="e">
        <v>#N/A</v>
      </c>
      <c r="L365" s="32" t="e">
        <v>#N/A</v>
      </c>
      <c r="M365" s="53">
        <f t="shared" si="14"/>
        <v>1900</v>
      </c>
    </row>
    <row r="366" spans="8:13">
      <c r="H366" s="28"/>
      <c r="I366" s="32"/>
      <c r="J366" s="32"/>
      <c r="K366" s="32"/>
      <c r="L366" s="32"/>
      <c r="M366" s="53"/>
    </row>
    <row r="367" spans="8:13">
      <c r="H367" s="28"/>
      <c r="I367" s="32"/>
      <c r="J367" s="32"/>
      <c r="K367" s="32"/>
      <c r="L367" s="32"/>
      <c r="M367" s="53"/>
    </row>
    <row r="368" spans="8:13">
      <c r="H368" s="28"/>
      <c r="I368" s="32"/>
      <c r="J368" s="32"/>
      <c r="K368" s="32"/>
      <c r="L368" s="32"/>
      <c r="M368" s="53"/>
    </row>
    <row r="369" spans="8:13">
      <c r="H369" s="28"/>
      <c r="I369" s="32"/>
      <c r="J369" s="32"/>
      <c r="K369" s="32"/>
      <c r="L369" s="32"/>
      <c r="M369" s="53"/>
    </row>
    <row r="370" spans="8:13">
      <c r="H370" s="28"/>
      <c r="I370" s="32"/>
      <c r="J370" s="32"/>
      <c r="K370" s="32"/>
      <c r="L370" s="32"/>
      <c r="M370" s="53"/>
    </row>
    <row r="371" spans="8:13">
      <c r="H371" s="28"/>
      <c r="I371" s="32"/>
      <c r="J371" s="32"/>
      <c r="K371" s="32"/>
      <c r="L371" s="32"/>
      <c r="M371" s="53"/>
    </row>
    <row r="372" spans="8:13">
      <c r="H372" s="28"/>
      <c r="I372" s="32"/>
      <c r="J372" s="32"/>
      <c r="K372" s="32"/>
      <c r="L372" s="32"/>
      <c r="M372" s="53"/>
    </row>
    <row r="373" spans="8:13">
      <c r="H373" s="28"/>
      <c r="I373" s="32"/>
      <c r="J373" s="32"/>
      <c r="K373" s="32"/>
      <c r="L373" s="32"/>
      <c r="M373" s="53"/>
    </row>
    <row r="374" spans="8:13">
      <c r="H374" s="28"/>
      <c r="I374" s="32"/>
      <c r="J374" s="32"/>
      <c r="K374" s="32"/>
      <c r="L374" s="32"/>
      <c r="M374" s="53"/>
    </row>
    <row r="375" spans="8:13">
      <c r="H375" s="28"/>
      <c r="I375" s="32"/>
      <c r="J375" s="32"/>
      <c r="K375" s="32"/>
      <c r="L375" s="32"/>
      <c r="M375" s="53"/>
    </row>
    <row r="376" spans="8:13">
      <c r="H376" s="28"/>
      <c r="I376" s="32"/>
      <c r="J376" s="32"/>
      <c r="K376" s="32"/>
      <c r="L376" s="32"/>
      <c r="M376" s="53"/>
    </row>
    <row r="377" spans="8:13">
      <c r="H377" s="28"/>
      <c r="I377" s="32"/>
      <c r="J377" s="32"/>
      <c r="K377" s="32"/>
      <c r="L377" s="32"/>
      <c r="M377" s="53"/>
    </row>
    <row r="378" spans="8:13">
      <c r="H378" s="28"/>
      <c r="I378" s="32"/>
      <c r="J378" s="32"/>
      <c r="K378" s="32"/>
      <c r="L378" s="32"/>
      <c r="M378" s="53"/>
    </row>
    <row r="379" spans="8:13">
      <c r="H379" s="28"/>
      <c r="I379" s="32"/>
      <c r="J379" s="32"/>
      <c r="K379" s="32"/>
      <c r="L379" s="32"/>
      <c r="M379" s="53"/>
    </row>
    <row r="380" spans="8:13">
      <c r="H380" s="28"/>
    </row>
    <row r="381" spans="8:13">
      <c r="H381" s="28"/>
    </row>
    <row r="382" spans="8:13">
      <c r="H382" s="28"/>
    </row>
    <row r="383" spans="8:13">
      <c r="H383" s="28"/>
    </row>
    <row r="384" spans="8:13">
      <c r="H384" s="28"/>
    </row>
    <row r="385" spans="8:8">
      <c r="H385" s="28"/>
    </row>
    <row r="386" spans="8:8">
      <c r="H386" s="28"/>
    </row>
    <row r="387" spans="8:8">
      <c r="H387" s="28"/>
    </row>
    <row r="388" spans="8:8">
      <c r="H388" s="28"/>
    </row>
    <row r="389" spans="8:8">
      <c r="H389" s="28"/>
    </row>
    <row r="390" spans="8:8">
      <c r="H390" s="28"/>
    </row>
    <row r="391" spans="8:8">
      <c r="H391" s="28"/>
    </row>
    <row r="392" spans="8:8">
      <c r="H392" s="28"/>
    </row>
    <row r="393" spans="8:8">
      <c r="H393" s="28"/>
    </row>
    <row r="394" spans="8:8">
      <c r="H394" s="28"/>
    </row>
    <row r="395" spans="8:8">
      <c r="H395" s="28"/>
    </row>
    <row r="396" spans="8:8">
      <c r="H396" s="28"/>
    </row>
    <row r="397" spans="8:8">
      <c r="H397" s="28"/>
    </row>
    <row r="398" spans="8:8">
      <c r="H398" s="28"/>
    </row>
    <row r="399" spans="8:8">
      <c r="H399" s="28"/>
    </row>
    <row r="400" spans="8:8">
      <c r="H400" s="28"/>
    </row>
    <row r="401" spans="8:8">
      <c r="H401" s="28"/>
    </row>
    <row r="402" spans="8:8">
      <c r="H402" s="28"/>
    </row>
    <row r="403" spans="8:8">
      <c r="H403" s="28"/>
    </row>
    <row r="404" spans="8:8">
      <c r="H404" s="28"/>
    </row>
    <row r="405" spans="8:8">
      <c r="H405" s="28"/>
    </row>
    <row r="406" spans="8:8">
      <c r="H406" s="28"/>
    </row>
    <row r="407" spans="8:8">
      <c r="H407" s="28"/>
    </row>
    <row r="408" spans="8:8">
      <c r="H408" s="28"/>
    </row>
    <row r="409" spans="8:8">
      <c r="H409" s="28"/>
    </row>
    <row r="410" spans="8:8">
      <c r="H410" s="28"/>
    </row>
    <row r="411" spans="8:8">
      <c r="H411" s="28"/>
    </row>
    <row r="412" spans="8:8">
      <c r="H412" s="28"/>
    </row>
    <row r="413" spans="8:8">
      <c r="H413" s="28"/>
    </row>
    <row r="414" spans="8:8">
      <c r="H414" s="28"/>
    </row>
    <row r="415" spans="8:8">
      <c r="H415" s="28"/>
    </row>
    <row r="416" spans="8:8">
      <c r="H416" s="28"/>
    </row>
    <row r="417" spans="8:8">
      <c r="H417" s="28"/>
    </row>
    <row r="418" spans="8:8">
      <c r="H418" s="28"/>
    </row>
    <row r="419" spans="8:8">
      <c r="H419" s="28"/>
    </row>
    <row r="420" spans="8:8">
      <c r="H420" s="28"/>
    </row>
    <row r="421" spans="8:8">
      <c r="H421" s="28"/>
    </row>
    <row r="422" spans="8:8">
      <c r="H422" s="28"/>
    </row>
    <row r="423" spans="8:8">
      <c r="H423" s="28"/>
    </row>
    <row r="424" spans="8:8">
      <c r="H424" s="28"/>
    </row>
    <row r="425" spans="8:8">
      <c r="H425" s="28"/>
    </row>
    <row r="426" spans="8:8">
      <c r="H426" s="28"/>
    </row>
    <row r="427" spans="8:8">
      <c r="H427" s="28"/>
    </row>
    <row r="428" spans="8:8">
      <c r="H428" s="28"/>
    </row>
    <row r="429" spans="8:8">
      <c r="H429" s="28"/>
    </row>
    <row r="430" spans="8:8">
      <c r="H430" s="28"/>
    </row>
    <row r="431" spans="8:8">
      <c r="H431" s="28"/>
    </row>
    <row r="432" spans="8:8">
      <c r="H432" s="28"/>
    </row>
    <row r="433" spans="8:8">
      <c r="H433" s="28"/>
    </row>
    <row r="434" spans="8:8">
      <c r="H434" s="28"/>
    </row>
    <row r="435" spans="8:8">
      <c r="H435" s="28"/>
    </row>
    <row r="436" spans="8:8">
      <c r="H436" s="28"/>
    </row>
    <row r="437" spans="8:8">
      <c r="H437" s="28"/>
    </row>
    <row r="438" spans="8:8">
      <c r="H438" s="28"/>
    </row>
    <row r="439" spans="8:8">
      <c r="H439" s="28"/>
    </row>
    <row r="440" spans="8:8">
      <c r="H440" s="28"/>
    </row>
    <row r="441" spans="8:8">
      <c r="H441" s="28"/>
    </row>
    <row r="442" spans="8:8">
      <c r="H442" s="28"/>
    </row>
    <row r="443" spans="8:8">
      <c r="H443" s="28"/>
    </row>
    <row r="444" spans="8:8">
      <c r="H444" s="28"/>
    </row>
    <row r="445" spans="8:8">
      <c r="H445" s="28"/>
    </row>
    <row r="446" spans="8:8">
      <c r="H446" s="28"/>
    </row>
    <row r="447" spans="8:8">
      <c r="H447" s="28"/>
    </row>
    <row r="448" spans="8:8">
      <c r="H448" s="28"/>
    </row>
    <row r="449" spans="8:8">
      <c r="H449" s="28"/>
    </row>
    <row r="450" spans="8:8">
      <c r="H450" s="28"/>
    </row>
    <row r="451" spans="8:8">
      <c r="H451" s="28"/>
    </row>
    <row r="452" spans="8:8">
      <c r="H452" s="28"/>
    </row>
    <row r="453" spans="8:8">
      <c r="H453" s="28"/>
    </row>
    <row r="454" spans="8:8">
      <c r="H454" s="28"/>
    </row>
    <row r="455" spans="8:8">
      <c r="H455" s="28"/>
    </row>
    <row r="456" spans="8:8">
      <c r="H456" s="28"/>
    </row>
    <row r="457" spans="8:8">
      <c r="H457" s="28"/>
    </row>
    <row r="458" spans="8:8">
      <c r="H458" s="28"/>
    </row>
    <row r="459" spans="8:8">
      <c r="H459" s="28"/>
    </row>
    <row r="460" spans="8:8">
      <c r="H460" s="28"/>
    </row>
    <row r="461" spans="8:8">
      <c r="H461" s="28"/>
    </row>
    <row r="462" spans="8:8">
      <c r="H462" s="28"/>
    </row>
    <row r="463" spans="8:8">
      <c r="H463" s="28"/>
    </row>
    <row r="464" spans="8:8">
      <c r="H464" s="28"/>
    </row>
    <row r="465" spans="8:8">
      <c r="H465" s="28"/>
    </row>
    <row r="466" spans="8:8">
      <c r="H466" s="28"/>
    </row>
    <row r="467" spans="8:8">
      <c r="H467" s="28"/>
    </row>
    <row r="468" spans="8:8">
      <c r="H468" s="28"/>
    </row>
    <row r="469" spans="8:8">
      <c r="H469" s="28"/>
    </row>
    <row r="470" spans="8:8">
      <c r="H470" s="28"/>
    </row>
    <row r="471" spans="8:8">
      <c r="H471" s="28"/>
    </row>
    <row r="472" spans="8:8">
      <c r="H472" s="28"/>
    </row>
    <row r="473" spans="8:8">
      <c r="H473" s="28"/>
    </row>
    <row r="474" spans="8:8">
      <c r="H474" s="28"/>
    </row>
    <row r="475" spans="8:8">
      <c r="H475" s="28"/>
    </row>
    <row r="476" spans="8:8">
      <c r="H476" s="28"/>
    </row>
    <row r="477" spans="8:8">
      <c r="H477" s="28"/>
    </row>
    <row r="478" spans="8:8">
      <c r="H478" s="28"/>
    </row>
    <row r="479" spans="8:8">
      <c r="H479" s="28"/>
    </row>
    <row r="480" spans="8:8">
      <c r="H480" s="28"/>
    </row>
    <row r="481" spans="8:8">
      <c r="H481" s="28"/>
    </row>
    <row r="482" spans="8:8">
      <c r="H482" s="28"/>
    </row>
    <row r="483" spans="8:8">
      <c r="H483" s="28"/>
    </row>
    <row r="484" spans="8:8">
      <c r="H484" s="28"/>
    </row>
    <row r="485" spans="8:8">
      <c r="H485" s="28"/>
    </row>
    <row r="486" spans="8:8">
      <c r="H486" s="28"/>
    </row>
    <row r="487" spans="8:8">
      <c r="H487" s="28"/>
    </row>
    <row r="488" spans="8:8">
      <c r="H488" s="28"/>
    </row>
    <row r="489" spans="8:8">
      <c r="H489" s="28"/>
    </row>
    <row r="490" spans="8:8">
      <c r="H490" s="28"/>
    </row>
    <row r="491" spans="8:8">
      <c r="H491" s="28"/>
    </row>
    <row r="492" spans="8:8">
      <c r="H492" s="28"/>
    </row>
    <row r="493" spans="8:8">
      <c r="H493" s="28"/>
    </row>
    <row r="494" spans="8:8">
      <c r="H494" s="28"/>
    </row>
    <row r="495" spans="8:8">
      <c r="H495" s="28"/>
    </row>
    <row r="496" spans="8:8">
      <c r="H496" s="28"/>
    </row>
    <row r="497" spans="8:8">
      <c r="H497" s="28"/>
    </row>
    <row r="498" spans="8:8">
      <c r="H498" s="28"/>
    </row>
    <row r="499" spans="8:8">
      <c r="H499" s="28"/>
    </row>
    <row r="500" spans="8:8">
      <c r="H500" s="28"/>
    </row>
    <row r="501" spans="8:8">
      <c r="H501" s="28"/>
    </row>
    <row r="502" spans="8:8">
      <c r="H502" s="28"/>
    </row>
    <row r="503" spans="8:8">
      <c r="H503" s="28"/>
    </row>
    <row r="504" spans="8:8">
      <c r="H504" s="28"/>
    </row>
    <row r="505" spans="8:8">
      <c r="H505" s="28"/>
    </row>
    <row r="506" spans="8:8">
      <c r="H506" s="28"/>
    </row>
    <row r="507" spans="8:8">
      <c r="H507" s="28"/>
    </row>
    <row r="508" spans="8:8">
      <c r="H508" s="28"/>
    </row>
    <row r="509" spans="8:8">
      <c r="H509" s="28"/>
    </row>
    <row r="510" spans="8:8">
      <c r="H510" s="28"/>
    </row>
    <row r="511" spans="8:8">
      <c r="H511" s="28"/>
    </row>
    <row r="512" spans="8:8">
      <c r="H512" s="28"/>
    </row>
    <row r="513" spans="8:8">
      <c r="H513" s="28"/>
    </row>
    <row r="514" spans="8:8">
      <c r="H514" s="28"/>
    </row>
    <row r="515" spans="8:8">
      <c r="H515" s="28"/>
    </row>
    <row r="516" spans="8:8">
      <c r="H516" s="28"/>
    </row>
    <row r="517" spans="8:8">
      <c r="H517" s="28"/>
    </row>
    <row r="518" spans="8:8">
      <c r="H518" s="28"/>
    </row>
    <row r="519" spans="8:8">
      <c r="H519" s="28"/>
    </row>
    <row r="520" spans="8:8">
      <c r="H520" s="28"/>
    </row>
    <row r="521" spans="8:8">
      <c r="H521" s="28"/>
    </row>
    <row r="522" spans="8:8">
      <c r="H522" s="28"/>
    </row>
    <row r="523" spans="8:8">
      <c r="H523" s="28"/>
    </row>
    <row r="524" spans="8:8">
      <c r="H524" s="28"/>
    </row>
    <row r="525" spans="8:8">
      <c r="H525" s="28"/>
    </row>
    <row r="526" spans="8:8">
      <c r="H526" s="28"/>
    </row>
    <row r="527" spans="8:8">
      <c r="H527" s="28"/>
    </row>
    <row r="528" spans="8:8">
      <c r="H528" s="28"/>
    </row>
    <row r="529" spans="8:8">
      <c r="H529" s="28"/>
    </row>
    <row r="530" spans="8:8">
      <c r="H530" s="28"/>
    </row>
    <row r="531" spans="8:8">
      <c r="H531" s="28"/>
    </row>
    <row r="532" spans="8:8">
      <c r="H532" s="28"/>
    </row>
    <row r="533" spans="8:8">
      <c r="H533" s="28"/>
    </row>
    <row r="534" spans="8:8">
      <c r="H534" s="28"/>
    </row>
    <row r="535" spans="8:8">
      <c r="H535" s="28"/>
    </row>
    <row r="536" spans="8:8">
      <c r="H536" s="28"/>
    </row>
    <row r="537" spans="8:8">
      <c r="H537" s="28"/>
    </row>
    <row r="538" spans="8:8">
      <c r="H538" s="28"/>
    </row>
    <row r="539" spans="8:8">
      <c r="H539" s="28"/>
    </row>
    <row r="540" spans="8:8">
      <c r="H540" s="28"/>
    </row>
    <row r="541" spans="8:8">
      <c r="H541" s="28"/>
    </row>
    <row r="542" spans="8:8">
      <c r="H542" s="28"/>
    </row>
    <row r="543" spans="8:8">
      <c r="H543" s="28"/>
    </row>
    <row r="544" spans="8:8">
      <c r="H544" s="28"/>
    </row>
    <row r="545" spans="8:8">
      <c r="H545" s="28"/>
    </row>
    <row r="546" spans="8:8">
      <c r="H546" s="28"/>
    </row>
    <row r="547" spans="8:8">
      <c r="H547" s="28"/>
    </row>
    <row r="548" spans="8:8">
      <c r="H548" s="28"/>
    </row>
    <row r="549" spans="8:8">
      <c r="H549" s="28"/>
    </row>
    <row r="550" spans="8:8">
      <c r="H550" s="28"/>
    </row>
    <row r="551" spans="8:8">
      <c r="H551" s="28"/>
    </row>
    <row r="552" spans="8:8">
      <c r="H552" s="28"/>
    </row>
    <row r="553" spans="8:8">
      <c r="H553" s="28"/>
    </row>
    <row r="554" spans="8:8">
      <c r="H554" s="28"/>
    </row>
    <row r="555" spans="8:8">
      <c r="H555" s="28"/>
    </row>
    <row r="556" spans="8:8">
      <c r="H556" s="28"/>
    </row>
    <row r="557" spans="8:8">
      <c r="H557" s="28"/>
    </row>
    <row r="558" spans="8:8">
      <c r="H558" s="28"/>
    </row>
    <row r="559" spans="8:8">
      <c r="H559" s="28"/>
    </row>
    <row r="560" spans="8:8">
      <c r="H560" s="28"/>
    </row>
    <row r="561" spans="8:8">
      <c r="H561" s="28"/>
    </row>
    <row r="562" spans="8:8">
      <c r="H562" s="28"/>
    </row>
    <row r="563" spans="8:8">
      <c r="H563" s="28"/>
    </row>
    <row r="564" spans="8:8">
      <c r="H564" s="28"/>
    </row>
    <row r="565" spans="8:8">
      <c r="H565" s="28"/>
    </row>
    <row r="566" spans="8:8">
      <c r="H566" s="28"/>
    </row>
    <row r="567" spans="8:8">
      <c r="H567" s="28"/>
    </row>
    <row r="568" spans="8:8">
      <c r="H568" s="28"/>
    </row>
    <row r="569" spans="8:8">
      <c r="H569" s="28"/>
    </row>
    <row r="570" spans="8:8">
      <c r="H570" s="28"/>
    </row>
    <row r="571" spans="8:8">
      <c r="H571" s="28"/>
    </row>
    <row r="572" spans="8:8">
      <c r="H572" s="28"/>
    </row>
    <row r="573" spans="8:8">
      <c r="H573" s="28"/>
    </row>
    <row r="574" spans="8:8">
      <c r="H574" s="28"/>
    </row>
    <row r="575" spans="8:8">
      <c r="H575" s="28"/>
    </row>
    <row r="576" spans="8:8">
      <c r="H576" s="28"/>
    </row>
    <row r="577" spans="8:8">
      <c r="H577" s="28"/>
    </row>
    <row r="578" spans="8:8">
      <c r="H578" s="28"/>
    </row>
    <row r="579" spans="8:8">
      <c r="H579" s="28"/>
    </row>
    <row r="580" spans="8:8">
      <c r="H580" s="28"/>
    </row>
    <row r="581" spans="8:8">
      <c r="H581" s="28"/>
    </row>
    <row r="582" spans="8:8">
      <c r="H582" s="28"/>
    </row>
    <row r="583" spans="8:8">
      <c r="H583" s="28"/>
    </row>
    <row r="584" spans="8:8">
      <c r="H584" s="28"/>
    </row>
    <row r="585" spans="8:8">
      <c r="H585" s="28"/>
    </row>
    <row r="586" spans="8:8">
      <c r="H586" s="28"/>
    </row>
    <row r="587" spans="8:8">
      <c r="H587" s="28"/>
    </row>
    <row r="588" spans="8:8">
      <c r="H588" s="28"/>
    </row>
    <row r="589" spans="8:8">
      <c r="H589" s="28"/>
    </row>
    <row r="590" spans="8:8">
      <c r="H590" s="28"/>
    </row>
    <row r="591" spans="8:8">
      <c r="H591" s="28"/>
    </row>
    <row r="592" spans="8:8">
      <c r="H592" s="28"/>
    </row>
    <row r="593" spans="8:8">
      <c r="H593" s="28"/>
    </row>
    <row r="594" spans="8:8">
      <c r="H594" s="28"/>
    </row>
    <row r="595" spans="8:8">
      <c r="H595" s="28"/>
    </row>
    <row r="596" spans="8:8">
      <c r="H596" s="28"/>
    </row>
    <row r="597" spans="8:8">
      <c r="H597" s="28"/>
    </row>
    <row r="598" spans="8:8">
      <c r="H598" s="28"/>
    </row>
    <row r="599" spans="8:8">
      <c r="H599" s="28"/>
    </row>
    <row r="600" spans="8:8">
      <c r="H600" s="28"/>
    </row>
    <row r="601" spans="8:8">
      <c r="H601" s="28"/>
    </row>
    <row r="602" spans="8:8">
      <c r="H602" s="28"/>
    </row>
    <row r="603" spans="8:8">
      <c r="H603" s="28"/>
    </row>
    <row r="604" spans="8:8">
      <c r="H604" s="28"/>
    </row>
    <row r="605" spans="8:8">
      <c r="H605" s="28"/>
    </row>
    <row r="606" spans="8:8">
      <c r="H606" s="28"/>
    </row>
    <row r="607" spans="8:8">
      <c r="H607" s="28"/>
    </row>
    <row r="608" spans="8:8">
      <c r="H608" s="28"/>
    </row>
    <row r="609" spans="8:8">
      <c r="H609" s="28"/>
    </row>
    <row r="610" spans="8:8">
      <c r="H610" s="28"/>
    </row>
    <row r="611" spans="8:8">
      <c r="H611" s="28"/>
    </row>
    <row r="612" spans="8:8">
      <c r="H612" s="28"/>
    </row>
    <row r="613" spans="8:8">
      <c r="H613" s="28"/>
    </row>
    <row r="614" spans="8:8">
      <c r="H614" s="28"/>
    </row>
    <row r="615" spans="8:8">
      <c r="H615" s="28"/>
    </row>
    <row r="616" spans="8:8">
      <c r="H616" s="28"/>
    </row>
    <row r="617" spans="8:8">
      <c r="H617" s="28"/>
    </row>
    <row r="618" spans="8:8">
      <c r="H618" s="28"/>
    </row>
    <row r="619" spans="8:8">
      <c r="H619" s="28"/>
    </row>
    <row r="620" spans="8:8">
      <c r="H620" s="28"/>
    </row>
    <row r="621" spans="8:8">
      <c r="H621" s="28"/>
    </row>
    <row r="622" spans="8:8">
      <c r="H622" s="28"/>
    </row>
    <row r="623" spans="8:8">
      <c r="H623" s="28"/>
    </row>
    <row r="624" spans="8:8">
      <c r="H624" s="28"/>
    </row>
    <row r="625" spans="8:8">
      <c r="H625" s="28"/>
    </row>
    <row r="626" spans="8:8">
      <c r="H626" s="28"/>
    </row>
    <row r="627" spans="8:8">
      <c r="H627" s="28"/>
    </row>
  </sheetData>
  <phoneticPr fontId="10" type="noConversion"/>
  <printOptions horizontalCentered="1"/>
  <pageMargins left="0.25" right="0.25" top="0.75" bottom="0.75" header="0.3" footer="0.3"/>
  <pageSetup scale="99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AE367"/>
  <sheetViews>
    <sheetView view="pageBreakPreview" zoomScale="80" zoomScaleNormal="100" zoomScaleSheetLayoutView="80" workbookViewId="0">
      <selection activeCell="G30" sqref="G30"/>
    </sheetView>
  </sheetViews>
  <sheetFormatPr defaultColWidth="9.33203125" defaultRowHeight="17.45" customHeight="1" outlineLevelRow="1"/>
  <cols>
    <col min="1" max="1" width="18.5" style="275" customWidth="1"/>
    <col min="2" max="2" width="22.83203125" style="275" customWidth="1"/>
    <col min="3" max="3" width="27.33203125" style="275" customWidth="1"/>
    <col min="4" max="4" width="18.33203125" style="275" customWidth="1"/>
    <col min="5" max="5" width="18.5" style="275" customWidth="1"/>
    <col min="6" max="7" width="16.1640625" style="275" customWidth="1"/>
    <col min="8" max="8" width="6.5" style="275" customWidth="1"/>
    <col min="9" max="9" width="9.5" style="275" customWidth="1"/>
    <col min="10" max="11" width="10" style="275" customWidth="1"/>
    <col min="12" max="12" width="9.33203125" style="275" customWidth="1"/>
    <col min="13" max="13" width="30.1640625" style="275" customWidth="1"/>
    <col min="14" max="14" width="20" style="275" customWidth="1"/>
    <col min="15" max="15" width="14.6640625" style="275" customWidth="1"/>
    <col min="16" max="16" width="14.33203125" style="275" customWidth="1"/>
    <col min="17" max="17" width="19.5" style="275" customWidth="1"/>
    <col min="18" max="18" width="25.83203125" style="275" customWidth="1"/>
    <col min="19" max="19" width="16" style="275" customWidth="1"/>
    <col min="20" max="20" width="15.1640625" style="275" bestFit="1" customWidth="1"/>
    <col min="21" max="21" width="13.83203125" style="275" customWidth="1"/>
    <col min="22" max="23" width="9.33203125" style="275"/>
    <col min="24" max="24" width="30.33203125" style="275" customWidth="1"/>
    <col min="25" max="25" width="19.5" style="275" customWidth="1"/>
    <col min="26" max="26" width="9.33203125" style="275"/>
    <col min="27" max="27" width="11.1640625" style="275" bestFit="1" customWidth="1"/>
    <col min="28" max="28" width="15.1640625" style="275" customWidth="1"/>
    <col min="29" max="29" width="11.1640625" style="275" bestFit="1" customWidth="1"/>
    <col min="30" max="30" width="16" style="275" customWidth="1"/>
    <col min="31" max="31" width="15" style="275" bestFit="1" customWidth="1"/>
    <col min="32" max="16384" width="9.33203125" style="275"/>
  </cols>
  <sheetData>
    <row r="1" spans="1:31" s="3" customFormat="1" ht="17.45" customHeight="1">
      <c r="B1" s="1"/>
      <c r="C1" s="1"/>
      <c r="D1" s="10"/>
      <c r="E1" s="10"/>
      <c r="F1" s="10"/>
      <c r="G1" s="10"/>
      <c r="H1" s="29"/>
      <c r="I1" s="46"/>
      <c r="AA1" s="46" t="s">
        <v>205</v>
      </c>
      <c r="AB1" s="46"/>
      <c r="AC1">
        <v>2045</v>
      </c>
    </row>
    <row r="2" spans="1:31" ht="17.45" customHeight="1">
      <c r="A2" s="276" t="s">
        <v>302</v>
      </c>
    </row>
    <row r="3" spans="1:31" ht="17.45" customHeight="1">
      <c r="B3" s="1" t="str">
        <f>"Table "&amp;RIGHT('Table 4'!B3,1)+1</f>
        <v>Table 5</v>
      </c>
      <c r="C3" s="176"/>
      <c r="D3" s="176"/>
      <c r="E3" s="176"/>
      <c r="F3" s="176"/>
      <c r="G3" s="176"/>
      <c r="M3" s="275" t="s">
        <v>50</v>
      </c>
      <c r="O3" s="276"/>
    </row>
    <row r="4" spans="1:31" ht="27" customHeight="1">
      <c r="B4" s="176" t="str">
        <f ca="1">'Table 1'!B5</f>
        <v>QF - Sch38 - UT - Wind - 80.0 MW and 30.4% CF</v>
      </c>
      <c r="C4" s="176"/>
      <c r="D4" s="176"/>
      <c r="E4" s="176"/>
      <c r="F4" s="176"/>
      <c r="G4" s="176"/>
      <c r="K4" s="277">
        <f>MIN(K13:K24)</f>
        <v>46023</v>
      </c>
      <c r="M4" s="278" t="s">
        <v>335</v>
      </c>
      <c r="P4" s="279"/>
      <c r="Q4" s="339" t="s">
        <v>204</v>
      </c>
      <c r="R4" s="340" t="s">
        <v>202</v>
      </c>
      <c r="S4" s="279" t="s">
        <v>203</v>
      </c>
    </row>
    <row r="5" spans="1:31" ht="17.45" customHeight="1">
      <c r="B5" s="176" t="str">
        <f>TEXT($K$5,"MMMM YYYY")&amp;"  through  "&amp;TEXT($K$6,"MMMM YYYY")</f>
        <v>January 2026  through  July 2051</v>
      </c>
      <c r="C5" s="176"/>
      <c r="D5" s="176"/>
      <c r="E5" s="176"/>
      <c r="F5" s="176"/>
      <c r="G5" s="176"/>
      <c r="J5" s="275" t="s">
        <v>36</v>
      </c>
      <c r="K5" s="277">
        <f>MIN(K13:K24)</f>
        <v>46023</v>
      </c>
      <c r="M5" s="275" t="s">
        <v>37</v>
      </c>
      <c r="O5" s="3" t="s">
        <v>69</v>
      </c>
      <c r="P5" s="3"/>
      <c r="Q5">
        <f>R5+12</f>
        <v>37</v>
      </c>
      <c r="R5">
        <v>25</v>
      </c>
      <c r="S5">
        <v>13</v>
      </c>
    </row>
    <row r="6" spans="1:31" ht="17.45" customHeight="1">
      <c r="B6" s="176" t="s">
        <v>38</v>
      </c>
      <c r="C6" s="176"/>
      <c r="D6" s="176"/>
      <c r="E6" s="176"/>
      <c r="F6" s="176"/>
      <c r="G6" s="176"/>
      <c r="J6" s="275" t="s">
        <v>39</v>
      </c>
      <c r="K6" s="277">
        <f>EDATE(K5,25*12-1+7)</f>
        <v>55335</v>
      </c>
      <c r="M6" s="278">
        <v>80</v>
      </c>
      <c r="N6" s="275" t="s">
        <v>32</v>
      </c>
      <c r="O6" s="3" t="s">
        <v>70</v>
      </c>
      <c r="P6"/>
      <c r="Q6">
        <f>Q5+15*12-1</f>
        <v>216</v>
      </c>
      <c r="R6">
        <f>R5+15*12-1</f>
        <v>204</v>
      </c>
      <c r="S6">
        <f>S5+15*12-1</f>
        <v>192</v>
      </c>
    </row>
    <row r="7" spans="1:31" ht="17.45" customHeight="1">
      <c r="A7" s="279" t="str">
        <f>Q4</f>
        <v>15 Year Starting 2028</v>
      </c>
      <c r="B7" s="176"/>
      <c r="C7" s="280">
        <f ca="1">NPV($K$10,INDIRECT("C"&amp;$Q$5&amp;":C"&amp;$Q$6))</f>
        <v>84232494.456869483</v>
      </c>
      <c r="D7" s="280">
        <f ca="1">NPV($K$10,INDIRECT("D"&amp;$Q$5&amp;":D"&amp;$Q$6))</f>
        <v>12066170.059991118</v>
      </c>
      <c r="E7" s="280">
        <f ca="1">NPV($K$10,INDIRECT("e"&amp;$Q$5&amp;":e"&amp;$Q$6))</f>
        <v>96298664.516860604</v>
      </c>
      <c r="F7" s="281">
        <f ca="1">NPV($K$10,INDIRECT("F"&amp;$Q$5&amp;":F"&amp;$Q$6))</f>
        <v>2086185.2830013721</v>
      </c>
      <c r="G7" s="282">
        <f ca="1">($C7+D7)/$F7</f>
        <v>46.160168658805205</v>
      </c>
      <c r="K7" s="277"/>
      <c r="M7" s="278"/>
      <c r="O7" s="3"/>
      <c r="P7"/>
      <c r="Q7"/>
      <c r="R7"/>
      <c r="S7"/>
      <c r="AA7" s="275" t="s">
        <v>206</v>
      </c>
    </row>
    <row r="8" spans="1:31" ht="17.45" customHeight="1">
      <c r="A8" s="279" t="str">
        <f>R4</f>
        <v>15 Year Starting 2027</v>
      </c>
      <c r="C8" s="280">
        <f ca="1">NPV($K$10,INDIRECT("C"&amp;$R$5&amp;":C"&amp;$R$6))</f>
        <v>79440573.841710895</v>
      </c>
      <c r="D8" s="280">
        <f ca="1">NPV($K$10,INDIRECT("D"&amp;$R$5&amp;":D"&amp;$R$6))</f>
        <v>9912010.4074567351</v>
      </c>
      <c r="E8" s="280">
        <f ca="1">NPV($K$10,INDIRECT("e"&amp;$R$5&amp;":e"&amp;$R$6))</f>
        <v>89352584.249167606</v>
      </c>
      <c r="F8" s="281">
        <f ca="1">NPV($K$10,INDIRECT("F"&amp;$R$5&amp;":F"&amp;$R$6))</f>
        <v>2085915.0340171072</v>
      </c>
      <c r="G8" s="282">
        <f ca="1">($C8+D8)/$F8</f>
        <v>42.836157174192373</v>
      </c>
      <c r="M8" s="283">
        <f ca="1">ROUNDUP(SUM(OFFSET(F12,MATCH(K5,B13:B24,0),0,12))/(EDATE(K5,12)-K5)/24/Study_MW,4)</f>
        <v>0.30409999999999998</v>
      </c>
      <c r="N8" s="284" t="s">
        <v>33</v>
      </c>
      <c r="AA8" s="276" t="s">
        <v>333</v>
      </c>
      <c r="AB8" s="275" t="s">
        <v>107</v>
      </c>
    </row>
    <row r="9" spans="1:31" ht="17.45" customHeight="1">
      <c r="A9" s="279"/>
      <c r="B9" s="279" t="str">
        <f>"Nominal NPV at "&amp;TEXT(J10,"0.00%")&amp;" Discount Rate"</f>
        <v>Nominal NPV at 6.33% Discount Rate</v>
      </c>
      <c r="J9" s="275" t="str">
        <f>'Table 1'!I49</f>
        <v>Discount Rate - 2025 IRP Upate</v>
      </c>
      <c r="AA9" s="275" t="s">
        <v>334</v>
      </c>
    </row>
    <row r="10" spans="1:31" ht="17.45" customHeight="1">
      <c r="A10" s="279" t="str">
        <f>S4</f>
        <v>15 Year Starting 2026</v>
      </c>
      <c r="C10" s="280">
        <f ca="1">NPV($K$10,INDIRECT("C"&amp;$S$5&amp;":C"&amp;$S$6))</f>
        <v>73885919.364343509</v>
      </c>
      <c r="D10" s="280">
        <f ca="1">NPV($K$10,INDIRECT("d"&amp;$S$5&amp;":d"&amp;$S$6))</f>
        <v>7917276.5856242795</v>
      </c>
      <c r="E10" s="280">
        <f ca="1">NPV($K$10,INDIRECT("e"&amp;$S$5&amp;":e"&amp;$S$6))</f>
        <v>81803195.949967802</v>
      </c>
      <c r="F10" s="281">
        <f ca="1">NPV($K$10,INDIRECT("F"&amp;$S$5&amp;":F"&amp;$S$6))</f>
        <v>2085997.4474143605</v>
      </c>
      <c r="G10" s="282">
        <f ca="1">($C10+D10)/$F10</f>
        <v>39.215386409683596</v>
      </c>
      <c r="J10" s="285">
        <f>'Table 1'!I50</f>
        <v>6.3299999999999995E-2</v>
      </c>
      <c r="K10" s="286">
        <f>((1+J10)^(1/12))-1</f>
        <v>5.1278760889585939E-3</v>
      </c>
    </row>
    <row r="11" spans="1:31" ht="17.45" customHeight="1">
      <c r="B11" s="177"/>
      <c r="C11" s="178" t="s">
        <v>310</v>
      </c>
      <c r="D11" s="179" t="s">
        <v>311</v>
      </c>
      <c r="E11" s="179" t="s">
        <v>40</v>
      </c>
      <c r="F11" s="179" t="s">
        <v>40</v>
      </c>
      <c r="G11" s="180" t="s">
        <v>47</v>
      </c>
      <c r="S11" s="275" t="s">
        <v>123</v>
      </c>
      <c r="U11" s="275" t="s">
        <v>123</v>
      </c>
      <c r="Z11" s="275" t="s">
        <v>103</v>
      </c>
      <c r="AA11" s="275" t="s">
        <v>201</v>
      </c>
    </row>
    <row r="12" spans="1:31" ht="46.5" customHeight="1">
      <c r="B12" s="181" t="s">
        <v>41</v>
      </c>
      <c r="C12" s="178" t="s">
        <v>42</v>
      </c>
      <c r="D12" s="182" t="str">
        <f>TEXT((SUM(F25:F72)/(8760*3+8784))/Study_MW,"0.0%")&amp;" CF"</f>
        <v>30.4% CF</v>
      </c>
      <c r="E12" s="183" t="s">
        <v>46</v>
      </c>
      <c r="F12" s="274" t="s">
        <v>43</v>
      </c>
      <c r="G12" s="182" t="str">
        <f>D12</f>
        <v>30.4% CF</v>
      </c>
      <c r="I12" s="179" t="s">
        <v>44</v>
      </c>
      <c r="J12" s="184" t="s">
        <v>0</v>
      </c>
      <c r="K12" s="184" t="s">
        <v>45</v>
      </c>
      <c r="L12" s="184" t="s">
        <v>44</v>
      </c>
      <c r="M12" s="184"/>
      <c r="N12" s="180"/>
      <c r="P12" s="275" t="s">
        <v>40</v>
      </c>
      <c r="Q12" s="275" t="s">
        <v>62</v>
      </c>
      <c r="R12" s="275" t="s">
        <v>158</v>
      </c>
      <c r="S12" s="275" t="s">
        <v>310</v>
      </c>
      <c r="U12" s="275" t="s">
        <v>158</v>
      </c>
      <c r="V12" s="275" t="s">
        <v>315</v>
      </c>
      <c r="X12" s="275" t="s">
        <v>314</v>
      </c>
      <c r="Y12" s="348" t="s">
        <v>313</v>
      </c>
      <c r="AD12" s="347" t="s">
        <v>312</v>
      </c>
      <c r="AE12" s="348" t="s">
        <v>316</v>
      </c>
    </row>
    <row r="13" spans="1:31" ht="17.45" hidden="1" customHeight="1">
      <c r="B13" s="266">
        <v>46023</v>
      </c>
      <c r="C13" s="287">
        <v>347607.43730606191</v>
      </c>
      <c r="D13" s="288">
        <f>IF(ISNUMBER($F13),VLOOKUP($J13,'Table 1'!$B$13:$C$41,2,FALSE)/12*1000*Study_MW,"")</f>
        <v>0</v>
      </c>
      <c r="E13" s="289">
        <f t="shared" ref="E13:E17" si="0">IF(ISNUMBER(C13+D13),C13+D13,"")</f>
        <v>347607.43730606191</v>
      </c>
      <c r="F13" s="290">
        <v>17943.308888460004</v>
      </c>
      <c r="G13" s="291">
        <f t="shared" ref="G13:G17" si="1">IF(ISNUMBER($F13),E13/$F13,"")</f>
        <v>19.372538223962746</v>
      </c>
      <c r="I13" s="292">
        <f>(YEAR(B13)-2026)*13+1</f>
        <v>1</v>
      </c>
      <c r="J13" s="293">
        <f>YEAR(B13)</f>
        <v>2026</v>
      </c>
      <c r="K13" s="185">
        <f t="shared" ref="K13:K24" si="2">IF(ISNUMBER(F13),B13,"")</f>
        <v>46023</v>
      </c>
      <c r="L13" s="275">
        <v>880</v>
      </c>
      <c r="M13" s="279" t="s">
        <v>109</v>
      </c>
      <c r="V13" s="275" t="str">
        <f>IFERROR(IF(AND(MONTH(K13)&gt;=6,MONTH(K13)&lt;=9),"Summer","Winter"),"-")</f>
        <v>Winter</v>
      </c>
      <c r="Z13" s="294">
        <f t="shared" ref="Z13:Z76" si="3">Inflation</f>
        <v>2.2200000000000001E-2</v>
      </c>
      <c r="AA13" s="295">
        <f>IF($AA$8="Solar",IFERROR(IF(J13&gt;$AC$1,-0.005,0),#REF!),0)</f>
        <v>0</v>
      </c>
      <c r="AD13" s="347"/>
    </row>
    <row r="14" spans="1:31" ht="17.45" hidden="1" customHeight="1">
      <c r="B14" s="186">
        <f t="shared" ref="B14:B77" si="4">EDATE(B13,1)</f>
        <v>46054</v>
      </c>
      <c r="C14" s="296">
        <v>212538.11676823534</v>
      </c>
      <c r="D14" s="297">
        <f>IF(ISNUMBER($F14),VLOOKUP($J14,'Table 1'!$B$13:$C$41,2,FALSE)/12*1000*Study_MW,"")</f>
        <v>0</v>
      </c>
      <c r="E14" s="297">
        <f t="shared" si="0"/>
        <v>212538.11676823534</v>
      </c>
      <c r="F14" s="296">
        <v>20134.57358511</v>
      </c>
      <c r="G14" s="298">
        <f t="shared" si="1"/>
        <v>10.555878716270026</v>
      </c>
      <c r="I14" s="299">
        <f>I13+1</f>
        <v>2</v>
      </c>
      <c r="J14" s="293">
        <f t="shared" ref="J14:J77" si="5">YEAR(B14)</f>
        <v>2026</v>
      </c>
      <c r="K14" s="186">
        <f t="shared" si="2"/>
        <v>46054</v>
      </c>
      <c r="L14" s="275">
        <v>1197</v>
      </c>
      <c r="M14" s="300" t="s">
        <v>334</v>
      </c>
      <c r="V14" s="275" t="str">
        <f t="shared" ref="V14:V77" si="6">IFERROR(IF(AND(MONTH(K14)&gt;=6,MONTH(K14)&lt;=9),"Summer","Winter"),"-")</f>
        <v>Winter</v>
      </c>
      <c r="Z14" s="294">
        <f t="shared" si="3"/>
        <v>2.2200000000000001E-2</v>
      </c>
      <c r="AA14" s="295">
        <f t="shared" ref="AA14:AA77" si="7">IF($AA$8="Solar",IFERROR(IF(J14&gt;$AC$1,-0.005,0),AA2),0)</f>
        <v>0</v>
      </c>
      <c r="AD14" s="347"/>
    </row>
    <row r="15" spans="1:31" ht="17.45" hidden="1" customHeight="1">
      <c r="B15" s="186">
        <f t="shared" si="4"/>
        <v>46082</v>
      </c>
      <c r="C15" s="296">
        <v>79627.312476894076</v>
      </c>
      <c r="D15" s="297">
        <f>IF(ISNUMBER($F15),VLOOKUP($J15,'Table 1'!$B$13:$C$41,2,FALSE)/12*1000*Study_MW,"")</f>
        <v>0</v>
      </c>
      <c r="E15" s="297">
        <f t="shared" si="0"/>
        <v>79627.312476894076</v>
      </c>
      <c r="F15" s="296">
        <v>18349.125429259999</v>
      </c>
      <c r="G15" s="298">
        <f t="shared" si="1"/>
        <v>4.3395699039649198</v>
      </c>
      <c r="I15" s="299">
        <f t="shared" ref="I15:I24" si="8">I14+1</f>
        <v>3</v>
      </c>
      <c r="J15" s="293">
        <f t="shared" si="5"/>
        <v>2026</v>
      </c>
      <c r="K15" s="186">
        <f t="shared" si="2"/>
        <v>46082</v>
      </c>
      <c r="M15" s="275" t="str">
        <f>C11</f>
        <v>Dispatch</v>
      </c>
      <c r="N15" s="275" t="str">
        <f>D11</f>
        <v>Fixed Cost</v>
      </c>
      <c r="O15" s="275" t="s">
        <v>43</v>
      </c>
      <c r="V15" s="275" t="str">
        <f t="shared" si="6"/>
        <v>Winter</v>
      </c>
      <c r="Z15" s="294">
        <f t="shared" si="3"/>
        <v>2.2200000000000001E-2</v>
      </c>
      <c r="AA15" s="295">
        <f t="shared" si="7"/>
        <v>0</v>
      </c>
      <c r="AD15" s="347"/>
    </row>
    <row r="16" spans="1:31" ht="17.45" hidden="1" customHeight="1">
      <c r="B16" s="186">
        <f t="shared" si="4"/>
        <v>46113</v>
      </c>
      <c r="C16" s="296">
        <v>11466.675944328927</v>
      </c>
      <c r="D16" s="297">
        <f>IF(ISNUMBER($F16),VLOOKUP($J16,'Table 1'!$B$13:$C$41,2,FALSE)/12*1000*Study_MW,"")</f>
        <v>0</v>
      </c>
      <c r="E16" s="297">
        <f t="shared" si="0"/>
        <v>11466.675944328927</v>
      </c>
      <c r="F16" s="296">
        <v>20661.518720159998</v>
      </c>
      <c r="G16" s="298">
        <f t="shared" si="1"/>
        <v>0.5549774002402148</v>
      </c>
      <c r="I16" s="299">
        <f t="shared" si="8"/>
        <v>4</v>
      </c>
      <c r="J16" s="293">
        <f t="shared" si="5"/>
        <v>2026</v>
      </c>
      <c r="K16" s="186">
        <f t="shared" si="2"/>
        <v>46113</v>
      </c>
      <c r="L16" s="293">
        <f>YEAR(B13)</f>
        <v>2026</v>
      </c>
      <c r="M16" s="275">
        <f>SUMIF($J$13:$J$350,L16,$C$13:$C$350)</f>
        <v>2777866.494707121</v>
      </c>
      <c r="N16" s="275">
        <f>SUMIF($J$13:$J$350,L16,$D$13:$D$350)</f>
        <v>0</v>
      </c>
      <c r="O16" s="275">
        <f>SUMIF($J$13:$J$350,L16,$F$13:$F$350)</f>
        <v>213067.16707245939</v>
      </c>
      <c r="P16" s="301">
        <f t="shared" ref="P16:P25" si="9">(M16+N16)/O16</f>
        <v>13.037515506846866</v>
      </c>
      <c r="Q16" s="302">
        <f>M16/O16</f>
        <v>13.037515506846866</v>
      </c>
      <c r="R16" s="302">
        <f>IFERROR(N16/O16,0)</f>
        <v>0</v>
      </c>
      <c r="S16" s="275">
        <f>SUMIFS($C$13:$C$312,$J$13:$J$312,L16,$V$13:$V$312,"Summer")</f>
        <v>936802.91066260543</v>
      </c>
      <c r="U16" s="275">
        <f>SUMIFS($D$13:$D$276,$J$13:$J$276,L16,$V$12:$V$275,"Summer")</f>
        <v>0</v>
      </c>
      <c r="V16" s="275" t="str">
        <f t="shared" si="6"/>
        <v>Winter</v>
      </c>
      <c r="X16" s="275">
        <f>M16+N16</f>
        <v>2777866.494707121</v>
      </c>
      <c r="Y16" s="275">
        <f>SUMIF($J$13:$J$350,L16,$AD$13:$AD$350)</f>
        <v>1905113.1357431866</v>
      </c>
      <c r="Z16" s="294">
        <f t="shared" si="3"/>
        <v>2.2200000000000001E-2</v>
      </c>
      <c r="AA16" s="295">
        <f t="shared" si="7"/>
        <v>0</v>
      </c>
      <c r="AD16" s="347"/>
      <c r="AE16" s="275">
        <f>SUMIFS($AD$13:$AD$350,$J$13:$J$350,L16,$V$13:$V$350,"Summer")</f>
        <v>934067.43279517989</v>
      </c>
    </row>
    <row r="17" spans="2:31" ht="17.45" hidden="1" customHeight="1">
      <c r="B17" s="186">
        <f t="shared" si="4"/>
        <v>46143</v>
      </c>
      <c r="C17" s="296">
        <v>175042.57386147583</v>
      </c>
      <c r="D17" s="297">
        <f>IF(ISNUMBER($F17),VLOOKUP($J17,'Table 1'!$B$13:$C$41,2,FALSE)/12*1000*Study_MW,"")</f>
        <v>0</v>
      </c>
      <c r="E17" s="297">
        <f t="shared" si="0"/>
        <v>175042.57386147583</v>
      </c>
      <c r="F17" s="296">
        <v>22464.29332414001</v>
      </c>
      <c r="G17" s="298">
        <f t="shared" si="1"/>
        <v>7.7920356245248996</v>
      </c>
      <c r="I17" s="299">
        <f t="shared" si="8"/>
        <v>5</v>
      </c>
      <c r="J17" s="293">
        <f t="shared" si="5"/>
        <v>2026</v>
      </c>
      <c r="K17" s="186">
        <f t="shared" si="2"/>
        <v>46143</v>
      </c>
      <c r="L17" s="293">
        <f>L16+1</f>
        <v>2027</v>
      </c>
      <c r="M17" s="275">
        <f t="shared" ref="M17:M41" si="10">SUMIF($J$13:$J$350,L17,$C$13:$C$350)</f>
        <v>4053955.0750784739</v>
      </c>
      <c r="N17" s="275">
        <f t="shared" ref="N17:N41" si="11">SUMIF($J$13:$J$350,L17,$D$13:$D$350)</f>
        <v>0</v>
      </c>
      <c r="O17" s="275">
        <f t="shared" ref="O17:O41" si="12">SUMIF($J$13:$J$350,L17,$F$13:$F$350)</f>
        <v>212724.94863765634</v>
      </c>
      <c r="P17" s="301">
        <f t="shared" si="9"/>
        <v>19.057261976279765</v>
      </c>
      <c r="Q17" s="302">
        <f t="shared" ref="Q17:Q33" si="13">M17/O17</f>
        <v>19.057261976279765</v>
      </c>
      <c r="R17" s="302">
        <f t="shared" ref="R17:R33" si="14">IFERROR(N17/O17,0)</f>
        <v>0</v>
      </c>
      <c r="S17" s="275">
        <f t="shared" ref="S17:S41" si="15">SUMIFS($C$13:$C$312,$J$13:$J$312,L17,$V$13:$V$312,"Summer")</f>
        <v>1400882.7391766354</v>
      </c>
      <c r="U17" s="275">
        <f t="shared" ref="U17:U41" si="16">SUMIFS($D$13:$D$276,$J$13:$J$276,L17,$V$12:$V$275,"Summer")</f>
        <v>0</v>
      </c>
      <c r="V17" s="275" t="str">
        <f t="shared" si="6"/>
        <v>Winter</v>
      </c>
      <c r="X17" s="275">
        <f t="shared" ref="X17:X50" si="17">M17+N17</f>
        <v>4053955.0750784739</v>
      </c>
      <c r="Y17" s="275">
        <f>SUMIF($J$13:$J$350,L17,$AD$13:$AD$350)</f>
        <v>3694847.112058274</v>
      </c>
      <c r="Z17" s="294">
        <f t="shared" si="3"/>
        <v>2.2200000000000001E-2</v>
      </c>
      <c r="AA17" s="295">
        <f t="shared" si="7"/>
        <v>0</v>
      </c>
      <c r="AD17" s="347"/>
      <c r="AE17" s="275">
        <f t="shared" ref="AE17:AE41" si="18">SUMIFS($AD$13:$AD$350,$J$13:$J$350,L17,$V$13:$V$350,"Summer")</f>
        <v>1071349.8073660501</v>
      </c>
    </row>
    <row r="18" spans="2:31" ht="17.45" hidden="1" customHeight="1">
      <c r="B18" s="186">
        <f t="shared" si="4"/>
        <v>46174</v>
      </c>
      <c r="C18" s="296">
        <v>145000.50982736866</v>
      </c>
      <c r="D18" s="297">
        <f>IF(ISNUMBER($F18),VLOOKUP($J18,'Table 1'!$B$13:$C$41,2,FALSE)/12*1000*Study_MW,"")</f>
        <v>0</v>
      </c>
      <c r="E18" s="349">
        <f t="shared" ref="E18:E77" si="19">IF(ISNUMBER(C18+D18),C18+D18,"")</f>
        <v>145000.50982736866</v>
      </c>
      <c r="F18" s="296">
        <v>21524.017336009998</v>
      </c>
      <c r="G18" s="298">
        <f t="shared" ref="G18:G76" si="20">IF(ISNUMBER($F18),E18/$F18,"")</f>
        <v>6.7366843077560929</v>
      </c>
      <c r="I18" s="299">
        <f t="shared" si="8"/>
        <v>6</v>
      </c>
      <c r="J18" s="293">
        <f t="shared" si="5"/>
        <v>2026</v>
      </c>
      <c r="K18" s="186">
        <f t="shared" si="2"/>
        <v>46174</v>
      </c>
      <c r="L18" s="293">
        <f t="shared" ref="L18:L42" si="21">L17+1</f>
        <v>2028</v>
      </c>
      <c r="M18" s="275">
        <f t="shared" si="10"/>
        <v>4938577.6454156572</v>
      </c>
      <c r="N18" s="275">
        <f t="shared" si="11"/>
        <v>0</v>
      </c>
      <c r="O18" s="275">
        <f t="shared" si="12"/>
        <v>213156.9874370473</v>
      </c>
      <c r="P18" s="301">
        <f t="shared" si="9"/>
        <v>23.168734484363039</v>
      </c>
      <c r="Q18" s="302">
        <f t="shared" si="13"/>
        <v>23.168734484363039</v>
      </c>
      <c r="R18" s="302">
        <f t="shared" si="14"/>
        <v>0</v>
      </c>
      <c r="S18" s="275">
        <f t="shared" si="15"/>
        <v>1600111.4461790277</v>
      </c>
      <c r="U18" s="275">
        <f t="shared" si="16"/>
        <v>0</v>
      </c>
      <c r="V18" s="275" t="str">
        <f t="shared" si="6"/>
        <v>Summer</v>
      </c>
      <c r="X18" s="275">
        <f t="shared" si="17"/>
        <v>4938577.6454156572</v>
      </c>
      <c r="Y18" s="275">
        <f t="shared" ref="Y18:Y41" si="22">SUMIF($J$13:$J$350,L18,$AD$13:$AD$350)</f>
        <v>4551884.510425847</v>
      </c>
      <c r="Z18" s="294">
        <f t="shared" si="3"/>
        <v>2.2200000000000001E-2</v>
      </c>
      <c r="AA18" s="295">
        <f t="shared" si="7"/>
        <v>0</v>
      </c>
      <c r="AD18" s="347">
        <v>159368.77925247001</v>
      </c>
      <c r="AE18" s="275">
        <f t="shared" si="18"/>
        <v>1247562.5911968399</v>
      </c>
    </row>
    <row r="19" spans="2:31" ht="17.45" hidden="1" customHeight="1">
      <c r="B19" s="186">
        <f t="shared" si="4"/>
        <v>46204</v>
      </c>
      <c r="C19" s="296">
        <v>274401.55588327616</v>
      </c>
      <c r="D19" s="297">
        <f>IF(ISNUMBER($F19),VLOOKUP($J19,'Table 1'!$B$13:$C$41,2,FALSE)/12*1000*Study_MW,"")</f>
        <v>0</v>
      </c>
      <c r="E19" s="297">
        <f t="shared" si="19"/>
        <v>274401.55588327616</v>
      </c>
      <c r="F19" s="296">
        <v>15147.51103519</v>
      </c>
      <c r="G19" s="298">
        <f t="shared" si="20"/>
        <v>18.115290046384459</v>
      </c>
      <c r="I19" s="299">
        <f t="shared" si="8"/>
        <v>7</v>
      </c>
      <c r="J19" s="293">
        <f t="shared" si="5"/>
        <v>2026</v>
      </c>
      <c r="K19" s="186">
        <f t="shared" si="2"/>
        <v>46204</v>
      </c>
      <c r="L19" s="293">
        <f t="shared" si="21"/>
        <v>2029</v>
      </c>
      <c r="M19" s="275">
        <f t="shared" si="10"/>
        <v>5368708.2581402613</v>
      </c>
      <c r="N19" s="275">
        <f t="shared" si="11"/>
        <v>0</v>
      </c>
      <c r="O19" s="275">
        <f t="shared" si="12"/>
        <v>212611.19116223199</v>
      </c>
      <c r="P19" s="301">
        <f t="shared" si="9"/>
        <v>25.251296645263103</v>
      </c>
      <c r="Q19" s="302">
        <f t="shared" si="13"/>
        <v>25.251296645263103</v>
      </c>
      <c r="R19" s="302">
        <f t="shared" si="14"/>
        <v>0</v>
      </c>
      <c r="S19" s="275">
        <f t="shared" si="15"/>
        <v>1700120.3470155159</v>
      </c>
      <c r="U19" s="275">
        <f t="shared" si="16"/>
        <v>0</v>
      </c>
      <c r="V19" s="275" t="str">
        <f t="shared" si="6"/>
        <v>Summer</v>
      </c>
      <c r="X19" s="275">
        <f t="shared" si="17"/>
        <v>5368708.2581402613</v>
      </c>
      <c r="Y19" s="275">
        <f t="shared" si="22"/>
        <v>5033494.8752764799</v>
      </c>
      <c r="Z19" s="294">
        <f t="shared" si="3"/>
        <v>2.2200000000000001E-2</v>
      </c>
      <c r="AA19" s="295">
        <f t="shared" si="7"/>
        <v>0</v>
      </c>
      <c r="AD19" s="347">
        <v>266361.62844291999</v>
      </c>
      <c r="AE19" s="275">
        <f t="shared" si="18"/>
        <v>1454868.1349516402</v>
      </c>
    </row>
    <row r="20" spans="2:31" ht="17.45" hidden="1" customHeight="1">
      <c r="B20" s="186">
        <f t="shared" si="4"/>
        <v>46235</v>
      </c>
      <c r="C20" s="296">
        <v>297799.0479311411</v>
      </c>
      <c r="D20" s="297">
        <f>IF(ISNUMBER($F20),VLOOKUP($J20,'Table 1'!$B$13:$C$41,2,FALSE)/12*1000*Study_MW,"")</f>
        <v>0</v>
      </c>
      <c r="E20" s="297">
        <f t="shared" si="19"/>
        <v>297799.0479311411</v>
      </c>
      <c r="F20" s="296">
        <v>12548.558045939999</v>
      </c>
      <c r="G20" s="298">
        <f t="shared" si="20"/>
        <v>23.731734502155966</v>
      </c>
      <c r="I20" s="299">
        <f t="shared" si="8"/>
        <v>8</v>
      </c>
      <c r="J20" s="293">
        <f t="shared" si="5"/>
        <v>2026</v>
      </c>
      <c r="K20" s="186">
        <f t="shared" si="2"/>
        <v>46235</v>
      </c>
      <c r="L20" s="293">
        <f t="shared" si="21"/>
        <v>2030</v>
      </c>
      <c r="M20" s="275">
        <f t="shared" si="10"/>
        <v>8091646.406575948</v>
      </c>
      <c r="N20" s="275">
        <f t="shared" si="11"/>
        <v>0</v>
      </c>
      <c r="O20" s="275">
        <f t="shared" si="12"/>
        <v>212907.25611549767</v>
      </c>
      <c r="P20" s="301">
        <f t="shared" si="9"/>
        <v>38.005498517093287</v>
      </c>
      <c r="Q20" s="302">
        <f t="shared" si="13"/>
        <v>38.005498517093287</v>
      </c>
      <c r="R20" s="302">
        <f t="shared" si="14"/>
        <v>0</v>
      </c>
      <c r="S20" s="275">
        <f t="shared" si="15"/>
        <v>2399643.7314582146</v>
      </c>
      <c r="U20" s="275">
        <f t="shared" si="16"/>
        <v>0</v>
      </c>
      <c r="V20" s="275" t="str">
        <f t="shared" si="6"/>
        <v>Summer</v>
      </c>
      <c r="X20" s="275">
        <f t="shared" si="17"/>
        <v>8091646.406575948</v>
      </c>
      <c r="Y20" s="275">
        <f t="shared" si="22"/>
        <v>8045877.7000379497</v>
      </c>
      <c r="Z20" s="294">
        <f t="shared" si="3"/>
        <v>2.2200000000000001E-2</v>
      </c>
      <c r="AA20" s="295">
        <f t="shared" si="7"/>
        <v>0</v>
      </c>
      <c r="AD20" s="347">
        <v>291339.20780008996</v>
      </c>
      <c r="AE20" s="275">
        <f t="shared" si="18"/>
        <v>2412029.8243825603</v>
      </c>
    </row>
    <row r="21" spans="2:31" ht="17.45" hidden="1" customHeight="1">
      <c r="B21" s="186">
        <f t="shared" si="4"/>
        <v>46266</v>
      </c>
      <c r="C21" s="296">
        <v>219601.7970208195</v>
      </c>
      <c r="D21" s="297">
        <f>IF(ISNUMBER($F21),VLOOKUP($J21,'Table 1'!$B$13:$C$41,2,FALSE)/12*1000*Study_MW,"")</f>
        <v>0</v>
      </c>
      <c r="E21" s="297">
        <f t="shared" si="19"/>
        <v>219601.7970208195</v>
      </c>
      <c r="F21" s="296">
        <v>12296.434959349997</v>
      </c>
      <c r="G21" s="298">
        <f t="shared" si="20"/>
        <v>17.85898089542108</v>
      </c>
      <c r="I21" s="299">
        <f t="shared" si="8"/>
        <v>9</v>
      </c>
      <c r="J21" s="293">
        <f t="shared" si="5"/>
        <v>2026</v>
      </c>
      <c r="K21" s="186">
        <f t="shared" si="2"/>
        <v>46266</v>
      </c>
      <c r="L21" s="293">
        <f t="shared" si="21"/>
        <v>2031</v>
      </c>
      <c r="M21" s="275">
        <f t="shared" si="10"/>
        <v>10628783.204286899</v>
      </c>
      <c r="N21" s="275">
        <f t="shared" si="11"/>
        <v>0</v>
      </c>
      <c r="O21" s="275">
        <f t="shared" si="12"/>
        <v>213117.683204595</v>
      </c>
      <c r="P21" s="301">
        <f t="shared" si="9"/>
        <v>49.87283572374033</v>
      </c>
      <c r="Q21" s="302">
        <f t="shared" si="13"/>
        <v>49.87283572374033</v>
      </c>
      <c r="R21" s="302">
        <f t="shared" si="14"/>
        <v>0</v>
      </c>
      <c r="S21" s="275">
        <f t="shared" si="15"/>
        <v>3686571.3720321432</v>
      </c>
      <c r="U21" s="275">
        <f t="shared" si="16"/>
        <v>0</v>
      </c>
      <c r="V21" s="275" t="str">
        <f t="shared" si="6"/>
        <v>Summer</v>
      </c>
      <c r="X21" s="275">
        <f t="shared" si="17"/>
        <v>10628783.204286899</v>
      </c>
      <c r="Y21" s="275">
        <f t="shared" si="22"/>
        <v>9621888.6829484124</v>
      </c>
      <c r="Z21" s="294">
        <f t="shared" si="3"/>
        <v>2.2200000000000001E-2</v>
      </c>
      <c r="AA21" s="295">
        <f t="shared" si="7"/>
        <v>0</v>
      </c>
      <c r="AD21" s="347">
        <v>216997.81729969999</v>
      </c>
      <c r="AE21" s="275">
        <f t="shared" si="18"/>
        <v>3052420.6943362304</v>
      </c>
    </row>
    <row r="22" spans="2:31" ht="17.45" hidden="1" customHeight="1">
      <c r="B22" s="186">
        <f t="shared" si="4"/>
        <v>46296</v>
      </c>
      <c r="C22" s="296">
        <v>343162.2024831631</v>
      </c>
      <c r="D22" s="297">
        <f>IF(ISNUMBER($F22),VLOOKUP($J22,'Table 1'!$B$13:$C$41,2,FALSE)/12*1000*Study_MW,"")</f>
        <v>0</v>
      </c>
      <c r="E22" s="297">
        <f t="shared" si="19"/>
        <v>343162.2024831631</v>
      </c>
      <c r="F22" s="296">
        <v>22788.968736790001</v>
      </c>
      <c r="G22" s="298">
        <f t="shared" si="20"/>
        <v>15.058259390613395</v>
      </c>
      <c r="I22" s="299">
        <f t="shared" si="8"/>
        <v>10</v>
      </c>
      <c r="J22" s="293">
        <f t="shared" si="5"/>
        <v>2026</v>
      </c>
      <c r="K22" s="186">
        <f t="shared" si="2"/>
        <v>46296</v>
      </c>
      <c r="L22" s="293">
        <f t="shared" si="21"/>
        <v>2032</v>
      </c>
      <c r="M22" s="275">
        <f t="shared" si="10"/>
        <v>10793998.433771426</v>
      </c>
      <c r="N22" s="275">
        <f t="shared" si="11"/>
        <v>0</v>
      </c>
      <c r="O22" s="275">
        <f t="shared" si="12"/>
        <v>213574.33252197035</v>
      </c>
      <c r="P22" s="301">
        <f t="shared" si="9"/>
        <v>50.53977369991803</v>
      </c>
      <c r="Q22" s="302">
        <f t="shared" si="13"/>
        <v>50.53977369991803</v>
      </c>
      <c r="R22" s="302">
        <f t="shared" si="14"/>
        <v>0</v>
      </c>
      <c r="S22" s="275">
        <f t="shared" si="15"/>
        <v>3730744.6642566794</v>
      </c>
      <c r="U22" s="275">
        <f t="shared" si="16"/>
        <v>0</v>
      </c>
      <c r="V22" s="275" t="str">
        <f t="shared" si="6"/>
        <v>Winter</v>
      </c>
      <c r="X22" s="275">
        <f t="shared" si="17"/>
        <v>10793998.433771426</v>
      </c>
      <c r="Y22" s="275">
        <f t="shared" si="22"/>
        <v>9715036.1530881766</v>
      </c>
      <c r="Z22" s="294">
        <f t="shared" si="3"/>
        <v>2.2200000000000001E-2</v>
      </c>
      <c r="AA22" s="295">
        <f t="shared" si="7"/>
        <v>0</v>
      </c>
      <c r="AD22" s="347">
        <v>320648.30947986996</v>
      </c>
      <c r="AE22" s="275">
        <f t="shared" si="18"/>
        <v>3021236.2872409406</v>
      </c>
    </row>
    <row r="23" spans="2:31" ht="17.45" hidden="1" customHeight="1">
      <c r="B23" s="186">
        <f t="shared" si="4"/>
        <v>46327</v>
      </c>
      <c r="C23" s="296">
        <v>284817.26508552674</v>
      </c>
      <c r="D23" s="297">
        <f>IF(ISNUMBER($F23),VLOOKUP($J23,'Table 1'!$B$13:$C$41,2,FALSE)/12*1000*Study_MW,"")</f>
        <v>0</v>
      </c>
      <c r="E23" s="297">
        <f t="shared" si="19"/>
        <v>284817.26508552674</v>
      </c>
      <c r="F23" s="296">
        <v>13895.100906430001</v>
      </c>
      <c r="G23" s="298">
        <f t="shared" si="20"/>
        <v>20.497675188074862</v>
      </c>
      <c r="I23" s="299">
        <f t="shared" si="8"/>
        <v>11</v>
      </c>
      <c r="J23" s="293">
        <f t="shared" si="5"/>
        <v>2026</v>
      </c>
      <c r="K23" s="186">
        <f t="shared" si="2"/>
        <v>46327</v>
      </c>
      <c r="L23" s="293">
        <f t="shared" si="21"/>
        <v>2033</v>
      </c>
      <c r="M23" s="275">
        <f t="shared" si="10"/>
        <v>10420718.531840252</v>
      </c>
      <c r="N23" s="275">
        <f t="shared" si="11"/>
        <v>0</v>
      </c>
      <c r="O23" s="275">
        <f t="shared" si="12"/>
        <v>212700.34532362066</v>
      </c>
      <c r="P23" s="301">
        <f t="shared" si="9"/>
        <v>48.992485254244755</v>
      </c>
      <c r="Q23" s="302">
        <f t="shared" si="13"/>
        <v>48.992485254244755</v>
      </c>
      <c r="R23" s="302">
        <f t="shared" si="14"/>
        <v>0</v>
      </c>
      <c r="S23" s="275">
        <f t="shared" si="15"/>
        <v>3491691.4394315975</v>
      </c>
      <c r="T23" s="294"/>
      <c r="U23" s="275">
        <f t="shared" si="16"/>
        <v>0</v>
      </c>
      <c r="V23" s="275" t="str">
        <f t="shared" si="6"/>
        <v>Winter</v>
      </c>
      <c r="X23" s="275">
        <f t="shared" si="17"/>
        <v>10420718.531840252</v>
      </c>
      <c r="Y23" s="275">
        <f t="shared" si="22"/>
        <v>9512705.5083413068</v>
      </c>
      <c r="Z23" s="294">
        <f t="shared" si="3"/>
        <v>2.2200000000000001E-2</v>
      </c>
      <c r="AA23" s="295">
        <f t="shared" si="7"/>
        <v>0</v>
      </c>
      <c r="AD23" s="347">
        <v>271862.96189394</v>
      </c>
      <c r="AE23" s="275">
        <f t="shared" si="18"/>
        <v>2935279.5124272197</v>
      </c>
    </row>
    <row r="24" spans="2:31" ht="17.45" hidden="1" customHeight="1">
      <c r="B24" s="187">
        <f t="shared" si="4"/>
        <v>46357</v>
      </c>
      <c r="C24" s="303">
        <v>386802.00011882995</v>
      </c>
      <c r="D24" s="304">
        <f>IF(ISNUMBER($F24),VLOOKUP($J24,'Table 1'!$B$13:$C$41,2,FALSE)/12*1000*Study_MW,"")</f>
        <v>0</v>
      </c>
      <c r="E24" s="304">
        <f t="shared" si="19"/>
        <v>386802.00011882995</v>
      </c>
      <c r="F24" s="303">
        <v>15313.756105619334</v>
      </c>
      <c r="G24" s="305">
        <f t="shared" si="20"/>
        <v>25.258466796196018</v>
      </c>
      <c r="I24" s="306">
        <f t="shared" si="8"/>
        <v>12</v>
      </c>
      <c r="J24" s="293">
        <f t="shared" si="5"/>
        <v>2026</v>
      </c>
      <c r="K24" s="187">
        <f t="shared" si="2"/>
        <v>46357</v>
      </c>
      <c r="L24" s="293">
        <f t="shared" si="21"/>
        <v>2034</v>
      </c>
      <c r="M24" s="275">
        <f t="shared" si="10"/>
        <v>10685243.238345703</v>
      </c>
      <c r="N24" s="275">
        <f t="shared" si="11"/>
        <v>0</v>
      </c>
      <c r="O24" s="275">
        <f t="shared" si="12"/>
        <v>212746.689402672</v>
      </c>
      <c r="P24" s="301">
        <f t="shared" si="9"/>
        <v>50.225191603905174</v>
      </c>
      <c r="Q24" s="302">
        <f t="shared" si="13"/>
        <v>50.225191603905174</v>
      </c>
      <c r="R24" s="302">
        <f t="shared" si="14"/>
        <v>0</v>
      </c>
      <c r="S24" s="275">
        <f t="shared" si="15"/>
        <v>3468651.3856953243</v>
      </c>
      <c r="U24" s="275">
        <f t="shared" si="16"/>
        <v>0</v>
      </c>
      <c r="V24" s="275" t="str">
        <f t="shared" si="6"/>
        <v>Winter</v>
      </c>
      <c r="X24" s="275">
        <f t="shared" si="17"/>
        <v>10685243.238345703</v>
      </c>
      <c r="Y24" s="275">
        <f t="shared" si="22"/>
        <v>9810104.2911392096</v>
      </c>
      <c r="Z24" s="294">
        <f t="shared" si="3"/>
        <v>2.2200000000000001E-2</v>
      </c>
      <c r="AA24" s="295">
        <f t="shared" si="7"/>
        <v>0</v>
      </c>
      <c r="AD24" s="347">
        <v>378534.43157419673</v>
      </c>
      <c r="AE24" s="275">
        <f t="shared" si="18"/>
        <v>2946829.11945146</v>
      </c>
    </row>
    <row r="25" spans="2:31" ht="17.45" customHeight="1">
      <c r="B25" s="185">
        <f t="shared" si="4"/>
        <v>46388</v>
      </c>
      <c r="C25" s="287">
        <v>522429.28576999111</v>
      </c>
      <c r="D25" s="288">
        <f>IF(ISNUMBER($F25),VLOOKUP($J25,'Table 1'!$B$13:$C$41,2,FALSE)/12*1000*Study_MW,"")</f>
        <v>0</v>
      </c>
      <c r="E25" s="289">
        <f t="shared" si="19"/>
        <v>522429.28576999111</v>
      </c>
      <c r="F25" s="290">
        <v>18859.187018470002</v>
      </c>
      <c r="G25" s="291">
        <f t="shared" si="20"/>
        <v>27.701580415865376</v>
      </c>
      <c r="I25" s="307">
        <f>I13+13</f>
        <v>14</v>
      </c>
      <c r="J25" s="293">
        <f t="shared" si="5"/>
        <v>2027</v>
      </c>
      <c r="K25" s="185">
        <f>IF(ISNUMBER(F25),IF(F25&lt;&gt;0,B25,""),"")</f>
        <v>46388</v>
      </c>
      <c r="L25" s="293">
        <f t="shared" si="21"/>
        <v>2035</v>
      </c>
      <c r="M25" s="275">
        <f t="shared" si="10"/>
        <v>11013397.718400612</v>
      </c>
      <c r="N25" s="275">
        <f t="shared" si="11"/>
        <v>0</v>
      </c>
      <c r="O25" s="275">
        <f t="shared" si="12"/>
        <v>212611.19116223199</v>
      </c>
      <c r="P25" s="301">
        <f t="shared" si="9"/>
        <v>51.800649148317362</v>
      </c>
      <c r="Q25" s="302">
        <f t="shared" si="13"/>
        <v>51.800649148317362</v>
      </c>
      <c r="R25" s="302">
        <f t="shared" si="14"/>
        <v>0</v>
      </c>
      <c r="S25" s="275">
        <f t="shared" si="15"/>
        <v>3532424.7837451766</v>
      </c>
      <c r="U25" s="275">
        <f t="shared" si="16"/>
        <v>0</v>
      </c>
      <c r="V25" s="275" t="str">
        <f t="shared" si="6"/>
        <v>Winter</v>
      </c>
      <c r="X25" s="275">
        <f t="shared" si="17"/>
        <v>11013397.718400612</v>
      </c>
      <c r="Y25" s="275">
        <f t="shared" si="22"/>
        <v>10249400.98261659</v>
      </c>
      <c r="Z25" s="294">
        <f t="shared" si="3"/>
        <v>2.2200000000000001E-2</v>
      </c>
      <c r="AA25" s="295">
        <f t="shared" si="7"/>
        <v>0</v>
      </c>
      <c r="AD25" s="347">
        <v>496482.69025951996</v>
      </c>
      <c r="AE25" s="275">
        <f t="shared" si="18"/>
        <v>3170652.5430382704</v>
      </c>
    </row>
    <row r="26" spans="2:31" ht="17.45" customHeight="1">
      <c r="B26" s="186">
        <f t="shared" si="4"/>
        <v>46419</v>
      </c>
      <c r="C26" s="296">
        <v>450595.34348558373</v>
      </c>
      <c r="D26" s="297">
        <f>IF(ISNUMBER($F26),VLOOKUP($J26,'Table 1'!$B$13:$C$41,2,FALSE)/12*1000*Study_MW,"")</f>
        <v>0</v>
      </c>
      <c r="E26" s="297">
        <f t="shared" si="19"/>
        <v>450595.34348558373</v>
      </c>
      <c r="F26" s="296">
        <v>19028.330878009998</v>
      </c>
      <c r="G26" s="298">
        <f t="shared" si="20"/>
        <v>23.680234823239918</v>
      </c>
      <c r="I26" s="299">
        <f t="shared" ref="I26:I89" si="23">I14+13</f>
        <v>15</v>
      </c>
      <c r="J26" s="293">
        <f t="shared" si="5"/>
        <v>2027</v>
      </c>
      <c r="K26" s="186">
        <f t="shared" ref="K26:K89" si="24">IF(ISNUMBER(F26),IF(F26&lt;&gt;0,B26,""),"")</f>
        <v>46419</v>
      </c>
      <c r="L26" s="293">
        <f t="shared" si="21"/>
        <v>2036</v>
      </c>
      <c r="M26" s="275">
        <f t="shared" si="10"/>
        <v>7686214.6176730711</v>
      </c>
      <c r="N26" s="275">
        <f t="shared" si="11"/>
        <v>3266666.6666666656</v>
      </c>
      <c r="O26" s="275">
        <f t="shared" si="12"/>
        <v>213042.96579187759</v>
      </c>
      <c r="P26" s="301">
        <f t="shared" ref="P26:P41" si="25">(M26+N26)/O26</f>
        <v>51.411607248462943</v>
      </c>
      <c r="Q26" s="302">
        <f t="shared" si="13"/>
        <v>36.078237031218201</v>
      </c>
      <c r="R26" s="302">
        <f t="shared" si="14"/>
        <v>15.333370217244738</v>
      </c>
      <c r="S26" s="275">
        <f t="shared" si="15"/>
        <v>2009086.7320911638</v>
      </c>
      <c r="U26" s="275">
        <f t="shared" si="16"/>
        <v>1088888.8888888888</v>
      </c>
      <c r="V26" s="275" t="str">
        <f t="shared" si="6"/>
        <v>Winter</v>
      </c>
      <c r="X26" s="275">
        <f t="shared" si="17"/>
        <v>10952881.284339737</v>
      </c>
      <c r="Y26" s="275">
        <f t="shared" si="22"/>
        <v>10114626.286154941</v>
      </c>
      <c r="Z26" s="294">
        <f t="shared" si="3"/>
        <v>2.2200000000000001E-2</v>
      </c>
      <c r="AA26" s="295">
        <f t="shared" si="7"/>
        <v>0</v>
      </c>
      <c r="AD26" s="347">
        <v>466895.11653759994</v>
      </c>
      <c r="AE26" s="275">
        <f t="shared" si="18"/>
        <v>3074135.9096034104</v>
      </c>
    </row>
    <row r="27" spans="2:31" ht="17.45" customHeight="1">
      <c r="B27" s="186">
        <f t="shared" si="4"/>
        <v>46447</v>
      </c>
      <c r="C27" s="296">
        <v>203240.33815096118</v>
      </c>
      <c r="D27" s="297">
        <f>IF(ISNUMBER($F27),VLOOKUP($J27,'Table 1'!$B$13:$C$41,2,FALSE)/12*1000*Study_MW,"")</f>
        <v>0</v>
      </c>
      <c r="E27" s="297">
        <f t="shared" si="19"/>
        <v>203240.33815096118</v>
      </c>
      <c r="F27" s="296">
        <v>18220.792456949996</v>
      </c>
      <c r="G27" s="298">
        <f t="shared" si="20"/>
        <v>11.154308388680361</v>
      </c>
      <c r="I27" s="299">
        <f t="shared" si="23"/>
        <v>16</v>
      </c>
      <c r="J27" s="293">
        <f t="shared" si="5"/>
        <v>2027</v>
      </c>
      <c r="K27" s="186">
        <f t="shared" si="24"/>
        <v>46447</v>
      </c>
      <c r="L27" s="293">
        <f t="shared" si="21"/>
        <v>2037</v>
      </c>
      <c r="M27" s="275">
        <f t="shared" si="10"/>
        <v>8136787.079803546</v>
      </c>
      <c r="N27" s="275">
        <f t="shared" si="11"/>
        <v>3339093.333333334</v>
      </c>
      <c r="O27" s="275">
        <f t="shared" si="12"/>
        <v>213067.16707245939</v>
      </c>
      <c r="P27" s="301">
        <f t="shared" si="25"/>
        <v>53.860388584573379</v>
      </c>
      <c r="Q27" s="302">
        <f t="shared" si="13"/>
        <v>38.188835903733619</v>
      </c>
      <c r="R27" s="302">
        <f t="shared" si="14"/>
        <v>15.67155268083976</v>
      </c>
      <c r="S27" s="275">
        <f t="shared" si="15"/>
        <v>2056251.1229927333</v>
      </c>
      <c r="U27" s="275">
        <f t="shared" si="16"/>
        <v>1113031.111111111</v>
      </c>
      <c r="V27" s="275" t="str">
        <f t="shared" si="6"/>
        <v>Winter</v>
      </c>
      <c r="X27" s="275">
        <f t="shared" si="17"/>
        <v>11475880.413136881</v>
      </c>
      <c r="Y27" s="275">
        <f t="shared" si="22"/>
        <v>10816510.652219439</v>
      </c>
      <c r="Z27" s="294">
        <f t="shared" si="3"/>
        <v>2.2200000000000001E-2</v>
      </c>
      <c r="AA27" s="295">
        <f t="shared" si="7"/>
        <v>0</v>
      </c>
      <c r="AD27" s="347">
        <v>197937.90882886009</v>
      </c>
      <c r="AE27" s="275">
        <f t="shared" si="18"/>
        <v>3235772.2706671804</v>
      </c>
    </row>
    <row r="28" spans="2:31" ht="17.45" customHeight="1">
      <c r="B28" s="186">
        <f t="shared" si="4"/>
        <v>46478</v>
      </c>
      <c r="C28" s="296">
        <v>190742.96043333563</v>
      </c>
      <c r="D28" s="297">
        <f>IF(ISNUMBER($F28),VLOOKUP($J28,'Table 1'!$B$13:$C$41,2,FALSE)/12*1000*Study_MW,"")</f>
        <v>0</v>
      </c>
      <c r="E28" s="297">
        <f t="shared" si="19"/>
        <v>190742.96043333563</v>
      </c>
      <c r="F28" s="296">
        <v>21563.636811889999</v>
      </c>
      <c r="G28" s="298">
        <f t="shared" si="20"/>
        <v>8.8455839846162512</v>
      </c>
      <c r="I28" s="299">
        <f t="shared" si="23"/>
        <v>17</v>
      </c>
      <c r="J28" s="293">
        <f t="shared" si="5"/>
        <v>2027</v>
      </c>
      <c r="K28" s="186">
        <f t="shared" si="24"/>
        <v>46478</v>
      </c>
      <c r="L28" s="293">
        <f t="shared" si="21"/>
        <v>2038</v>
      </c>
      <c r="M28" s="275">
        <f t="shared" si="10"/>
        <v>8151506.8020415213</v>
      </c>
      <c r="N28" s="275">
        <f t="shared" si="11"/>
        <v>3413311.9999999986</v>
      </c>
      <c r="O28" s="275">
        <f t="shared" si="12"/>
        <v>212724.94863765634</v>
      </c>
      <c r="P28" s="301">
        <f t="shared" si="25"/>
        <v>54.365126780405895</v>
      </c>
      <c r="Q28" s="302">
        <f t="shared" si="13"/>
        <v>38.319467717565828</v>
      </c>
      <c r="R28" s="302">
        <f t="shared" si="14"/>
        <v>16.04565906284007</v>
      </c>
      <c r="S28" s="275">
        <f t="shared" si="15"/>
        <v>2041500.1032342697</v>
      </c>
      <c r="U28" s="275">
        <f t="shared" si="16"/>
        <v>1137770.6666666665</v>
      </c>
      <c r="V28" s="275" t="str">
        <f t="shared" si="6"/>
        <v>Winter</v>
      </c>
      <c r="X28" s="275">
        <f t="shared" si="17"/>
        <v>11564818.802041519</v>
      </c>
      <c r="Y28" s="275">
        <f t="shared" si="22"/>
        <v>10832366.81282487</v>
      </c>
      <c r="Z28" s="294">
        <f t="shared" si="3"/>
        <v>2.2200000000000001E-2</v>
      </c>
      <c r="AA28" s="295">
        <f t="shared" si="7"/>
        <v>0</v>
      </c>
      <c r="AD28" s="347">
        <v>169414.02640834003</v>
      </c>
      <c r="AE28" s="275">
        <f t="shared" si="18"/>
        <v>3220391.7645405298</v>
      </c>
    </row>
    <row r="29" spans="2:31" ht="17.45" customHeight="1">
      <c r="B29" s="186">
        <f t="shared" si="4"/>
        <v>46508</v>
      </c>
      <c r="C29" s="296">
        <v>245806.43965349373</v>
      </c>
      <c r="D29" s="297">
        <f>IF(ISNUMBER($F29),VLOOKUP($J29,'Table 1'!$B$13:$C$41,2,FALSE)/12*1000*Study_MW,"")</f>
        <v>0</v>
      </c>
      <c r="E29" s="297">
        <f t="shared" si="19"/>
        <v>245806.43965349373</v>
      </c>
      <c r="F29" s="296">
        <v>22851.848039540004</v>
      </c>
      <c r="G29" s="298">
        <f t="shared" si="20"/>
        <v>10.756523464893551</v>
      </c>
      <c r="I29" s="299">
        <f t="shared" si="23"/>
        <v>18</v>
      </c>
      <c r="J29" s="293">
        <f t="shared" si="5"/>
        <v>2027</v>
      </c>
      <c r="K29" s="186">
        <f t="shared" si="24"/>
        <v>46508</v>
      </c>
      <c r="L29" s="293">
        <f t="shared" si="21"/>
        <v>2039</v>
      </c>
      <c r="M29" s="275">
        <f t="shared" si="10"/>
        <v>8405036.7454209365</v>
      </c>
      <c r="N29" s="275">
        <f t="shared" si="11"/>
        <v>3489024</v>
      </c>
      <c r="O29" s="275">
        <f t="shared" si="12"/>
        <v>212700.34532362066</v>
      </c>
      <c r="P29" s="301">
        <f t="shared" si="25"/>
        <v>55.919329737449587</v>
      </c>
      <c r="Q29" s="302">
        <f t="shared" si="13"/>
        <v>39.515858484539784</v>
      </c>
      <c r="R29" s="302">
        <f t="shared" si="14"/>
        <v>16.403471252909807</v>
      </c>
      <c r="S29" s="275">
        <f t="shared" si="15"/>
        <v>2222733.1328435251</v>
      </c>
      <c r="U29" s="275">
        <f t="shared" si="16"/>
        <v>1163008</v>
      </c>
      <c r="V29" s="275" t="str">
        <f t="shared" si="6"/>
        <v>Winter</v>
      </c>
      <c r="X29" s="275">
        <f t="shared" si="17"/>
        <v>11894060.745420936</v>
      </c>
      <c r="Y29" s="275">
        <f t="shared" si="22"/>
        <v>11200221.406027336</v>
      </c>
      <c r="Z29" s="294">
        <f t="shared" si="3"/>
        <v>2.2200000000000001E-2</v>
      </c>
      <c r="AA29" s="295">
        <f t="shared" si="7"/>
        <v>0</v>
      </c>
      <c r="AD29" s="347">
        <v>261395.85196360998</v>
      </c>
      <c r="AE29" s="275">
        <f t="shared" si="18"/>
        <v>3345485.9839335596</v>
      </c>
    </row>
    <row r="30" spans="2:31" ht="17.45" customHeight="1">
      <c r="B30" s="186">
        <f t="shared" si="4"/>
        <v>46539</v>
      </c>
      <c r="C30" s="296">
        <v>274833.78294338402</v>
      </c>
      <c r="D30" s="297">
        <f>IF(ISNUMBER($F30),VLOOKUP($J30,'Table 1'!$B$13:$C$41,2,FALSE)/12*1000*Study_MW,"")</f>
        <v>0</v>
      </c>
      <c r="E30" s="297">
        <f t="shared" si="19"/>
        <v>274833.78294338402</v>
      </c>
      <c r="F30" s="296">
        <v>21964.394641799998</v>
      </c>
      <c r="G30" s="298">
        <f t="shared" si="20"/>
        <v>12.512695543193045</v>
      </c>
      <c r="I30" s="299">
        <f t="shared" si="23"/>
        <v>19</v>
      </c>
      <c r="J30" s="293">
        <f t="shared" si="5"/>
        <v>2027</v>
      </c>
      <c r="K30" s="186">
        <f t="shared" si="24"/>
        <v>46539</v>
      </c>
      <c r="L30" s="293">
        <f t="shared" si="21"/>
        <v>2040</v>
      </c>
      <c r="M30" s="275">
        <f t="shared" si="10"/>
        <v>8718937.167589549</v>
      </c>
      <c r="N30" s="275">
        <f t="shared" si="11"/>
        <v>3566527.9999999986</v>
      </c>
      <c r="O30" s="275">
        <f t="shared" si="12"/>
        <v>213177.9098763717</v>
      </c>
      <c r="P30" s="301">
        <f t="shared" si="25"/>
        <v>57.630104238822206</v>
      </c>
      <c r="Q30" s="302">
        <f t="shared" si="13"/>
        <v>40.899815429497004</v>
      </c>
      <c r="R30" s="302">
        <f t="shared" si="14"/>
        <v>16.730288809325206</v>
      </c>
      <c r="S30" s="275">
        <f t="shared" si="15"/>
        <v>2278808.4757113541</v>
      </c>
      <c r="U30" s="275">
        <f t="shared" si="16"/>
        <v>1188842.6666666665</v>
      </c>
      <c r="V30" s="275" t="str">
        <f t="shared" si="6"/>
        <v>Summer</v>
      </c>
      <c r="X30" s="275">
        <f t="shared" si="17"/>
        <v>12285465.167589547</v>
      </c>
      <c r="Y30" s="275">
        <f t="shared" si="22"/>
        <v>10888803.762560358</v>
      </c>
      <c r="Z30" s="294">
        <f t="shared" si="3"/>
        <v>2.2200000000000001E-2</v>
      </c>
      <c r="AA30" s="295">
        <f t="shared" si="7"/>
        <v>0</v>
      </c>
      <c r="AD30" s="347">
        <v>264846.77162674</v>
      </c>
      <c r="AE30" s="275">
        <f t="shared" si="18"/>
        <v>3114057.6796701499</v>
      </c>
    </row>
    <row r="31" spans="2:31" ht="17.45" customHeight="1">
      <c r="B31" s="186">
        <f t="shared" si="4"/>
        <v>46569</v>
      </c>
      <c r="C31" s="296">
        <v>554962.18808321282</v>
      </c>
      <c r="D31" s="297">
        <f>IF(ISNUMBER($F31),VLOOKUP($J31,'Table 1'!$B$13:$C$41,2,FALSE)/12*1000*Study_MW,"")</f>
        <v>0</v>
      </c>
      <c r="E31" s="297">
        <f t="shared" si="19"/>
        <v>554962.18808321282</v>
      </c>
      <c r="F31" s="296">
        <v>13744.05520639</v>
      </c>
      <c r="G31" s="298">
        <f t="shared" si="20"/>
        <v>40.378343927576431</v>
      </c>
      <c r="I31" s="299">
        <f t="shared" si="23"/>
        <v>20</v>
      </c>
      <c r="J31" s="293">
        <f t="shared" si="5"/>
        <v>2027</v>
      </c>
      <c r="K31" s="186">
        <f t="shared" si="24"/>
        <v>46569</v>
      </c>
      <c r="L31" s="293">
        <f t="shared" si="21"/>
        <v>2041</v>
      </c>
      <c r="M31" s="275">
        <f t="shared" si="10"/>
        <v>9076495.460274905</v>
      </c>
      <c r="N31" s="275">
        <f t="shared" si="11"/>
        <v>3645674.6666666656</v>
      </c>
      <c r="O31" s="275">
        <f t="shared" si="12"/>
        <v>212907.25611549767</v>
      </c>
      <c r="P31" s="301">
        <f t="shared" si="25"/>
        <v>59.754516398633513</v>
      </c>
      <c r="Q31" s="302">
        <f t="shared" si="13"/>
        <v>42.631217112445896</v>
      </c>
      <c r="R31" s="302">
        <f t="shared" si="14"/>
        <v>17.123299286187617</v>
      </c>
      <c r="S31" s="275">
        <f t="shared" si="15"/>
        <v>2363793.7675346183</v>
      </c>
      <c r="U31" s="275">
        <f t="shared" si="16"/>
        <v>1215224.8888888888</v>
      </c>
      <c r="V31" s="275" t="str">
        <f t="shared" si="6"/>
        <v>Summer</v>
      </c>
      <c r="X31" s="275">
        <f t="shared" si="17"/>
        <v>12722170.126941571</v>
      </c>
      <c r="Y31" s="275">
        <f t="shared" si="22"/>
        <v>11595146.737315111</v>
      </c>
      <c r="Z31" s="294">
        <f t="shared" si="3"/>
        <v>2.2200000000000001E-2</v>
      </c>
      <c r="AA31" s="295">
        <f t="shared" si="7"/>
        <v>0</v>
      </c>
      <c r="AD31" s="347">
        <v>241459.45555069999</v>
      </c>
      <c r="AE31" s="275">
        <f t="shared" si="18"/>
        <v>3347071.1271845601</v>
      </c>
    </row>
    <row r="32" spans="2:31" ht="17.45" customHeight="1">
      <c r="B32" s="186">
        <f t="shared" si="4"/>
        <v>46600</v>
      </c>
      <c r="C32" s="296">
        <v>326401.91594441421</v>
      </c>
      <c r="D32" s="297">
        <f>IF(ISNUMBER($F32),VLOOKUP($J32,'Table 1'!$B$13:$C$41,2,FALSE)/12*1000*Study_MW,"")</f>
        <v>0</v>
      </c>
      <c r="E32" s="297">
        <f t="shared" si="19"/>
        <v>326401.91594441421</v>
      </c>
      <c r="F32" s="296">
        <v>12918.0700767</v>
      </c>
      <c r="G32" s="298">
        <f t="shared" si="20"/>
        <v>25.267080454466431</v>
      </c>
      <c r="I32" s="299">
        <f t="shared" si="23"/>
        <v>21</v>
      </c>
      <c r="J32" s="293">
        <f t="shared" si="5"/>
        <v>2027</v>
      </c>
      <c r="K32" s="186">
        <f t="shared" si="24"/>
        <v>46600</v>
      </c>
      <c r="L32" s="293">
        <f t="shared" si="21"/>
        <v>2042</v>
      </c>
      <c r="M32" s="275">
        <f t="shared" si="10"/>
        <v>9598685.5114604775</v>
      </c>
      <c r="N32" s="275">
        <f t="shared" si="11"/>
        <v>3726613.3333333326</v>
      </c>
      <c r="O32" s="275">
        <f t="shared" si="12"/>
        <v>213117.683204595</v>
      </c>
      <c r="P32" s="301">
        <f t="shared" si="25"/>
        <v>62.525542903924105</v>
      </c>
      <c r="Q32" s="302">
        <f t="shared" si="13"/>
        <v>45.039366828352989</v>
      </c>
      <c r="R32" s="302">
        <f t="shared" si="14"/>
        <v>17.486176075571112</v>
      </c>
      <c r="S32" s="275">
        <f t="shared" si="15"/>
        <v>2635955.88367265</v>
      </c>
      <c r="U32" s="275">
        <f t="shared" si="16"/>
        <v>1242204.4444444445</v>
      </c>
      <c r="V32" s="275" t="str">
        <f t="shared" si="6"/>
        <v>Summer</v>
      </c>
      <c r="X32" s="275">
        <f t="shared" si="17"/>
        <v>13325298.84479381</v>
      </c>
      <c r="Y32" s="275">
        <f t="shared" si="22"/>
        <v>12292908.954835761</v>
      </c>
      <c r="Z32" s="294">
        <f t="shared" si="3"/>
        <v>2.2200000000000001E-2</v>
      </c>
      <c r="AA32" s="295">
        <f t="shared" si="7"/>
        <v>0</v>
      </c>
      <c r="AD32" s="347">
        <v>320737.43374141003</v>
      </c>
      <c r="AE32" s="275">
        <f t="shared" si="18"/>
        <v>3603127.6548827901</v>
      </c>
    </row>
    <row r="33" spans="2:31" ht="17.45" customHeight="1">
      <c r="B33" s="186">
        <f t="shared" si="4"/>
        <v>46631</v>
      </c>
      <c r="C33" s="296">
        <v>244684.85220562434</v>
      </c>
      <c r="D33" s="297">
        <f>IF(ISNUMBER($F33),VLOOKUP($J33,'Table 1'!$B$13:$C$41,2,FALSE)/12*1000*Study_MW,"")</f>
        <v>0</v>
      </c>
      <c r="E33" s="297">
        <f t="shared" si="19"/>
        <v>244684.85220562434</v>
      </c>
      <c r="F33" s="296">
        <v>11871.487103879999</v>
      </c>
      <c r="G33" s="298">
        <f t="shared" si="20"/>
        <v>20.611137430764941</v>
      </c>
      <c r="I33" s="299">
        <f t="shared" si="23"/>
        <v>22</v>
      </c>
      <c r="J33" s="293">
        <f t="shared" si="5"/>
        <v>2027</v>
      </c>
      <c r="K33" s="186">
        <f t="shared" si="24"/>
        <v>46631</v>
      </c>
      <c r="L33" s="293">
        <f t="shared" si="21"/>
        <v>2043</v>
      </c>
      <c r="M33" s="275">
        <f t="shared" si="10"/>
        <v>10096772.656952769</v>
      </c>
      <c r="N33" s="275">
        <f t="shared" si="11"/>
        <v>3809344.0000000005</v>
      </c>
      <c r="O33" s="275">
        <f t="shared" si="12"/>
        <v>213067.16707245939</v>
      </c>
      <c r="P33" s="301">
        <f t="shared" si="25"/>
        <v>65.266351676903881</v>
      </c>
      <c r="Q33" s="302">
        <f t="shared" si="13"/>
        <v>47.387745355994156</v>
      </c>
      <c r="R33" s="302">
        <f t="shared" si="14"/>
        <v>17.878606320909725</v>
      </c>
      <c r="S33" s="275">
        <f t="shared" si="15"/>
        <v>2736811.7076568305</v>
      </c>
      <c r="U33" s="275">
        <f t="shared" si="16"/>
        <v>1269781.3333333333</v>
      </c>
      <c r="V33" s="275" t="str">
        <f t="shared" si="6"/>
        <v>Summer</v>
      </c>
      <c r="X33" s="275">
        <f t="shared" si="17"/>
        <v>13906116.656952769</v>
      </c>
      <c r="Y33" s="275">
        <f t="shared" si="22"/>
        <v>13443453.053278543</v>
      </c>
      <c r="Z33" s="294">
        <f t="shared" si="3"/>
        <v>2.2200000000000001E-2</v>
      </c>
      <c r="AA33" s="295">
        <f t="shared" si="7"/>
        <v>0</v>
      </c>
      <c r="AD33" s="347">
        <v>244306.14644720004</v>
      </c>
      <c r="AE33" s="275">
        <f t="shared" si="18"/>
        <v>4016035.1505373996</v>
      </c>
    </row>
    <row r="34" spans="2:31" ht="17.45" customHeight="1">
      <c r="B34" s="186">
        <f t="shared" si="4"/>
        <v>46661</v>
      </c>
      <c r="C34" s="296">
        <v>323022.95067915745</v>
      </c>
      <c r="D34" s="297">
        <f>IF(ISNUMBER($F34),VLOOKUP($J34,'Table 1'!$B$13:$C$41,2,FALSE)/12*1000*Study_MW,"")</f>
        <v>0</v>
      </c>
      <c r="E34" s="297">
        <f t="shared" si="19"/>
        <v>323022.95067915745</v>
      </c>
      <c r="F34" s="296">
        <v>23100.34310405</v>
      </c>
      <c r="G34" s="298">
        <f t="shared" si="20"/>
        <v>13.983469822252312</v>
      </c>
      <c r="I34" s="299">
        <f t="shared" si="23"/>
        <v>23</v>
      </c>
      <c r="J34" s="293">
        <f t="shared" si="5"/>
        <v>2027</v>
      </c>
      <c r="K34" s="186">
        <f t="shared" si="24"/>
        <v>46661</v>
      </c>
      <c r="L34" s="293">
        <f t="shared" si="21"/>
        <v>2044</v>
      </c>
      <c r="M34" s="275">
        <f t="shared" si="10"/>
        <v>10354648.703047056</v>
      </c>
      <c r="N34" s="275">
        <f t="shared" si="11"/>
        <v>3893866.6666666674</v>
      </c>
      <c r="O34" s="275">
        <f t="shared" si="12"/>
        <v>213190.02915202137</v>
      </c>
      <c r="P34" s="301">
        <f t="shared" si="25"/>
        <v>66.834811301392548</v>
      </c>
      <c r="Q34" s="302">
        <f t="shared" ref="Q34:Q41" si="26">M34/O34</f>
        <v>48.570042155505178</v>
      </c>
      <c r="R34" s="302">
        <f t="shared" ref="R34:R41" si="27">IFERROR(N34/O34,0)</f>
        <v>18.264769145887364</v>
      </c>
      <c r="S34" s="275">
        <f t="shared" si="15"/>
        <v>2790859.4815078829</v>
      </c>
      <c r="U34" s="275">
        <f t="shared" si="16"/>
        <v>1297955.5555555555</v>
      </c>
      <c r="V34" s="275" t="str">
        <f t="shared" si="6"/>
        <v>Winter</v>
      </c>
      <c r="X34" s="275">
        <f t="shared" si="17"/>
        <v>14248515.369713724</v>
      </c>
      <c r="Y34" s="275">
        <f t="shared" si="22"/>
        <v>14751098.063350573</v>
      </c>
      <c r="Z34" s="294">
        <f t="shared" si="3"/>
        <v>2.2200000000000001E-2</v>
      </c>
      <c r="AA34" s="295">
        <f t="shared" si="7"/>
        <v>0</v>
      </c>
      <c r="AD34" s="347">
        <v>328526.26123733999</v>
      </c>
      <c r="AE34" s="275">
        <f t="shared" si="18"/>
        <v>4325982.3825650001</v>
      </c>
    </row>
    <row r="35" spans="2:31" ht="17.45" customHeight="1">
      <c r="B35" s="186">
        <f t="shared" si="4"/>
        <v>46692</v>
      </c>
      <c r="C35" s="296">
        <v>313746.16637833969</v>
      </c>
      <c r="D35" s="297">
        <f>IF(ISNUMBER($F35),VLOOKUP($J35,'Table 1'!$B$13:$C$41,2,FALSE)/12*1000*Study_MW,"")</f>
        <v>0</v>
      </c>
      <c r="E35" s="297">
        <f t="shared" si="19"/>
        <v>313746.16637833969</v>
      </c>
      <c r="F35" s="296">
        <v>13580.216540810003</v>
      </c>
      <c r="G35" s="298">
        <f t="shared" si="20"/>
        <v>23.103178468141426</v>
      </c>
      <c r="I35" s="299">
        <f t="shared" si="23"/>
        <v>24</v>
      </c>
      <c r="J35" s="293">
        <f t="shared" si="5"/>
        <v>2027</v>
      </c>
      <c r="K35" s="186">
        <f t="shared" si="24"/>
        <v>46692</v>
      </c>
      <c r="L35" s="293">
        <f t="shared" si="21"/>
        <v>2045</v>
      </c>
      <c r="M35" s="275">
        <f t="shared" si="10"/>
        <v>10884954.26420556</v>
      </c>
      <c r="N35" s="275">
        <f t="shared" si="11"/>
        <v>3980330.666666666</v>
      </c>
      <c r="O35" s="275">
        <f t="shared" si="12"/>
        <v>212746.689402672</v>
      </c>
      <c r="P35" s="301">
        <f t="shared" si="25"/>
        <v>69.873166875637054</v>
      </c>
      <c r="Q35" s="302">
        <f t="shared" si="26"/>
        <v>51.163918436367688</v>
      </c>
      <c r="R35" s="302">
        <f t="shared" si="27"/>
        <v>18.709248439269366</v>
      </c>
      <c r="S35" s="275">
        <f t="shared" si="15"/>
        <v>2934211.7238327628</v>
      </c>
      <c r="U35" s="275">
        <f t="shared" si="16"/>
        <v>1326776.888888889</v>
      </c>
      <c r="V35" s="275" t="str">
        <f t="shared" si="6"/>
        <v>Winter</v>
      </c>
      <c r="X35" s="275">
        <f t="shared" si="17"/>
        <v>14865284.930872226</v>
      </c>
      <c r="Y35" s="275">
        <f t="shared" si="22"/>
        <v>14813865.494192988</v>
      </c>
      <c r="Z35" s="294">
        <f t="shared" si="3"/>
        <v>2.2200000000000001E-2</v>
      </c>
      <c r="AA35" s="295">
        <f t="shared" si="7"/>
        <v>0</v>
      </c>
      <c r="AD35" s="347">
        <v>306597.69597462</v>
      </c>
      <c r="AE35" s="275">
        <f t="shared" si="18"/>
        <v>4325235.7217829097</v>
      </c>
    </row>
    <row r="36" spans="2:31" ht="17.45" customHeight="1">
      <c r="B36" s="187">
        <f t="shared" si="4"/>
        <v>46722</v>
      </c>
      <c r="C36" s="303">
        <v>403488.85135097615</v>
      </c>
      <c r="D36" s="304">
        <f>IF(ISNUMBER($F36),VLOOKUP($J36,'Table 1'!$B$13:$C$41,2,FALSE)/12*1000*Study_MW,"")</f>
        <v>0</v>
      </c>
      <c r="E36" s="304">
        <f t="shared" si="19"/>
        <v>403488.85135097615</v>
      </c>
      <c r="F36" s="303">
        <v>15022.586759166337</v>
      </c>
      <c r="G36" s="305">
        <f t="shared" si="20"/>
        <v>26.858813187068414</v>
      </c>
      <c r="I36" s="306">
        <f t="shared" si="23"/>
        <v>25</v>
      </c>
      <c r="J36" s="293">
        <f t="shared" si="5"/>
        <v>2027</v>
      </c>
      <c r="K36" s="187">
        <f t="shared" si="24"/>
        <v>46722</v>
      </c>
      <c r="L36" s="293">
        <f t="shared" si="21"/>
        <v>2046</v>
      </c>
      <c r="M36" s="275">
        <f t="shared" si="10"/>
        <v>11126600.248870928</v>
      </c>
      <c r="N36" s="275">
        <f t="shared" si="11"/>
        <v>4068736.0000000005</v>
      </c>
      <c r="O36" s="275">
        <f t="shared" si="12"/>
        <v>212746.689402672</v>
      </c>
      <c r="P36" s="301">
        <f t="shared" si="25"/>
        <v>71.42454856305784</v>
      </c>
      <c r="Q36" s="302">
        <f t="shared" si="26"/>
        <v>52.299757425655073</v>
      </c>
      <c r="R36" s="302">
        <f t="shared" si="27"/>
        <v>19.124791137402767</v>
      </c>
      <c r="S36" s="275">
        <f t="shared" si="15"/>
        <v>2999351.2241018503</v>
      </c>
      <c r="U36" s="275">
        <f t="shared" si="16"/>
        <v>1356245.3333333333</v>
      </c>
      <c r="V36" s="275" t="str">
        <f t="shared" si="6"/>
        <v>Winter</v>
      </c>
      <c r="X36" s="275">
        <f t="shared" si="17"/>
        <v>15195336.248870928</v>
      </c>
      <c r="Y36" s="275">
        <f t="shared" si="22"/>
        <v>15142733.308164069</v>
      </c>
      <c r="Z36" s="294">
        <f t="shared" si="3"/>
        <v>2.2200000000000001E-2</v>
      </c>
      <c r="AA36" s="295">
        <f t="shared" si="7"/>
        <v>0</v>
      </c>
      <c r="AD36" s="347">
        <v>396247.75348233426</v>
      </c>
      <c r="AE36" s="275">
        <f t="shared" si="18"/>
        <v>4421255.9548064908</v>
      </c>
    </row>
    <row r="37" spans="2:31" ht="17.45" customHeight="1">
      <c r="B37" s="185">
        <f t="shared" si="4"/>
        <v>46753</v>
      </c>
      <c r="C37" s="287">
        <v>594737.73244806938</v>
      </c>
      <c r="D37" s="288">
        <f>IF(ISNUMBER($F37),VLOOKUP($J37,'Table 1'!$B$13:$C$41,2,FALSE)/12*1000*Study_MW,"")</f>
        <v>0</v>
      </c>
      <c r="E37" s="289">
        <f t="shared" si="19"/>
        <v>594737.73244806938</v>
      </c>
      <c r="F37" s="290">
        <v>19018.897428480002</v>
      </c>
      <c r="G37" s="291">
        <f t="shared" si="20"/>
        <v>31.270883850368453</v>
      </c>
      <c r="I37" s="307">
        <f t="shared" si="23"/>
        <v>27</v>
      </c>
      <c r="J37" s="293">
        <f t="shared" si="5"/>
        <v>2028</v>
      </c>
      <c r="K37" s="185">
        <f t="shared" si="24"/>
        <v>46753</v>
      </c>
      <c r="L37" s="293">
        <f t="shared" si="21"/>
        <v>2047</v>
      </c>
      <c r="M37" s="275">
        <f t="shared" si="10"/>
        <v>11373610.774395861</v>
      </c>
      <c r="N37" s="275">
        <f t="shared" si="11"/>
        <v>4159082.666666666</v>
      </c>
      <c r="O37" s="275">
        <f t="shared" si="12"/>
        <v>212746.689402672</v>
      </c>
      <c r="P37" s="301">
        <f t="shared" si="25"/>
        <v>73.010270969074099</v>
      </c>
      <c r="Q37" s="302">
        <f t="shared" si="26"/>
        <v>53.460812040504607</v>
      </c>
      <c r="R37" s="302">
        <f t="shared" si="27"/>
        <v>19.549458928569489</v>
      </c>
      <c r="S37" s="275">
        <f t="shared" si="15"/>
        <v>3065936.8212769111</v>
      </c>
      <c r="U37" s="275">
        <f t="shared" si="16"/>
        <v>1386360.888888889</v>
      </c>
      <c r="V37" s="275" t="str">
        <f t="shared" si="6"/>
        <v>Winter</v>
      </c>
      <c r="X37" s="275">
        <f t="shared" si="17"/>
        <v>15532693.441062527</v>
      </c>
      <c r="Y37" s="275">
        <f t="shared" si="22"/>
        <v>15478901.987605311</v>
      </c>
      <c r="Z37" s="294">
        <f t="shared" si="3"/>
        <v>2.2200000000000001E-2</v>
      </c>
      <c r="AA37" s="295">
        <f t="shared" si="7"/>
        <v>0</v>
      </c>
      <c r="AD37" s="347">
        <v>613884.90170198993</v>
      </c>
      <c r="AE37" s="275">
        <f t="shared" si="18"/>
        <v>4519407.8370031947</v>
      </c>
    </row>
    <row r="38" spans="2:31" ht="17.45" customHeight="1">
      <c r="B38" s="186">
        <f t="shared" si="4"/>
        <v>46784</v>
      </c>
      <c r="C38" s="296">
        <v>590208.22289140779</v>
      </c>
      <c r="D38" s="297">
        <f>IF(ISNUMBER($F38),VLOOKUP($J38,'Table 1'!$B$13:$C$41,2,FALSE)/12*1000*Study_MW,"")</f>
        <v>0</v>
      </c>
      <c r="E38" s="297">
        <f t="shared" si="19"/>
        <v>590208.22289140779</v>
      </c>
      <c r="F38" s="296">
        <v>19877.56870222</v>
      </c>
      <c r="G38" s="298">
        <f t="shared" si="20"/>
        <v>29.692173712647822</v>
      </c>
      <c r="I38" s="299">
        <f t="shared" si="23"/>
        <v>28</v>
      </c>
      <c r="J38" s="293">
        <f t="shared" si="5"/>
        <v>2028</v>
      </c>
      <c r="K38" s="186">
        <f t="shared" si="24"/>
        <v>46784</v>
      </c>
      <c r="L38" s="293">
        <f t="shared" si="21"/>
        <v>2048</v>
      </c>
      <c r="M38" s="275">
        <f t="shared" si="10"/>
        <v>11668769.603128329</v>
      </c>
      <c r="N38" s="275">
        <f t="shared" si="11"/>
        <v>4251370.666666667</v>
      </c>
      <c r="O38" s="275">
        <f t="shared" si="12"/>
        <v>213395.98918497917</v>
      </c>
      <c r="P38" s="301">
        <f t="shared" si="25"/>
        <v>74.603746446212995</v>
      </c>
      <c r="Q38" s="302">
        <f t="shared" si="26"/>
        <v>54.681297655568528</v>
      </c>
      <c r="R38" s="302">
        <f t="shared" si="27"/>
        <v>19.922448790644463</v>
      </c>
      <c r="S38" s="275">
        <f t="shared" si="15"/>
        <v>3134000.6187092587</v>
      </c>
      <c r="U38" s="275">
        <f t="shared" si="16"/>
        <v>0</v>
      </c>
      <c r="V38" s="275" t="str">
        <f t="shared" si="6"/>
        <v>Winter</v>
      </c>
      <c r="X38" s="275">
        <f t="shared" si="17"/>
        <v>15920140.269794997</v>
      </c>
      <c r="Y38" s="275">
        <f t="shared" si="22"/>
        <v>15892899.109350609</v>
      </c>
      <c r="Z38" s="294">
        <f t="shared" si="3"/>
        <v>2.2200000000000001E-2</v>
      </c>
      <c r="AA38" s="295">
        <f t="shared" si="7"/>
        <v>0</v>
      </c>
      <c r="AD38" s="347">
        <v>554813.16436901013</v>
      </c>
      <c r="AE38" s="275">
        <f t="shared" si="18"/>
        <v>4619738.6909846654</v>
      </c>
    </row>
    <row r="39" spans="2:31" ht="17.45" customHeight="1">
      <c r="B39" s="186">
        <f t="shared" si="4"/>
        <v>46813</v>
      </c>
      <c r="C39" s="296">
        <v>228963.26484523161</v>
      </c>
      <c r="D39" s="297">
        <f>IF(ISNUMBER($F39),VLOOKUP($J39,'Table 1'!$B$13:$C$41,2,FALSE)/12*1000*Study_MW,"")</f>
        <v>0</v>
      </c>
      <c r="E39" s="297">
        <f t="shared" si="19"/>
        <v>228963.26484523161</v>
      </c>
      <c r="F39" s="296">
        <v>17408.180495410001</v>
      </c>
      <c r="G39" s="298">
        <f t="shared" si="20"/>
        <v>13.152624704552101</v>
      </c>
      <c r="I39" s="299">
        <f t="shared" si="23"/>
        <v>29</v>
      </c>
      <c r="J39" s="293">
        <f t="shared" si="5"/>
        <v>2028</v>
      </c>
      <c r="K39" s="186">
        <f t="shared" si="24"/>
        <v>46813</v>
      </c>
      <c r="L39" s="293">
        <f t="shared" si="21"/>
        <v>2049</v>
      </c>
      <c r="M39" s="275">
        <f t="shared" si="10"/>
        <v>11884204.463113088</v>
      </c>
      <c r="N39" s="275">
        <f t="shared" si="11"/>
        <v>4345749.333333334</v>
      </c>
      <c r="O39" s="275">
        <f t="shared" si="12"/>
        <v>212746.68940267205</v>
      </c>
      <c r="P39" s="301">
        <f t="shared" si="25"/>
        <v>76.287691441945313</v>
      </c>
      <c r="Q39" s="302">
        <f t="shared" si="26"/>
        <v>55.860819721709028</v>
      </c>
      <c r="R39" s="302">
        <f t="shared" si="27"/>
        <v>20.426871720236282</v>
      </c>
      <c r="S39" s="275">
        <f t="shared" si="15"/>
        <v>3203575.4324446046</v>
      </c>
      <c r="U39" s="275">
        <f t="shared" si="16"/>
        <v>0</v>
      </c>
      <c r="V39" s="275" t="str">
        <f t="shared" si="6"/>
        <v>Winter</v>
      </c>
      <c r="X39" s="275">
        <f t="shared" si="17"/>
        <v>16229953.796446422</v>
      </c>
      <c r="Y39" s="275">
        <f t="shared" si="22"/>
        <v>16173793.857910555</v>
      </c>
      <c r="Z39" s="294">
        <f t="shared" si="3"/>
        <v>2.2200000000000001E-2</v>
      </c>
      <c r="AA39" s="295">
        <f t="shared" si="7"/>
        <v>0</v>
      </c>
      <c r="AD39" s="347">
        <v>228590.99667455992</v>
      </c>
      <c r="AE39" s="275">
        <f t="shared" si="18"/>
        <v>4722296.8899245253</v>
      </c>
    </row>
    <row r="40" spans="2:31" ht="17.45" customHeight="1">
      <c r="B40" s="186">
        <f t="shared" si="4"/>
        <v>46844</v>
      </c>
      <c r="C40" s="296">
        <v>309666.25292722532</v>
      </c>
      <c r="D40" s="297">
        <f>IF(ISNUMBER($F40),VLOOKUP($J40,'Table 1'!$B$13:$C$41,2,FALSE)/12*1000*Study_MW,"")</f>
        <v>0</v>
      </c>
      <c r="E40" s="297">
        <f t="shared" si="19"/>
        <v>309666.25292722532</v>
      </c>
      <c r="F40" s="296">
        <v>23588.34631157</v>
      </c>
      <c r="G40" s="298">
        <f t="shared" si="20"/>
        <v>13.127933973706972</v>
      </c>
      <c r="I40" s="299">
        <f t="shared" si="23"/>
        <v>30</v>
      </c>
      <c r="J40" s="293">
        <f t="shared" si="5"/>
        <v>2028</v>
      </c>
      <c r="K40" s="186">
        <f t="shared" si="24"/>
        <v>46844</v>
      </c>
      <c r="L40" s="293">
        <f t="shared" si="21"/>
        <v>2050</v>
      </c>
      <c r="M40" s="275">
        <f t="shared" si="10"/>
        <v>12148033.8021942</v>
      </c>
      <c r="N40" s="275">
        <f t="shared" si="11"/>
        <v>4442218.666666667</v>
      </c>
      <c r="O40" s="275">
        <f t="shared" si="12"/>
        <v>212746.68940267205</v>
      </c>
      <c r="P40" s="301">
        <f t="shared" si="25"/>
        <v>77.981248570500668</v>
      </c>
      <c r="Q40" s="302">
        <f t="shared" si="26"/>
        <v>57.100929919530977</v>
      </c>
      <c r="R40" s="302">
        <f t="shared" si="27"/>
        <v>20.880318650969681</v>
      </c>
      <c r="S40" s="275">
        <f t="shared" si="15"/>
        <v>3274694.8070448744</v>
      </c>
      <c r="T40" s="282"/>
      <c r="U40" s="275">
        <f t="shared" si="16"/>
        <v>0</v>
      </c>
      <c r="V40" s="275" t="str">
        <f t="shared" si="6"/>
        <v>Winter</v>
      </c>
      <c r="X40" s="275">
        <f t="shared" si="17"/>
        <v>16590252.468860868</v>
      </c>
      <c r="Y40" s="275">
        <f t="shared" si="22"/>
        <v>16532852.081556173</v>
      </c>
      <c r="Z40" s="294">
        <f t="shared" si="3"/>
        <v>2.2200000000000001E-2</v>
      </c>
      <c r="AA40" s="295">
        <f t="shared" si="7"/>
        <v>0</v>
      </c>
      <c r="AD40" s="347">
        <v>292564.36192921002</v>
      </c>
      <c r="AE40" s="275">
        <f t="shared" si="18"/>
        <v>4827131.8808808494</v>
      </c>
    </row>
    <row r="41" spans="2:31" ht="17.45" customHeight="1">
      <c r="B41" s="186">
        <f t="shared" si="4"/>
        <v>46874</v>
      </c>
      <c r="C41" s="296">
        <v>291324.69801192201</v>
      </c>
      <c r="D41" s="297">
        <f>IF(ISNUMBER($F41),VLOOKUP($J41,'Table 1'!$B$13:$C$41,2,FALSE)/12*1000*Study_MW,"")</f>
        <v>0</v>
      </c>
      <c r="E41" s="297">
        <f t="shared" si="19"/>
        <v>291324.69801192201</v>
      </c>
      <c r="F41" s="296">
        <v>21850.675363670001</v>
      </c>
      <c r="G41" s="298">
        <f t="shared" si="20"/>
        <v>13.332526027835856</v>
      </c>
      <c r="I41" s="299">
        <f t="shared" si="23"/>
        <v>31</v>
      </c>
      <c r="J41" s="293">
        <f t="shared" si="5"/>
        <v>2028</v>
      </c>
      <c r="K41" s="186">
        <f t="shared" si="24"/>
        <v>46874</v>
      </c>
      <c r="L41" s="293">
        <f t="shared" si="21"/>
        <v>2051</v>
      </c>
      <c r="M41" s="275">
        <f t="shared" si="10"/>
        <v>12417720.152602911</v>
      </c>
      <c r="N41" s="275">
        <f t="shared" si="11"/>
        <v>4540927.9999999991</v>
      </c>
      <c r="O41" s="275">
        <f t="shared" si="12"/>
        <v>212746.68940267205</v>
      </c>
      <c r="P41" s="301">
        <f t="shared" si="25"/>
        <v>79.712865098947645</v>
      </c>
      <c r="Q41" s="302">
        <f t="shared" si="26"/>
        <v>58.368570563744562</v>
      </c>
      <c r="R41" s="302">
        <f t="shared" si="27"/>
        <v>21.344294535203076</v>
      </c>
      <c r="S41" s="275">
        <f t="shared" si="15"/>
        <v>0</v>
      </c>
      <c r="T41" s="282"/>
      <c r="U41" s="275">
        <f t="shared" si="16"/>
        <v>0</v>
      </c>
      <c r="V41" s="275" t="str">
        <f t="shared" si="6"/>
        <v>Winter</v>
      </c>
      <c r="X41" s="275">
        <f t="shared" si="17"/>
        <v>16958648.152602911</v>
      </c>
      <c r="Y41" s="275">
        <f t="shared" si="22"/>
        <v>16899881.397766717</v>
      </c>
      <c r="Z41" s="294">
        <f t="shared" si="3"/>
        <v>2.2200000000000001E-2</v>
      </c>
      <c r="AA41" s="295">
        <f t="shared" si="7"/>
        <v>0</v>
      </c>
      <c r="AD41" s="347">
        <v>307886.40525993996</v>
      </c>
      <c r="AE41" s="275">
        <f t="shared" si="18"/>
        <v>4934294.2086364049</v>
      </c>
    </row>
    <row r="42" spans="2:31" ht="17.45" customHeight="1">
      <c r="B42" s="186">
        <f t="shared" si="4"/>
        <v>46905</v>
      </c>
      <c r="C42" s="296">
        <v>301236.89031045069</v>
      </c>
      <c r="D42" s="297">
        <f>IF(ISNUMBER($F42),VLOOKUP($J42,'Table 1'!$B$13:$C$41,2,FALSE)/12*1000*Study_MW,"")</f>
        <v>0</v>
      </c>
      <c r="E42" s="297">
        <f t="shared" si="19"/>
        <v>301236.89031045069</v>
      </c>
      <c r="F42" s="296">
        <v>21727.221439299999</v>
      </c>
      <c r="G42" s="298">
        <f t="shared" si="20"/>
        <v>13.864492114282784</v>
      </c>
      <c r="I42" s="299">
        <f t="shared" si="23"/>
        <v>32</v>
      </c>
      <c r="J42" s="293">
        <f t="shared" si="5"/>
        <v>2028</v>
      </c>
      <c r="K42" s="186">
        <f t="shared" si="24"/>
        <v>46905</v>
      </c>
      <c r="L42" s="293">
        <f t="shared" si="21"/>
        <v>2052</v>
      </c>
      <c r="P42" s="301"/>
      <c r="Q42" s="302"/>
      <c r="R42" s="302"/>
      <c r="V42" s="275" t="str">
        <f t="shared" si="6"/>
        <v>Summer</v>
      </c>
      <c r="X42" s="275">
        <f t="shared" si="17"/>
        <v>0</v>
      </c>
      <c r="Z42" s="294">
        <f t="shared" si="3"/>
        <v>2.2200000000000001E-2</v>
      </c>
      <c r="AA42" s="295">
        <f t="shared" si="7"/>
        <v>0</v>
      </c>
      <c r="AD42" s="347">
        <v>278441.45757883001</v>
      </c>
    </row>
    <row r="43" spans="2:31" ht="17.45" customHeight="1">
      <c r="B43" s="186">
        <f t="shared" si="4"/>
        <v>46935</v>
      </c>
      <c r="C43" s="296">
        <v>649193.42369663354</v>
      </c>
      <c r="D43" s="297">
        <f>IF(ISNUMBER($F43),VLOOKUP($J43,'Table 1'!$B$13:$C$41,2,FALSE)/12*1000*Study_MW,"")</f>
        <v>0</v>
      </c>
      <c r="E43" s="297">
        <f t="shared" si="19"/>
        <v>649193.42369663354</v>
      </c>
      <c r="F43" s="296">
        <v>13087.66273665</v>
      </c>
      <c r="G43" s="298">
        <f t="shared" si="20"/>
        <v>49.603465245071341</v>
      </c>
      <c r="I43" s="299">
        <f t="shared" si="23"/>
        <v>33</v>
      </c>
      <c r="J43" s="293">
        <f t="shared" si="5"/>
        <v>2028</v>
      </c>
      <c r="K43" s="186">
        <f t="shared" si="24"/>
        <v>46935</v>
      </c>
      <c r="V43" s="275" t="str">
        <f t="shared" si="6"/>
        <v>Summer</v>
      </c>
      <c r="X43" s="275">
        <f t="shared" si="17"/>
        <v>0</v>
      </c>
      <c r="Z43" s="294">
        <f t="shared" si="3"/>
        <v>2.2200000000000001E-2</v>
      </c>
      <c r="AA43" s="295">
        <f t="shared" si="7"/>
        <v>0</v>
      </c>
      <c r="AD43" s="347">
        <v>315154.92205209</v>
      </c>
    </row>
    <row r="44" spans="2:31" ht="17.45" customHeight="1">
      <c r="B44" s="186">
        <f t="shared" si="4"/>
        <v>46966</v>
      </c>
      <c r="C44" s="296">
        <v>360363.47558033594</v>
      </c>
      <c r="D44" s="297">
        <f>IF(ISNUMBER($F44),VLOOKUP($J44,'Table 1'!$B$13:$C$41,2,FALSE)/12*1000*Study_MW,"")</f>
        <v>0</v>
      </c>
      <c r="E44" s="297">
        <f t="shared" si="19"/>
        <v>360363.47558033594</v>
      </c>
      <c r="F44" s="296">
        <v>13352.837596360001</v>
      </c>
      <c r="G44" s="298">
        <f t="shared" si="20"/>
        <v>26.987782408030743</v>
      </c>
      <c r="I44" s="299">
        <f t="shared" si="23"/>
        <v>34</v>
      </c>
      <c r="J44" s="293">
        <f t="shared" si="5"/>
        <v>2028</v>
      </c>
      <c r="K44" s="186">
        <f t="shared" si="24"/>
        <v>46966</v>
      </c>
      <c r="V44" s="275" t="str">
        <f t="shared" si="6"/>
        <v>Summer</v>
      </c>
      <c r="X44" s="275">
        <f t="shared" si="17"/>
        <v>0</v>
      </c>
      <c r="Z44" s="294">
        <f t="shared" si="3"/>
        <v>2.2200000000000001E-2</v>
      </c>
      <c r="AA44" s="295">
        <f t="shared" si="7"/>
        <v>0</v>
      </c>
      <c r="AD44" s="347">
        <v>365594.97136892995</v>
      </c>
    </row>
    <row r="45" spans="2:31" ht="17.45" customHeight="1">
      <c r="B45" s="186">
        <f t="shared" si="4"/>
        <v>46997</v>
      </c>
      <c r="C45" s="296">
        <v>289317.65659160737</v>
      </c>
      <c r="D45" s="297">
        <f>IF(ISNUMBER($F45),VLOOKUP($J45,'Table 1'!$B$13:$C$41,2,FALSE)/12*1000*Study_MW,"")</f>
        <v>0</v>
      </c>
      <c r="E45" s="297">
        <f t="shared" si="19"/>
        <v>289317.65659160737</v>
      </c>
      <c r="F45" s="296">
        <v>11306.15984007</v>
      </c>
      <c r="G45" s="298">
        <f t="shared" si="20"/>
        <v>25.589383193243101</v>
      </c>
      <c r="I45" s="299">
        <f t="shared" si="23"/>
        <v>35</v>
      </c>
      <c r="J45" s="293">
        <f t="shared" si="5"/>
        <v>2028</v>
      </c>
      <c r="K45" s="186">
        <f t="shared" si="24"/>
        <v>46997</v>
      </c>
      <c r="V45" s="275" t="str">
        <f t="shared" si="6"/>
        <v>Summer</v>
      </c>
      <c r="X45" s="275">
        <f t="shared" si="17"/>
        <v>0</v>
      </c>
      <c r="Z45" s="294">
        <f t="shared" si="3"/>
        <v>2.2200000000000001E-2</v>
      </c>
      <c r="AA45" s="295">
        <f t="shared" si="7"/>
        <v>0</v>
      </c>
      <c r="AD45" s="347">
        <v>288371.24019698997</v>
      </c>
    </row>
    <row r="46" spans="2:31" ht="17.45" customHeight="1">
      <c r="B46" s="186">
        <f t="shared" si="4"/>
        <v>47027</v>
      </c>
      <c r="C46" s="296">
        <v>432827.0993674132</v>
      </c>
      <c r="D46" s="297">
        <f>IF(ISNUMBER($F46),VLOOKUP($J46,'Table 1'!$B$13:$C$41,2,FALSE)/12*1000*Study_MW,"")</f>
        <v>0</v>
      </c>
      <c r="E46" s="297">
        <f t="shared" si="19"/>
        <v>432827.0993674132</v>
      </c>
      <c r="F46" s="296">
        <v>23404.872506280004</v>
      </c>
      <c r="G46" s="298">
        <f t="shared" si="20"/>
        <v>18.493033843755263</v>
      </c>
      <c r="I46" s="299">
        <f t="shared" si="23"/>
        <v>36</v>
      </c>
      <c r="J46" s="293">
        <f t="shared" si="5"/>
        <v>2028</v>
      </c>
      <c r="K46" s="186">
        <f t="shared" si="24"/>
        <v>47027</v>
      </c>
      <c r="V46" s="275" t="str">
        <f t="shared" si="6"/>
        <v>Winter</v>
      </c>
      <c r="X46" s="275">
        <f t="shared" si="17"/>
        <v>0</v>
      </c>
      <c r="Z46" s="294">
        <f t="shared" si="3"/>
        <v>2.2200000000000001E-2</v>
      </c>
      <c r="AA46" s="295">
        <f t="shared" si="7"/>
        <v>0</v>
      </c>
      <c r="AD46" s="347">
        <v>430438.45584315003</v>
      </c>
    </row>
    <row r="47" spans="2:31" ht="17.45" customHeight="1">
      <c r="B47" s="186">
        <f t="shared" si="4"/>
        <v>47058</v>
      </c>
      <c r="C47" s="296">
        <v>388544.93690588424</v>
      </c>
      <c r="D47" s="297">
        <f>IF(ISNUMBER($F47),VLOOKUP($J47,'Table 1'!$B$13:$C$41,2,FALSE)/12*1000*Study_MW,"")</f>
        <v>0</v>
      </c>
      <c r="E47" s="297">
        <f t="shared" si="19"/>
        <v>388544.93690588424</v>
      </c>
      <c r="F47" s="296">
        <v>14273.345559230002</v>
      </c>
      <c r="G47" s="298">
        <f t="shared" si="20"/>
        <v>27.22171443923515</v>
      </c>
      <c r="I47" s="299">
        <f t="shared" si="23"/>
        <v>37</v>
      </c>
      <c r="J47" s="293">
        <f t="shared" si="5"/>
        <v>2028</v>
      </c>
      <c r="K47" s="186">
        <f t="shared" si="24"/>
        <v>47058</v>
      </c>
      <c r="V47" s="275" t="str">
        <f t="shared" si="6"/>
        <v>Winter</v>
      </c>
      <c r="X47" s="275">
        <f t="shared" si="17"/>
        <v>0</v>
      </c>
      <c r="Z47" s="294">
        <f t="shared" si="3"/>
        <v>2.2200000000000001E-2</v>
      </c>
      <c r="AA47" s="295">
        <f t="shared" si="7"/>
        <v>0</v>
      </c>
      <c r="AD47" s="347">
        <v>376162.09862644004</v>
      </c>
    </row>
    <row r="48" spans="2:31" ht="17.45" customHeight="1">
      <c r="B48" s="187">
        <f t="shared" si="4"/>
        <v>47088</v>
      </c>
      <c r="C48" s="303">
        <v>502193.9918394757</v>
      </c>
      <c r="D48" s="304">
        <f>IF(ISNUMBER($F48),VLOOKUP($J48,'Table 1'!$B$13:$C$41,2,FALSE)/12*1000*Study_MW,"")</f>
        <v>0</v>
      </c>
      <c r="E48" s="304">
        <f t="shared" si="19"/>
        <v>502193.9918394757</v>
      </c>
      <c r="F48" s="303">
        <v>14261.219457807241</v>
      </c>
      <c r="G48" s="305">
        <f t="shared" si="20"/>
        <v>35.213958618703664</v>
      </c>
      <c r="I48" s="306">
        <f t="shared" si="23"/>
        <v>38</v>
      </c>
      <c r="J48" s="293">
        <f t="shared" si="5"/>
        <v>2028</v>
      </c>
      <c r="K48" s="187">
        <f t="shared" si="24"/>
        <v>47088</v>
      </c>
      <c r="V48" s="275" t="str">
        <f t="shared" si="6"/>
        <v>Winter</v>
      </c>
      <c r="X48" s="275">
        <f t="shared" si="17"/>
        <v>0</v>
      </c>
      <c r="Z48" s="294">
        <f t="shared" si="3"/>
        <v>2.2200000000000001E-2</v>
      </c>
      <c r="AA48" s="295">
        <f t="shared" si="7"/>
        <v>0</v>
      </c>
      <c r="AD48" s="347">
        <v>499981.53482470737</v>
      </c>
    </row>
    <row r="49" spans="2:30" ht="17.45" hidden="1" customHeight="1" outlineLevel="1">
      <c r="B49" s="185">
        <f t="shared" si="4"/>
        <v>47119</v>
      </c>
      <c r="C49" s="287">
        <v>667371.09798048914</v>
      </c>
      <c r="D49" s="288">
        <f>IF(ISNUMBER($F49),VLOOKUP($J49,'Table 1'!$B$13:$C$41,2,FALSE)/12*1000*Study_MW,"")</f>
        <v>0</v>
      </c>
      <c r="E49" s="289">
        <f t="shared" si="19"/>
        <v>667371.09798048914</v>
      </c>
      <c r="F49" s="290">
        <v>20955.288234849999</v>
      </c>
      <c r="G49" s="291">
        <f t="shared" si="20"/>
        <v>31.847383366963566</v>
      </c>
      <c r="I49" s="307">
        <f t="shared" si="23"/>
        <v>40</v>
      </c>
      <c r="J49" s="293">
        <f t="shared" si="5"/>
        <v>2029</v>
      </c>
      <c r="K49" s="185">
        <f t="shared" si="24"/>
        <v>47119</v>
      </c>
      <c r="V49" s="275" t="str">
        <f t="shared" si="6"/>
        <v>Winter</v>
      </c>
      <c r="X49" s="275">
        <f t="shared" si="17"/>
        <v>0</v>
      </c>
      <c r="Z49" s="294">
        <f t="shared" si="3"/>
        <v>2.2200000000000001E-2</v>
      </c>
      <c r="AA49" s="295">
        <f t="shared" si="7"/>
        <v>0</v>
      </c>
      <c r="AD49" s="347">
        <v>655101.87771179015</v>
      </c>
    </row>
    <row r="50" spans="2:30" ht="17.45" hidden="1" customHeight="1" outlineLevel="1">
      <c r="B50" s="186">
        <f t="shared" si="4"/>
        <v>47150</v>
      </c>
      <c r="C50" s="296">
        <v>518549.49239398411</v>
      </c>
      <c r="D50" s="297">
        <f>IF(ISNUMBER($F50),VLOOKUP($J50,'Table 1'!$B$13:$C$41,2,FALSE)/12*1000*Study_MW,"")</f>
        <v>0</v>
      </c>
      <c r="E50" s="297">
        <f t="shared" si="19"/>
        <v>518549.49239398411</v>
      </c>
      <c r="F50" s="296">
        <v>17419.669062789999</v>
      </c>
      <c r="G50" s="298">
        <f t="shared" si="20"/>
        <v>29.768044991259512</v>
      </c>
      <c r="I50" s="299">
        <f t="shared" si="23"/>
        <v>41</v>
      </c>
      <c r="J50" s="293">
        <f t="shared" si="5"/>
        <v>2029</v>
      </c>
      <c r="K50" s="186">
        <f t="shared" si="24"/>
        <v>47150</v>
      </c>
      <c r="V50" s="275" t="str">
        <f t="shared" si="6"/>
        <v>Winter</v>
      </c>
      <c r="X50" s="275">
        <f t="shared" si="17"/>
        <v>0</v>
      </c>
      <c r="Z50" s="294">
        <f t="shared" si="3"/>
        <v>2.2200000000000001E-2</v>
      </c>
      <c r="AA50" s="295">
        <f t="shared" si="7"/>
        <v>0</v>
      </c>
      <c r="AD50" s="347">
        <v>515508.33946822002</v>
      </c>
    </row>
    <row r="51" spans="2:30" ht="17.45" hidden="1" customHeight="1" outlineLevel="1">
      <c r="B51" s="186">
        <f t="shared" si="4"/>
        <v>47178</v>
      </c>
      <c r="C51" s="296">
        <v>279049.41697324102</v>
      </c>
      <c r="D51" s="297">
        <f>IF(ISNUMBER($F51),VLOOKUP($J51,'Table 1'!$B$13:$C$41,2,FALSE)/12*1000*Study_MW,"")</f>
        <v>0</v>
      </c>
      <c r="E51" s="297">
        <f t="shared" si="19"/>
        <v>279049.41697324102</v>
      </c>
      <c r="F51" s="296">
        <v>17461.912206590001</v>
      </c>
      <c r="G51" s="298">
        <f t="shared" si="20"/>
        <v>15.980461570980168</v>
      </c>
      <c r="I51" s="299">
        <f t="shared" si="23"/>
        <v>42</v>
      </c>
      <c r="J51" s="293">
        <f t="shared" si="5"/>
        <v>2029</v>
      </c>
      <c r="K51" s="186">
        <f t="shared" si="24"/>
        <v>47178</v>
      </c>
      <c r="V51" s="275" t="str">
        <f t="shared" si="6"/>
        <v>Winter</v>
      </c>
      <c r="Z51" s="294">
        <f t="shared" si="3"/>
        <v>2.2200000000000001E-2</v>
      </c>
      <c r="AA51" s="295">
        <f t="shared" si="7"/>
        <v>0</v>
      </c>
      <c r="AD51" s="347">
        <v>243188.95347061005</v>
      </c>
    </row>
    <row r="52" spans="2:30" ht="17.45" hidden="1" customHeight="1" outlineLevel="1">
      <c r="B52" s="186">
        <f t="shared" si="4"/>
        <v>47209</v>
      </c>
      <c r="C52" s="296">
        <v>246852.69552776299</v>
      </c>
      <c r="D52" s="297">
        <f>IF(ISNUMBER($F52),VLOOKUP($J52,'Table 1'!$B$13:$C$41,2,FALSE)/12*1000*Study_MW,"")</f>
        <v>0</v>
      </c>
      <c r="E52" s="297">
        <f t="shared" si="19"/>
        <v>246852.69552776299</v>
      </c>
      <c r="F52" s="296">
        <v>23966.333635690004</v>
      </c>
      <c r="G52" s="298">
        <f t="shared" si="20"/>
        <v>10.299977430012772</v>
      </c>
      <c r="I52" s="299">
        <f t="shared" si="23"/>
        <v>43</v>
      </c>
      <c r="J52" s="293">
        <f t="shared" si="5"/>
        <v>2029</v>
      </c>
      <c r="K52" s="186">
        <f t="shared" si="24"/>
        <v>47209</v>
      </c>
      <c r="V52" s="275" t="str">
        <f t="shared" si="6"/>
        <v>Winter</v>
      </c>
      <c r="Z52" s="294">
        <f t="shared" si="3"/>
        <v>2.2200000000000001E-2</v>
      </c>
      <c r="AA52" s="295">
        <f t="shared" si="7"/>
        <v>0</v>
      </c>
      <c r="AD52" s="347">
        <v>247950.29103469002</v>
      </c>
    </row>
    <row r="53" spans="2:30" ht="17.45" hidden="1" customHeight="1" outlineLevel="1">
      <c r="B53" s="186">
        <f t="shared" si="4"/>
        <v>47239</v>
      </c>
      <c r="C53" s="296">
        <v>316424.1968294009</v>
      </c>
      <c r="D53" s="297">
        <f>IF(ISNUMBER($F53),VLOOKUP($J53,'Table 1'!$B$13:$C$41,2,FALSE)/12*1000*Study_MW,"")</f>
        <v>0</v>
      </c>
      <c r="E53" s="297">
        <f t="shared" si="19"/>
        <v>316424.1968294009</v>
      </c>
      <c r="F53" s="296">
        <v>22571.998863140001</v>
      </c>
      <c r="G53" s="298">
        <f t="shared" si="20"/>
        <v>14.018439339287783</v>
      </c>
      <c r="I53" s="299">
        <f t="shared" si="23"/>
        <v>44</v>
      </c>
      <c r="J53" s="293">
        <f t="shared" si="5"/>
        <v>2029</v>
      </c>
      <c r="K53" s="186">
        <f t="shared" si="24"/>
        <v>47239</v>
      </c>
      <c r="V53" s="275" t="str">
        <f t="shared" si="6"/>
        <v>Winter</v>
      </c>
      <c r="Z53" s="294">
        <f t="shared" si="3"/>
        <v>2.2200000000000001E-2</v>
      </c>
      <c r="AA53" s="295">
        <f t="shared" si="7"/>
        <v>0</v>
      </c>
      <c r="AD53" s="347">
        <v>281148.37814744003</v>
      </c>
    </row>
    <row r="54" spans="2:30" ht="17.45" hidden="1" customHeight="1" outlineLevel="1">
      <c r="B54" s="186">
        <f t="shared" si="4"/>
        <v>47270</v>
      </c>
      <c r="C54" s="296">
        <v>332605.07549799513</v>
      </c>
      <c r="D54" s="297">
        <f>IF(ISNUMBER($F54),VLOOKUP($J54,'Table 1'!$B$13:$C$41,2,FALSE)/12*1000*Study_MW,"")</f>
        <v>0</v>
      </c>
      <c r="E54" s="297">
        <f t="shared" si="19"/>
        <v>332605.07549799513</v>
      </c>
      <c r="F54" s="296">
        <v>21093.46980789</v>
      </c>
      <c r="G54" s="298">
        <f t="shared" si="20"/>
        <v>15.768153771153592</v>
      </c>
      <c r="I54" s="299">
        <f t="shared" si="23"/>
        <v>45</v>
      </c>
      <c r="J54" s="293">
        <f t="shared" si="5"/>
        <v>2029</v>
      </c>
      <c r="K54" s="186">
        <f t="shared" si="24"/>
        <v>47270</v>
      </c>
      <c r="V54" s="275" t="str">
        <f t="shared" si="6"/>
        <v>Summer</v>
      </c>
      <c r="Z54" s="294">
        <f t="shared" si="3"/>
        <v>2.2200000000000001E-2</v>
      </c>
      <c r="AA54" s="295">
        <f t="shared" si="7"/>
        <v>0</v>
      </c>
      <c r="AD54" s="347">
        <v>339801.55083835003</v>
      </c>
    </row>
    <row r="55" spans="2:30" ht="17.45" hidden="1" customHeight="1" outlineLevel="1">
      <c r="B55" s="186">
        <f t="shared" si="4"/>
        <v>47300</v>
      </c>
      <c r="C55" s="296">
        <v>586353.46328871674</v>
      </c>
      <c r="D55" s="297">
        <f>IF(ISNUMBER($F55),VLOOKUP($J55,'Table 1'!$B$13:$C$41,2,FALSE)/12*1000*Study_MW,"")</f>
        <v>0</v>
      </c>
      <c r="E55" s="297">
        <f t="shared" si="19"/>
        <v>586353.46328871674</v>
      </c>
      <c r="F55" s="296">
        <v>12599.71663126</v>
      </c>
      <c r="G55" s="298">
        <f t="shared" si="20"/>
        <v>46.537035748404769</v>
      </c>
      <c r="I55" s="299">
        <f t="shared" si="23"/>
        <v>46</v>
      </c>
      <c r="J55" s="293">
        <f t="shared" si="5"/>
        <v>2029</v>
      </c>
      <c r="K55" s="186">
        <f t="shared" si="24"/>
        <v>47300</v>
      </c>
      <c r="V55" s="275" t="str">
        <f t="shared" si="6"/>
        <v>Summer</v>
      </c>
      <c r="Z55" s="294">
        <f t="shared" si="3"/>
        <v>2.2200000000000001E-2</v>
      </c>
      <c r="AA55" s="295">
        <f t="shared" si="7"/>
        <v>0</v>
      </c>
      <c r="AD55" s="347">
        <v>322584.37089674996</v>
      </c>
    </row>
    <row r="56" spans="2:30" ht="17.45" hidden="1" customHeight="1" outlineLevel="1">
      <c r="B56" s="186">
        <f t="shared" si="4"/>
        <v>47331</v>
      </c>
      <c r="C56" s="296">
        <v>442043.17440807063</v>
      </c>
      <c r="D56" s="297">
        <f>IF(ISNUMBER($F56),VLOOKUP($J56,'Table 1'!$B$13:$C$41,2,FALSE)/12*1000*Study_MW,"")</f>
        <v>0</v>
      </c>
      <c r="E56" s="297">
        <f t="shared" si="19"/>
        <v>442043.17440807063</v>
      </c>
      <c r="F56" s="296">
        <v>13274.537031640002</v>
      </c>
      <c r="G56" s="298">
        <f t="shared" si="20"/>
        <v>33.300082206592663</v>
      </c>
      <c r="I56" s="299">
        <f t="shared" si="23"/>
        <v>47</v>
      </c>
      <c r="J56" s="293">
        <f t="shared" si="5"/>
        <v>2029</v>
      </c>
      <c r="K56" s="186">
        <f t="shared" si="24"/>
        <v>47331</v>
      </c>
      <c r="V56" s="275" t="str">
        <f t="shared" si="6"/>
        <v>Summer</v>
      </c>
      <c r="Z56" s="294">
        <f t="shared" si="3"/>
        <v>2.2200000000000001E-2</v>
      </c>
      <c r="AA56" s="295">
        <f t="shared" si="7"/>
        <v>0</v>
      </c>
      <c r="AD56" s="347">
        <v>451850.56002011016</v>
      </c>
    </row>
    <row r="57" spans="2:30" ht="17.45" hidden="1" customHeight="1" outlineLevel="1">
      <c r="B57" s="186">
        <f t="shared" si="4"/>
        <v>47362</v>
      </c>
      <c r="C57" s="296">
        <v>339118.63382073352</v>
      </c>
      <c r="D57" s="297">
        <f>IF(ISNUMBER($F57),VLOOKUP($J57,'Table 1'!$B$13:$C$41,2,FALSE)/12*1000*Study_MW,"")</f>
        <v>0</v>
      </c>
      <c r="E57" s="297">
        <f t="shared" si="19"/>
        <v>339118.63382073352</v>
      </c>
      <c r="F57" s="296">
        <v>11262.100543829998</v>
      </c>
      <c r="G57" s="298">
        <f t="shared" si="20"/>
        <v>30.111490525319585</v>
      </c>
      <c r="I57" s="299">
        <f t="shared" si="23"/>
        <v>48</v>
      </c>
      <c r="J57" s="293">
        <f t="shared" si="5"/>
        <v>2029</v>
      </c>
      <c r="K57" s="186">
        <f t="shared" si="24"/>
        <v>47362</v>
      </c>
      <c r="V57" s="275" t="str">
        <f t="shared" si="6"/>
        <v>Summer</v>
      </c>
      <c r="Z57" s="294">
        <f t="shared" si="3"/>
        <v>2.2200000000000001E-2</v>
      </c>
      <c r="AA57" s="295">
        <f t="shared" si="7"/>
        <v>0</v>
      </c>
      <c r="AD57" s="347">
        <v>340631.65319643007</v>
      </c>
    </row>
    <row r="58" spans="2:30" ht="17.45" hidden="1" customHeight="1" outlineLevel="1">
      <c r="B58" s="186">
        <f t="shared" si="4"/>
        <v>47392</v>
      </c>
      <c r="C58" s="296">
        <v>585490.22189473175</v>
      </c>
      <c r="D58" s="297">
        <f>IF(ISNUMBER($F58),VLOOKUP($J58,'Table 1'!$B$13:$C$41,2,FALSE)/12*1000*Study_MW,"")</f>
        <v>0</v>
      </c>
      <c r="E58" s="297">
        <f t="shared" si="19"/>
        <v>585490.22189473175</v>
      </c>
      <c r="F58" s="296">
        <v>23306.767880120002</v>
      </c>
      <c r="G58" s="298">
        <f t="shared" si="20"/>
        <v>25.121038871895145</v>
      </c>
      <c r="I58" s="299">
        <f t="shared" si="23"/>
        <v>49</v>
      </c>
      <c r="J58" s="293">
        <f t="shared" si="5"/>
        <v>2029</v>
      </c>
      <c r="K58" s="186">
        <f t="shared" si="24"/>
        <v>47392</v>
      </c>
      <c r="V58" s="275" t="str">
        <f t="shared" si="6"/>
        <v>Winter</v>
      </c>
      <c r="Z58" s="294">
        <f t="shared" si="3"/>
        <v>2.2200000000000001E-2</v>
      </c>
      <c r="AA58" s="295">
        <f t="shared" si="7"/>
        <v>0</v>
      </c>
      <c r="AD58" s="347">
        <v>585403.49921847007</v>
      </c>
    </row>
    <row r="59" spans="2:30" ht="17.45" hidden="1" customHeight="1" outlineLevel="1">
      <c r="B59" s="186">
        <f t="shared" si="4"/>
        <v>47423</v>
      </c>
      <c r="C59" s="296">
        <v>523839.37639935175</v>
      </c>
      <c r="D59" s="297">
        <f>IF(ISNUMBER($F59),VLOOKUP($J59,'Table 1'!$B$13:$C$41,2,FALSE)/12*1000*Study_MW,"")</f>
        <v>0</v>
      </c>
      <c r="E59" s="297">
        <f t="shared" si="19"/>
        <v>523839.37639935175</v>
      </c>
      <c r="F59" s="296">
        <v>15087.522923910003</v>
      </c>
      <c r="G59" s="298">
        <f t="shared" si="20"/>
        <v>34.72003847425448</v>
      </c>
      <c r="I59" s="299">
        <f t="shared" si="23"/>
        <v>50</v>
      </c>
      <c r="J59" s="293">
        <f t="shared" si="5"/>
        <v>2029</v>
      </c>
      <c r="K59" s="186">
        <f t="shared" si="24"/>
        <v>47423</v>
      </c>
      <c r="V59" s="275" t="str">
        <f t="shared" si="6"/>
        <v>Winter</v>
      </c>
      <c r="Z59" s="294">
        <f t="shared" si="3"/>
        <v>2.2200000000000001E-2</v>
      </c>
      <c r="AA59" s="295">
        <f t="shared" si="7"/>
        <v>0</v>
      </c>
      <c r="AD59" s="347">
        <v>525051.67766827007</v>
      </c>
    </row>
    <row r="60" spans="2:30" ht="17.45" hidden="1" customHeight="1" outlineLevel="1">
      <c r="B60" s="187">
        <f t="shared" si="4"/>
        <v>47453</v>
      </c>
      <c r="C60" s="303">
        <v>531011.41312578437</v>
      </c>
      <c r="D60" s="304">
        <f>IF(ISNUMBER($F60),VLOOKUP($J60,'Table 1'!$B$13:$C$41,2,FALSE)/12*1000*Study_MW,"")</f>
        <v>0</v>
      </c>
      <c r="E60" s="304">
        <f t="shared" si="19"/>
        <v>531011.41312578437</v>
      </c>
      <c r="F60" s="303">
        <v>13611.874340522003</v>
      </c>
      <c r="G60" s="305">
        <f t="shared" si="20"/>
        <v>39.010895916441477</v>
      </c>
      <c r="I60" s="306">
        <f t="shared" si="23"/>
        <v>51</v>
      </c>
      <c r="J60" s="293">
        <f t="shared" si="5"/>
        <v>2029</v>
      </c>
      <c r="K60" s="187">
        <f t="shared" si="24"/>
        <v>47453</v>
      </c>
      <c r="V60" s="275" t="str">
        <f t="shared" si="6"/>
        <v>Winter</v>
      </c>
      <c r="Z60" s="294">
        <f t="shared" si="3"/>
        <v>2.2200000000000001E-2</v>
      </c>
      <c r="AA60" s="295">
        <f t="shared" si="7"/>
        <v>0</v>
      </c>
      <c r="AD60" s="347">
        <v>525273.72360534885</v>
      </c>
    </row>
    <row r="61" spans="2:30" ht="17.45" hidden="1" customHeight="1" outlineLevel="1">
      <c r="B61" s="185">
        <f t="shared" si="4"/>
        <v>47484</v>
      </c>
      <c r="C61" s="287">
        <v>973974.41163822077</v>
      </c>
      <c r="D61" s="288">
        <f>IF(ISNUMBER($F61),VLOOKUP($J61,'Table 1'!$B$13:$C$41,2,FALSE)/12*1000*Study_MW,"")</f>
        <v>0</v>
      </c>
      <c r="E61" s="289">
        <f t="shared" si="19"/>
        <v>973974.41163822077</v>
      </c>
      <c r="F61" s="290">
        <v>21721.678344020002</v>
      </c>
      <c r="G61" s="291">
        <f t="shared" si="20"/>
        <v>44.838819368041918</v>
      </c>
      <c r="I61" s="307">
        <f t="shared" si="23"/>
        <v>53</v>
      </c>
      <c r="J61" s="293">
        <f t="shared" si="5"/>
        <v>2030</v>
      </c>
      <c r="K61" s="185">
        <f t="shared" si="24"/>
        <v>47484</v>
      </c>
      <c r="V61" s="275" t="str">
        <f t="shared" si="6"/>
        <v>Winter</v>
      </c>
      <c r="Z61" s="294">
        <f t="shared" si="3"/>
        <v>2.2200000000000001E-2</v>
      </c>
      <c r="AA61" s="295">
        <f t="shared" si="7"/>
        <v>0</v>
      </c>
      <c r="AD61" s="347">
        <v>965721.59914667008</v>
      </c>
    </row>
    <row r="62" spans="2:30" ht="17.45" hidden="1" customHeight="1" outlineLevel="1">
      <c r="B62" s="186">
        <f t="shared" si="4"/>
        <v>47515</v>
      </c>
      <c r="C62" s="296">
        <v>703666.97286782437</v>
      </c>
      <c r="D62" s="297">
        <f>IF(ISNUMBER($F62),VLOOKUP($J62,'Table 1'!$B$13:$C$41,2,FALSE)/12*1000*Study_MW,"")</f>
        <v>0</v>
      </c>
      <c r="E62" s="297">
        <f t="shared" si="19"/>
        <v>703666.97286782437</v>
      </c>
      <c r="F62" s="296">
        <v>17114.06280498</v>
      </c>
      <c r="G62" s="298">
        <f t="shared" si="20"/>
        <v>41.116301890809069</v>
      </c>
      <c r="I62" s="299">
        <f t="shared" si="23"/>
        <v>54</v>
      </c>
      <c r="J62" s="293">
        <f t="shared" si="5"/>
        <v>2030</v>
      </c>
      <c r="K62" s="186">
        <f t="shared" si="24"/>
        <v>47515</v>
      </c>
      <c r="V62" s="275" t="str">
        <f t="shared" si="6"/>
        <v>Winter</v>
      </c>
      <c r="Z62" s="294">
        <f t="shared" si="3"/>
        <v>2.2200000000000001E-2</v>
      </c>
      <c r="AA62" s="295">
        <f t="shared" si="7"/>
        <v>0</v>
      </c>
      <c r="AD62" s="347">
        <v>710343.20713122992</v>
      </c>
    </row>
    <row r="63" spans="2:30" ht="17.45" hidden="1" customHeight="1" outlineLevel="1">
      <c r="B63" s="186">
        <f t="shared" si="4"/>
        <v>47543</v>
      </c>
      <c r="C63" s="296">
        <v>510983.69685897342</v>
      </c>
      <c r="D63" s="297">
        <f>IF(ISNUMBER($F63),VLOOKUP($J63,'Table 1'!$B$13:$C$41,2,FALSE)/12*1000*Study_MW,"")</f>
        <v>0</v>
      </c>
      <c r="E63" s="297">
        <f t="shared" si="19"/>
        <v>510983.69685897342</v>
      </c>
      <c r="F63" s="296">
        <v>18128.276000130001</v>
      </c>
      <c r="G63" s="298">
        <f t="shared" si="20"/>
        <v>28.187109290222029</v>
      </c>
      <c r="I63" s="299">
        <f t="shared" si="23"/>
        <v>55</v>
      </c>
      <c r="J63" s="293">
        <f t="shared" si="5"/>
        <v>2030</v>
      </c>
      <c r="K63" s="186">
        <f t="shared" si="24"/>
        <v>47543</v>
      </c>
      <c r="V63" s="275" t="str">
        <f t="shared" si="6"/>
        <v>Winter</v>
      </c>
      <c r="Z63" s="294">
        <f t="shared" si="3"/>
        <v>2.2200000000000001E-2</v>
      </c>
      <c r="AA63" s="295">
        <f t="shared" si="7"/>
        <v>0</v>
      </c>
      <c r="AD63" s="347">
        <v>471728.54747714993</v>
      </c>
    </row>
    <row r="64" spans="2:30" ht="17.45" hidden="1" customHeight="1" outlineLevel="1">
      <c r="B64" s="186">
        <f t="shared" si="4"/>
        <v>47574</v>
      </c>
      <c r="C64" s="296">
        <v>592485.13034257118</v>
      </c>
      <c r="D64" s="297">
        <f>IF(ISNUMBER($F64),VLOOKUP($J64,'Table 1'!$B$13:$C$41,2,FALSE)/12*1000*Study_MW,"")</f>
        <v>0</v>
      </c>
      <c r="E64" s="297">
        <f t="shared" si="19"/>
        <v>592485.13034257118</v>
      </c>
      <c r="F64" s="296">
        <v>22846.704080700001</v>
      </c>
      <c r="G64" s="298">
        <f t="shared" si="20"/>
        <v>25.933067993079991</v>
      </c>
      <c r="I64" s="299">
        <f t="shared" si="23"/>
        <v>56</v>
      </c>
      <c r="J64" s="293">
        <f t="shared" si="5"/>
        <v>2030</v>
      </c>
      <c r="K64" s="186">
        <f t="shared" si="24"/>
        <v>47574</v>
      </c>
      <c r="V64" s="275" t="str">
        <f t="shared" si="6"/>
        <v>Winter</v>
      </c>
      <c r="Z64" s="294">
        <f t="shared" si="3"/>
        <v>2.2200000000000001E-2</v>
      </c>
      <c r="AA64" s="295">
        <f t="shared" si="7"/>
        <v>0</v>
      </c>
      <c r="AD64" s="347">
        <v>583770.22700592002</v>
      </c>
    </row>
    <row r="65" spans="2:30" ht="17.45" hidden="1" customHeight="1" outlineLevel="1">
      <c r="B65" s="186">
        <f t="shared" si="4"/>
        <v>47604</v>
      </c>
      <c r="C65" s="296">
        <v>558763.32100879517</v>
      </c>
      <c r="D65" s="297">
        <f>IF(ISNUMBER($F65),VLOOKUP($J65,'Table 1'!$B$13:$C$41,2,FALSE)/12*1000*Study_MW,"")</f>
        <v>0</v>
      </c>
      <c r="E65" s="297">
        <f t="shared" si="19"/>
        <v>558763.32100879517</v>
      </c>
      <c r="F65" s="296">
        <v>23562.79290335</v>
      </c>
      <c r="G65" s="298">
        <f t="shared" si="20"/>
        <v>23.713798415185067</v>
      </c>
      <c r="I65" s="299">
        <f t="shared" si="23"/>
        <v>57</v>
      </c>
      <c r="J65" s="293">
        <f t="shared" si="5"/>
        <v>2030</v>
      </c>
      <c r="K65" s="186">
        <f t="shared" si="24"/>
        <v>47604</v>
      </c>
      <c r="V65" s="275" t="str">
        <f t="shared" si="6"/>
        <v>Winter</v>
      </c>
      <c r="Z65" s="294">
        <f t="shared" si="3"/>
        <v>2.2200000000000001E-2</v>
      </c>
      <c r="AA65" s="295">
        <f t="shared" si="7"/>
        <v>0</v>
      </c>
      <c r="AD65" s="347">
        <v>552478.26834409998</v>
      </c>
    </row>
    <row r="66" spans="2:30" ht="17.45" hidden="1" customHeight="1" outlineLevel="1">
      <c r="B66" s="186">
        <f t="shared" si="4"/>
        <v>47635</v>
      </c>
      <c r="C66" s="296">
        <v>672686.3100828341</v>
      </c>
      <c r="D66" s="297">
        <f>IF(ISNUMBER($F66),VLOOKUP($J66,'Table 1'!$B$13:$C$41,2,FALSE)/12*1000*Study_MW,"")</f>
        <v>0</v>
      </c>
      <c r="E66" s="297">
        <f t="shared" si="19"/>
        <v>672686.3100828341</v>
      </c>
      <c r="F66" s="296">
        <v>20755.61726345</v>
      </c>
      <c r="G66" s="298">
        <f t="shared" si="20"/>
        <v>32.409843636277387</v>
      </c>
      <c r="I66" s="299">
        <f t="shared" si="23"/>
        <v>58</v>
      </c>
      <c r="J66" s="293">
        <f t="shared" si="5"/>
        <v>2030</v>
      </c>
      <c r="K66" s="186">
        <f t="shared" si="24"/>
        <v>47635</v>
      </c>
      <c r="V66" s="275" t="str">
        <f t="shared" si="6"/>
        <v>Summer</v>
      </c>
      <c r="Z66" s="294">
        <f t="shared" si="3"/>
        <v>2.2200000000000001E-2</v>
      </c>
      <c r="AA66" s="295">
        <f t="shared" si="7"/>
        <v>0</v>
      </c>
      <c r="AD66" s="347">
        <v>674619.75841965014</v>
      </c>
    </row>
    <row r="67" spans="2:30" ht="17.45" hidden="1" customHeight="1" outlineLevel="1">
      <c r="B67" s="186">
        <f t="shared" si="4"/>
        <v>47665</v>
      </c>
      <c r="C67" s="296">
        <v>524253.73438101087</v>
      </c>
      <c r="D67" s="297">
        <f>IF(ISNUMBER($F67),VLOOKUP($J67,'Table 1'!$B$13:$C$41,2,FALSE)/12*1000*Study_MW,"")</f>
        <v>0</v>
      </c>
      <c r="E67" s="297">
        <f t="shared" si="19"/>
        <v>524253.73438101087</v>
      </c>
      <c r="F67" s="296">
        <v>11919.739425549998</v>
      </c>
      <c r="G67" s="298">
        <f t="shared" si="20"/>
        <v>43.981979443046498</v>
      </c>
      <c r="I67" s="299">
        <f t="shared" si="23"/>
        <v>59</v>
      </c>
      <c r="J67" s="293">
        <f t="shared" si="5"/>
        <v>2030</v>
      </c>
      <c r="K67" s="186">
        <f t="shared" si="24"/>
        <v>47665</v>
      </c>
      <c r="V67" s="275" t="str">
        <f t="shared" si="6"/>
        <v>Summer</v>
      </c>
      <c r="Z67" s="294">
        <f t="shared" si="3"/>
        <v>2.2200000000000001E-2</v>
      </c>
      <c r="AA67" s="295">
        <f t="shared" si="7"/>
        <v>0</v>
      </c>
      <c r="AD67" s="347">
        <v>523890.21330070012</v>
      </c>
    </row>
    <row r="68" spans="2:30" ht="17.45" hidden="1" customHeight="1" outlineLevel="1">
      <c r="B68" s="186">
        <f t="shared" si="4"/>
        <v>47696</v>
      </c>
      <c r="C68" s="296">
        <v>656668.49971463671</v>
      </c>
      <c r="D68" s="297">
        <f>IF(ISNUMBER($F68),VLOOKUP($J68,'Table 1'!$B$13:$C$41,2,FALSE)/12*1000*Study_MW,"")</f>
        <v>0</v>
      </c>
      <c r="E68" s="297">
        <f t="shared" si="19"/>
        <v>656668.49971463671</v>
      </c>
      <c r="F68" s="296">
        <v>13400.009111429999</v>
      </c>
      <c r="G68" s="298">
        <f t="shared" si="20"/>
        <v>49.00507859763384</v>
      </c>
      <c r="I68" s="299">
        <f t="shared" si="23"/>
        <v>60</v>
      </c>
      <c r="J68" s="293">
        <f t="shared" si="5"/>
        <v>2030</v>
      </c>
      <c r="K68" s="186">
        <f t="shared" si="24"/>
        <v>47696</v>
      </c>
      <c r="V68" s="275" t="str">
        <f t="shared" si="6"/>
        <v>Summer</v>
      </c>
      <c r="Z68" s="294">
        <f t="shared" si="3"/>
        <v>2.2200000000000001E-2</v>
      </c>
      <c r="AA68" s="295">
        <f t="shared" si="7"/>
        <v>0</v>
      </c>
      <c r="AD68" s="347">
        <v>673640.60611438006</v>
      </c>
    </row>
    <row r="69" spans="2:30" ht="17.45" hidden="1" customHeight="1" outlineLevel="1">
      <c r="B69" s="186">
        <f t="shared" si="4"/>
        <v>47727</v>
      </c>
      <c r="C69" s="296">
        <v>546035.18727973278</v>
      </c>
      <c r="D69" s="297">
        <f>IF(ISNUMBER($F69),VLOOKUP($J69,'Table 1'!$B$13:$C$41,2,FALSE)/12*1000*Study_MW,"")</f>
        <v>0</v>
      </c>
      <c r="E69" s="297">
        <f t="shared" si="19"/>
        <v>546035.18727973278</v>
      </c>
      <c r="F69" s="296">
        <v>11326.96957904</v>
      </c>
      <c r="G69" s="298">
        <f t="shared" si="20"/>
        <v>48.206643751400556</v>
      </c>
      <c r="I69" s="299">
        <f t="shared" si="23"/>
        <v>61</v>
      </c>
      <c r="J69" s="293">
        <f t="shared" si="5"/>
        <v>2030</v>
      </c>
      <c r="K69" s="186">
        <f t="shared" si="24"/>
        <v>47727</v>
      </c>
      <c r="V69" s="275" t="str">
        <f t="shared" si="6"/>
        <v>Summer</v>
      </c>
      <c r="Z69" s="294">
        <f t="shared" si="3"/>
        <v>2.2200000000000001E-2</v>
      </c>
      <c r="AA69" s="295">
        <f t="shared" si="7"/>
        <v>0</v>
      </c>
      <c r="AD69" s="347">
        <v>539879.24654783006</v>
      </c>
    </row>
    <row r="70" spans="2:30" ht="17.45" hidden="1" customHeight="1" outlineLevel="1">
      <c r="B70" s="186">
        <f t="shared" si="4"/>
        <v>47757</v>
      </c>
      <c r="C70" s="296">
        <v>909791.21175585897</v>
      </c>
      <c r="D70" s="297">
        <f>IF(ISNUMBER($F70),VLOOKUP($J70,'Table 1'!$B$13:$C$41,2,FALSE)/12*1000*Study_MW,"")</f>
        <v>0</v>
      </c>
      <c r="E70" s="297">
        <f t="shared" si="19"/>
        <v>909791.21175585897</v>
      </c>
      <c r="F70" s="296">
        <v>23084.924245520004</v>
      </c>
      <c r="G70" s="298">
        <f t="shared" si="20"/>
        <v>39.410621498245483</v>
      </c>
      <c r="I70" s="299">
        <f t="shared" si="23"/>
        <v>62</v>
      </c>
      <c r="J70" s="293">
        <f t="shared" si="5"/>
        <v>2030</v>
      </c>
      <c r="K70" s="186">
        <f t="shared" si="24"/>
        <v>47757</v>
      </c>
      <c r="V70" s="275" t="str">
        <f t="shared" si="6"/>
        <v>Winter</v>
      </c>
      <c r="Z70" s="294">
        <f t="shared" si="3"/>
        <v>2.2200000000000001E-2</v>
      </c>
      <c r="AA70" s="295">
        <f t="shared" si="7"/>
        <v>0</v>
      </c>
      <c r="AD70" s="347">
        <v>896018.80645977019</v>
      </c>
    </row>
    <row r="71" spans="2:30" ht="17.45" hidden="1" customHeight="1" outlineLevel="1">
      <c r="B71" s="186">
        <f t="shared" si="4"/>
        <v>47788</v>
      </c>
      <c r="C71" s="296">
        <v>819414.76555565896</v>
      </c>
      <c r="D71" s="297">
        <f>IF(ISNUMBER($F71),VLOOKUP($J71,'Table 1'!$B$13:$C$41,2,FALSE)/12*1000*Study_MW,"")</f>
        <v>0</v>
      </c>
      <c r="E71" s="297">
        <f t="shared" si="19"/>
        <v>819414.76555565896</v>
      </c>
      <c r="F71" s="296">
        <v>16305.06483669</v>
      </c>
      <c r="G71" s="298">
        <f t="shared" si="20"/>
        <v>50.25522889745244</v>
      </c>
      <c r="I71" s="299">
        <f t="shared" si="23"/>
        <v>63</v>
      </c>
      <c r="J71" s="293">
        <f t="shared" si="5"/>
        <v>2030</v>
      </c>
      <c r="K71" s="186">
        <f t="shared" si="24"/>
        <v>47788</v>
      </c>
      <c r="V71" s="275" t="str">
        <f t="shared" si="6"/>
        <v>Winter</v>
      </c>
      <c r="Z71" s="294">
        <f t="shared" si="3"/>
        <v>2.2200000000000001E-2</v>
      </c>
      <c r="AA71" s="295">
        <f t="shared" si="7"/>
        <v>0</v>
      </c>
      <c r="AD71" s="347">
        <v>820106.10406147991</v>
      </c>
    </row>
    <row r="72" spans="2:30" ht="17.45" hidden="1" customHeight="1" outlineLevel="1">
      <c r="B72" s="187">
        <f t="shared" si="4"/>
        <v>47818</v>
      </c>
      <c r="C72" s="303">
        <v>622923.16508983064</v>
      </c>
      <c r="D72" s="304">
        <f>IF(ISNUMBER($F72),VLOOKUP($J72,'Table 1'!$B$13:$C$41,2,FALSE)/12*1000*Study_MW,"")</f>
        <v>0</v>
      </c>
      <c r="E72" s="304">
        <f t="shared" si="19"/>
        <v>622923.16508983064</v>
      </c>
      <c r="F72" s="303">
        <v>12741.417520637669</v>
      </c>
      <c r="G72" s="305">
        <f t="shared" si="20"/>
        <v>48.889628181547515</v>
      </c>
      <c r="I72" s="306">
        <f t="shared" si="23"/>
        <v>64</v>
      </c>
      <c r="J72" s="293">
        <f t="shared" si="5"/>
        <v>2030</v>
      </c>
      <c r="K72" s="187">
        <f t="shared" si="24"/>
        <v>47818</v>
      </c>
      <c r="V72" s="275" t="str">
        <f t="shared" si="6"/>
        <v>Winter</v>
      </c>
      <c r="Z72" s="294">
        <f t="shared" si="3"/>
        <v>2.2200000000000001E-2</v>
      </c>
      <c r="AA72" s="295">
        <f t="shared" si="7"/>
        <v>0</v>
      </c>
      <c r="AD72" s="347">
        <v>633681.11602906848</v>
      </c>
    </row>
    <row r="73" spans="2:30" ht="17.45" hidden="1" customHeight="1" outlineLevel="1">
      <c r="B73" s="185">
        <f t="shared" si="4"/>
        <v>47849</v>
      </c>
      <c r="C73" s="287">
        <v>903154.85386761429</v>
      </c>
      <c r="D73" s="288">
        <f>IF(ISNUMBER($F73),VLOOKUP($J73,'Table 1'!$B$13:$C$41,2,FALSE)/12*1000*Study_MW,"")</f>
        <v>0</v>
      </c>
      <c r="E73" s="289">
        <f t="shared" si="19"/>
        <v>903154.85386761429</v>
      </c>
      <c r="F73" s="290">
        <v>16962.172302200001</v>
      </c>
      <c r="G73" s="291">
        <f t="shared" si="20"/>
        <v>53.245235207902866</v>
      </c>
      <c r="I73" s="307">
        <f t="shared" si="23"/>
        <v>66</v>
      </c>
      <c r="J73" s="293">
        <f t="shared" si="5"/>
        <v>2031</v>
      </c>
      <c r="K73" s="185">
        <f t="shared" si="24"/>
        <v>47849</v>
      </c>
      <c r="V73" s="275" t="str">
        <f t="shared" si="6"/>
        <v>Winter</v>
      </c>
      <c r="Z73" s="294">
        <f t="shared" si="3"/>
        <v>2.2200000000000001E-2</v>
      </c>
      <c r="AA73" s="295">
        <f t="shared" si="7"/>
        <v>0</v>
      </c>
      <c r="AD73" s="347">
        <v>897521.41999623971</v>
      </c>
    </row>
    <row r="74" spans="2:30" ht="17.45" hidden="1" customHeight="1" outlineLevel="1">
      <c r="B74" s="186">
        <f t="shared" si="4"/>
        <v>47880</v>
      </c>
      <c r="C74" s="296">
        <v>1001456.4287154281</v>
      </c>
      <c r="D74" s="297">
        <f>IF(ISNUMBER($F74),VLOOKUP($J74,'Table 1'!$B$13:$C$41,2,FALSE)/12*1000*Study_MW,"")</f>
        <v>0</v>
      </c>
      <c r="E74" s="297">
        <f t="shared" si="19"/>
        <v>1001456.4287154281</v>
      </c>
      <c r="F74" s="296">
        <v>20624.67032782</v>
      </c>
      <c r="G74" s="298">
        <f t="shared" si="20"/>
        <v>48.556239338506835</v>
      </c>
      <c r="I74" s="299">
        <f t="shared" si="23"/>
        <v>67</v>
      </c>
      <c r="J74" s="293">
        <f t="shared" si="5"/>
        <v>2031</v>
      </c>
      <c r="K74" s="186">
        <f t="shared" si="24"/>
        <v>47880</v>
      </c>
      <c r="V74" s="275" t="str">
        <f t="shared" si="6"/>
        <v>Winter</v>
      </c>
      <c r="Z74" s="294">
        <f t="shared" si="3"/>
        <v>2.2200000000000001E-2</v>
      </c>
      <c r="AA74" s="295">
        <f t="shared" si="7"/>
        <v>0</v>
      </c>
      <c r="AD74" s="347">
        <v>1008595.10230775</v>
      </c>
    </row>
    <row r="75" spans="2:30" ht="17.45" hidden="1" customHeight="1" outlineLevel="1">
      <c r="B75" s="186">
        <f t="shared" si="4"/>
        <v>47908</v>
      </c>
      <c r="C75" s="296">
        <v>708184.80082801403</v>
      </c>
      <c r="D75" s="297">
        <f>IF(ISNUMBER($F75),VLOOKUP($J75,'Table 1'!$B$13:$C$41,2,FALSE)/12*1000*Study_MW,"")</f>
        <v>0</v>
      </c>
      <c r="E75" s="297">
        <f t="shared" si="19"/>
        <v>708184.80082801403</v>
      </c>
      <c r="F75" s="296">
        <v>18952.858266089999</v>
      </c>
      <c r="G75" s="298">
        <f t="shared" si="20"/>
        <v>37.36559366853291</v>
      </c>
      <c r="I75" s="299">
        <f t="shared" si="23"/>
        <v>68</v>
      </c>
      <c r="J75" s="293">
        <f t="shared" si="5"/>
        <v>2031</v>
      </c>
      <c r="K75" s="186">
        <f t="shared" si="24"/>
        <v>47908</v>
      </c>
      <c r="V75" s="275" t="str">
        <f t="shared" si="6"/>
        <v>Winter</v>
      </c>
      <c r="Z75" s="294">
        <f t="shared" si="3"/>
        <v>2.2200000000000001E-2</v>
      </c>
      <c r="AA75" s="295">
        <f t="shared" si="7"/>
        <v>0</v>
      </c>
      <c r="AD75" s="347">
        <v>701347.80727005994</v>
      </c>
    </row>
    <row r="76" spans="2:30" ht="17.45" hidden="1" customHeight="1" outlineLevel="1">
      <c r="B76" s="186">
        <f t="shared" si="4"/>
        <v>47939</v>
      </c>
      <c r="C76" s="296">
        <v>596258.49837257189</v>
      </c>
      <c r="D76" s="297">
        <f>IF(ISNUMBER($F76),VLOOKUP($J76,'Table 1'!$B$13:$C$41,2,FALSE)/12*1000*Study_MW,"")</f>
        <v>0</v>
      </c>
      <c r="E76" s="297">
        <f t="shared" si="19"/>
        <v>596258.49837257189</v>
      </c>
      <c r="F76" s="296">
        <v>19742.419320159999</v>
      </c>
      <c r="G76" s="298">
        <f t="shared" si="20"/>
        <v>30.201896165973018</v>
      </c>
      <c r="I76" s="299">
        <f t="shared" si="23"/>
        <v>69</v>
      </c>
      <c r="J76" s="293">
        <f t="shared" si="5"/>
        <v>2031</v>
      </c>
      <c r="K76" s="186">
        <f t="shared" si="24"/>
        <v>47939</v>
      </c>
      <c r="V76" s="275" t="str">
        <f t="shared" si="6"/>
        <v>Winter</v>
      </c>
      <c r="Z76" s="294">
        <f t="shared" si="3"/>
        <v>2.2200000000000001E-2</v>
      </c>
      <c r="AA76" s="295">
        <f t="shared" si="7"/>
        <v>0</v>
      </c>
      <c r="AD76" s="347">
        <v>577091.71807707998</v>
      </c>
    </row>
    <row r="77" spans="2:30" ht="17.45" hidden="1" customHeight="1" outlineLevel="1">
      <c r="B77" s="186">
        <f t="shared" si="4"/>
        <v>47969</v>
      </c>
      <c r="C77" s="296">
        <v>761029.2613581114</v>
      </c>
      <c r="D77" s="297">
        <f>IF(ISNUMBER($F77),VLOOKUP($J77,'Table 1'!$B$13:$C$41,2,FALSE)/12*1000*Study_MW,"")</f>
        <v>0</v>
      </c>
      <c r="E77" s="297">
        <f t="shared" si="19"/>
        <v>761029.2613581114</v>
      </c>
      <c r="F77" s="296">
        <v>22480.287469800009</v>
      </c>
      <c r="G77" s="298">
        <f t="shared" ref="G77:G140" si="28">IF(ISNUMBER($F77),E77/$F77,"")</f>
        <v>33.853181921293363</v>
      </c>
      <c r="I77" s="299">
        <f t="shared" si="23"/>
        <v>70</v>
      </c>
      <c r="J77" s="293">
        <f t="shared" si="5"/>
        <v>2031</v>
      </c>
      <c r="K77" s="186">
        <f t="shared" si="24"/>
        <v>47969</v>
      </c>
      <c r="V77" s="275" t="str">
        <f t="shared" si="6"/>
        <v>Winter</v>
      </c>
      <c r="Z77" s="294">
        <f t="shared" ref="Z77:Z140" si="29">Inflation</f>
        <v>2.2200000000000001E-2</v>
      </c>
      <c r="AA77" s="295">
        <f t="shared" si="7"/>
        <v>0</v>
      </c>
      <c r="AD77" s="347">
        <v>767463.14214360015</v>
      </c>
    </row>
    <row r="78" spans="2:30" ht="17.45" hidden="1" customHeight="1" outlineLevel="1">
      <c r="B78" s="186">
        <f t="shared" ref="B78:B141" si="30">EDATE(B77,1)</f>
        <v>48000</v>
      </c>
      <c r="C78" s="296">
        <v>775542.69864215888</v>
      </c>
      <c r="D78" s="297">
        <f>IF(ISNUMBER($F78),VLOOKUP($J78,'Table 1'!$B$13:$C$41,2,FALSE)/12*1000*Study_MW,"")</f>
        <v>0</v>
      </c>
      <c r="E78" s="297">
        <f t="shared" ref="E78:E141" si="31">IF(ISNUMBER(C78+D78),C78+D78,"")</f>
        <v>775542.69864215888</v>
      </c>
      <c r="F78" s="296">
        <v>21828.513316659995</v>
      </c>
      <c r="G78" s="298">
        <f t="shared" si="28"/>
        <v>35.528883135172009</v>
      </c>
      <c r="I78" s="299">
        <f t="shared" si="23"/>
        <v>71</v>
      </c>
      <c r="J78" s="293">
        <f t="shared" ref="J78:J141" si="32">YEAR(B78)</f>
        <v>2031</v>
      </c>
      <c r="K78" s="186">
        <f t="shared" si="24"/>
        <v>48000</v>
      </c>
      <c r="V78" s="275" t="str">
        <f t="shared" ref="V78:V141" si="33">IFERROR(IF(AND(MONTH(K78)&gt;=6,MONTH(K78)&lt;=9),"Summer","Winter"),"-")</f>
        <v>Summer</v>
      </c>
      <c r="Z78" s="294">
        <f t="shared" si="29"/>
        <v>2.2200000000000001E-2</v>
      </c>
      <c r="AA78" s="295">
        <f t="shared" ref="AA78:AA141" si="34">IF($AA$8="Solar",IFERROR(IF(J78&gt;$AC$1,-0.005,0),AA66),0)</f>
        <v>0</v>
      </c>
      <c r="AD78" s="347">
        <v>794030.30007332005</v>
      </c>
    </row>
    <row r="79" spans="2:30" ht="17.45" hidden="1" customHeight="1" outlineLevel="1">
      <c r="B79" s="186">
        <f t="shared" si="30"/>
        <v>48030</v>
      </c>
      <c r="C79" s="296">
        <v>1553121.6249588323</v>
      </c>
      <c r="D79" s="297">
        <f>IF(ISNUMBER($F79),VLOOKUP($J79,'Table 1'!$B$13:$C$41,2,FALSE)/12*1000*Study_MW,"")</f>
        <v>0</v>
      </c>
      <c r="E79" s="297">
        <f t="shared" si="31"/>
        <v>1553121.6249588323</v>
      </c>
      <c r="F79" s="296">
        <v>15662.846689080001</v>
      </c>
      <c r="G79" s="298">
        <f t="shared" si="28"/>
        <v>99.159600792214547</v>
      </c>
      <c r="I79" s="299">
        <f t="shared" si="23"/>
        <v>72</v>
      </c>
      <c r="J79" s="293">
        <f t="shared" si="32"/>
        <v>2031</v>
      </c>
      <c r="K79" s="186">
        <f t="shared" si="24"/>
        <v>48030</v>
      </c>
      <c r="V79" s="275" t="str">
        <f t="shared" si="33"/>
        <v>Summer</v>
      </c>
      <c r="Z79" s="294">
        <f t="shared" si="29"/>
        <v>2.2200000000000001E-2</v>
      </c>
      <c r="AA79" s="295">
        <f t="shared" si="34"/>
        <v>0</v>
      </c>
      <c r="AD79" s="347">
        <v>889558.77456031984</v>
      </c>
    </row>
    <row r="80" spans="2:30" ht="17.45" hidden="1" customHeight="1" outlineLevel="1">
      <c r="B80" s="186">
        <f t="shared" si="30"/>
        <v>48061</v>
      </c>
      <c r="C80" s="296">
        <v>727614.65726638562</v>
      </c>
      <c r="D80" s="297">
        <f>IF(ISNUMBER($F80),VLOOKUP($J80,'Table 1'!$B$13:$C$41,2,FALSE)/12*1000*Study_MW,"")</f>
        <v>0</v>
      </c>
      <c r="E80" s="297">
        <f t="shared" si="31"/>
        <v>727614.65726638562</v>
      </c>
      <c r="F80" s="296">
        <v>11824.751846509998</v>
      </c>
      <c r="G80" s="298">
        <f t="shared" si="28"/>
        <v>61.533186210680313</v>
      </c>
      <c r="I80" s="299">
        <f t="shared" si="23"/>
        <v>73</v>
      </c>
      <c r="J80" s="293">
        <f t="shared" si="32"/>
        <v>2031</v>
      </c>
      <c r="K80" s="186">
        <f t="shared" si="24"/>
        <v>48061</v>
      </c>
      <c r="V80" s="275" t="str">
        <f t="shared" si="33"/>
        <v>Summer</v>
      </c>
      <c r="Z80" s="294">
        <f t="shared" si="29"/>
        <v>2.2200000000000001E-2</v>
      </c>
      <c r="AA80" s="295">
        <f t="shared" si="34"/>
        <v>0</v>
      </c>
      <c r="AD80" s="347">
        <v>741055.89631248009</v>
      </c>
    </row>
    <row r="81" spans="2:30" ht="17.45" hidden="1" customHeight="1" outlineLevel="1">
      <c r="B81" s="186">
        <f t="shared" si="30"/>
        <v>48092</v>
      </c>
      <c r="C81" s="296">
        <v>630292.39116476674</v>
      </c>
      <c r="D81" s="297">
        <f>IF(ISNUMBER($F81),VLOOKUP($J81,'Table 1'!$B$13:$C$41,2,FALSE)/12*1000*Study_MW,"")</f>
        <v>0</v>
      </c>
      <c r="E81" s="297">
        <f t="shared" si="31"/>
        <v>630292.39116476674</v>
      </c>
      <c r="F81" s="296">
        <v>12170.57831556</v>
      </c>
      <c r="G81" s="298">
        <f t="shared" si="28"/>
        <v>51.788203881728634</v>
      </c>
      <c r="I81" s="299">
        <f t="shared" si="23"/>
        <v>74</v>
      </c>
      <c r="J81" s="293">
        <f t="shared" si="32"/>
        <v>2031</v>
      </c>
      <c r="K81" s="186">
        <f t="shared" si="24"/>
        <v>48092</v>
      </c>
      <c r="V81" s="275" t="str">
        <f t="shared" si="33"/>
        <v>Summer</v>
      </c>
      <c r="Z81" s="294">
        <f t="shared" si="29"/>
        <v>2.2200000000000001E-2</v>
      </c>
      <c r="AA81" s="295">
        <f t="shared" si="34"/>
        <v>0</v>
      </c>
      <c r="AD81" s="347">
        <v>627775.72339011019</v>
      </c>
    </row>
    <row r="82" spans="2:30" ht="17.45" hidden="1" customHeight="1" outlineLevel="1">
      <c r="B82" s="186">
        <f t="shared" si="30"/>
        <v>48122</v>
      </c>
      <c r="C82" s="296">
        <v>982606.6154010332</v>
      </c>
      <c r="D82" s="297">
        <f>IF(ISNUMBER($F82),VLOOKUP($J82,'Table 1'!$B$13:$C$41,2,FALSE)/12*1000*Study_MW,"")</f>
        <v>0</v>
      </c>
      <c r="E82" s="297">
        <f t="shared" si="31"/>
        <v>982606.6154010332</v>
      </c>
      <c r="F82" s="296">
        <v>23527.343133190003</v>
      </c>
      <c r="G82" s="298">
        <f t="shared" si="28"/>
        <v>41.764452953247869</v>
      </c>
      <c r="I82" s="299">
        <f t="shared" si="23"/>
        <v>75</v>
      </c>
      <c r="J82" s="293">
        <f t="shared" si="32"/>
        <v>2031</v>
      </c>
      <c r="K82" s="186">
        <f t="shared" si="24"/>
        <v>48122</v>
      </c>
      <c r="V82" s="275" t="str">
        <f t="shared" si="33"/>
        <v>Winter</v>
      </c>
      <c r="Z82" s="294">
        <f t="shared" si="29"/>
        <v>2.2200000000000001E-2</v>
      </c>
      <c r="AA82" s="295">
        <f t="shared" si="34"/>
        <v>0</v>
      </c>
      <c r="AD82" s="347">
        <v>1011458.7841944902</v>
      </c>
    </row>
    <row r="83" spans="2:30" ht="17.45" hidden="1" customHeight="1" outlineLevel="1">
      <c r="B83" s="186">
        <f t="shared" si="30"/>
        <v>48153</v>
      </c>
      <c r="C83" s="296">
        <v>719764.07884852961</v>
      </c>
      <c r="D83" s="297">
        <f>IF(ISNUMBER($F83),VLOOKUP($J83,'Table 1'!$B$13:$C$41,2,FALSE)/12*1000*Study_MW,"")</f>
        <v>0</v>
      </c>
      <c r="E83" s="297">
        <f t="shared" si="31"/>
        <v>719764.07884852961</v>
      </c>
      <c r="F83" s="296">
        <v>13776.181571250001</v>
      </c>
      <c r="G83" s="298">
        <f t="shared" si="28"/>
        <v>52.246994214320651</v>
      </c>
      <c r="I83" s="299">
        <f t="shared" si="23"/>
        <v>76</v>
      </c>
      <c r="J83" s="293">
        <f t="shared" si="32"/>
        <v>2031</v>
      </c>
      <c r="K83" s="186">
        <f t="shared" si="24"/>
        <v>48153</v>
      </c>
      <c r="V83" s="275" t="str">
        <f t="shared" si="33"/>
        <v>Winter</v>
      </c>
      <c r="Z83" s="294">
        <f t="shared" si="29"/>
        <v>2.2200000000000001E-2</v>
      </c>
      <c r="AA83" s="295">
        <f t="shared" si="34"/>
        <v>0</v>
      </c>
      <c r="AD83" s="347">
        <v>728155.28680337011</v>
      </c>
    </row>
    <row r="84" spans="2:30" ht="17.45" hidden="1" customHeight="1" outlineLevel="1">
      <c r="B84" s="187">
        <f t="shared" si="30"/>
        <v>48183</v>
      </c>
      <c r="C84" s="303">
        <v>1269757.2948634529</v>
      </c>
      <c r="D84" s="304">
        <f>IF(ISNUMBER($F84),VLOOKUP($J84,'Table 1'!$B$13:$C$41,2,FALSE)/12*1000*Study_MW,"")</f>
        <v>0</v>
      </c>
      <c r="E84" s="304">
        <f t="shared" si="31"/>
        <v>1269757.2948634529</v>
      </c>
      <c r="F84" s="303">
        <v>15565.060646275002</v>
      </c>
      <c r="G84" s="305">
        <f t="shared" si="28"/>
        <v>81.577407484584938</v>
      </c>
      <c r="I84" s="306">
        <f t="shared" si="23"/>
        <v>77</v>
      </c>
      <c r="J84" s="293">
        <f t="shared" si="32"/>
        <v>2031</v>
      </c>
      <c r="K84" s="187">
        <f t="shared" si="24"/>
        <v>48183</v>
      </c>
      <c r="V84" s="275" t="str">
        <f t="shared" si="33"/>
        <v>Winter</v>
      </c>
      <c r="Z84" s="294">
        <f t="shared" si="29"/>
        <v>2.2200000000000001E-2</v>
      </c>
      <c r="AA84" s="295">
        <f t="shared" si="34"/>
        <v>0</v>
      </c>
      <c r="AD84" s="347">
        <v>877834.72781959292</v>
      </c>
    </row>
    <row r="85" spans="2:30" ht="17.45" hidden="1" customHeight="1" outlineLevel="1">
      <c r="B85" s="185">
        <f t="shared" si="30"/>
        <v>48214</v>
      </c>
      <c r="C85" s="287">
        <v>958529.30947081768</v>
      </c>
      <c r="D85" s="288">
        <f>IF(ISNUMBER($F85),VLOOKUP($J85,'Table 1'!$B$13:$C$41,2,FALSE)/12*1000*Study_MW,"")</f>
        <v>0</v>
      </c>
      <c r="E85" s="289">
        <f t="shared" si="31"/>
        <v>958529.30947081768</v>
      </c>
      <c r="F85" s="290">
        <v>17943.308888460004</v>
      </c>
      <c r="G85" s="291">
        <f t="shared" si="28"/>
        <v>53.419874529791038</v>
      </c>
      <c r="I85" s="307">
        <f t="shared" si="23"/>
        <v>79</v>
      </c>
      <c r="J85" s="293">
        <f t="shared" si="32"/>
        <v>2032</v>
      </c>
      <c r="K85" s="185">
        <f t="shared" si="24"/>
        <v>48214</v>
      </c>
      <c r="V85" s="275" t="str">
        <f t="shared" si="33"/>
        <v>Winter</v>
      </c>
      <c r="Z85" s="294">
        <f t="shared" si="29"/>
        <v>2.2200000000000001E-2</v>
      </c>
      <c r="AA85" s="295">
        <f t="shared" si="34"/>
        <v>0</v>
      </c>
      <c r="AD85" s="347">
        <v>961961.32301503012</v>
      </c>
    </row>
    <row r="86" spans="2:30" ht="17.45" hidden="1" customHeight="1" outlineLevel="1">
      <c r="B86" s="186">
        <f t="shared" si="30"/>
        <v>48245</v>
      </c>
      <c r="C86" s="296">
        <v>1012124.3254300717</v>
      </c>
      <c r="D86" s="297">
        <f>IF(ISNUMBER($F86),VLOOKUP($J86,'Table 1'!$B$13:$C$41,2,FALSE)/12*1000*Study_MW,"")</f>
        <v>0</v>
      </c>
      <c r="E86" s="297">
        <f t="shared" si="31"/>
        <v>1012124.3254300717</v>
      </c>
      <c r="F86" s="296">
        <v>20298.237131269998</v>
      </c>
      <c r="G86" s="298">
        <f t="shared" si="28"/>
        <v>49.862671269657504</v>
      </c>
      <c r="I86" s="299">
        <f t="shared" si="23"/>
        <v>80</v>
      </c>
      <c r="J86" s="293">
        <f t="shared" si="32"/>
        <v>2032</v>
      </c>
      <c r="K86" s="186">
        <f t="shared" si="24"/>
        <v>48245</v>
      </c>
      <c r="V86" s="275" t="str">
        <f t="shared" si="33"/>
        <v>Winter</v>
      </c>
      <c r="Z86" s="294">
        <f t="shared" si="29"/>
        <v>2.2200000000000001E-2</v>
      </c>
      <c r="AA86" s="295">
        <f t="shared" si="34"/>
        <v>0</v>
      </c>
      <c r="AD86" s="347">
        <v>994235.71149561007</v>
      </c>
    </row>
    <row r="87" spans="2:30" ht="17.45" hidden="1" customHeight="1" outlineLevel="1">
      <c r="B87" s="186">
        <f t="shared" si="30"/>
        <v>48274</v>
      </c>
      <c r="C87" s="296">
        <v>640053.09282163216</v>
      </c>
      <c r="D87" s="297">
        <f>IF(ISNUMBER($F87),VLOOKUP($J87,'Table 1'!$B$13:$C$41,2,FALSE)/12*1000*Study_MW,"")</f>
        <v>0</v>
      </c>
      <c r="E87" s="297">
        <f t="shared" si="31"/>
        <v>640053.09282163216</v>
      </c>
      <c r="F87" s="296">
        <v>18220.792456949996</v>
      </c>
      <c r="G87" s="298">
        <f t="shared" si="28"/>
        <v>35.127621058956485</v>
      </c>
      <c r="I87" s="299">
        <f t="shared" si="23"/>
        <v>81</v>
      </c>
      <c r="J87" s="293">
        <f t="shared" si="32"/>
        <v>2032</v>
      </c>
      <c r="K87" s="186">
        <f t="shared" si="24"/>
        <v>48274</v>
      </c>
      <c r="V87" s="275" t="str">
        <f t="shared" si="33"/>
        <v>Winter</v>
      </c>
      <c r="Z87" s="294">
        <f t="shared" si="29"/>
        <v>2.2200000000000001E-2</v>
      </c>
      <c r="AA87" s="295">
        <f t="shared" si="34"/>
        <v>0</v>
      </c>
      <c r="AD87" s="347">
        <v>660570.07938944001</v>
      </c>
    </row>
    <row r="88" spans="2:30" ht="17.45" hidden="1" customHeight="1" outlineLevel="1">
      <c r="B88" s="186">
        <f t="shared" si="30"/>
        <v>48305</v>
      </c>
      <c r="C88" s="296">
        <v>642521.79328100826</v>
      </c>
      <c r="D88" s="297">
        <f>IF(ISNUMBER($F88),VLOOKUP($J88,'Table 1'!$B$13:$C$41,2,FALSE)/12*1000*Study_MW,"")</f>
        <v>0</v>
      </c>
      <c r="E88" s="297">
        <f t="shared" si="31"/>
        <v>642521.79328100826</v>
      </c>
      <c r="F88" s="296">
        <v>21563.636811889999</v>
      </c>
      <c r="G88" s="298">
        <f t="shared" si="28"/>
        <v>29.796541227532057</v>
      </c>
      <c r="I88" s="299">
        <f t="shared" si="23"/>
        <v>82</v>
      </c>
      <c r="J88" s="293">
        <f t="shared" si="32"/>
        <v>2032</v>
      </c>
      <c r="K88" s="186">
        <f t="shared" si="24"/>
        <v>48305</v>
      </c>
      <c r="V88" s="275" t="str">
        <f t="shared" si="33"/>
        <v>Winter</v>
      </c>
      <c r="Z88" s="294">
        <f t="shared" si="29"/>
        <v>2.2200000000000001E-2</v>
      </c>
      <c r="AA88" s="295">
        <f t="shared" si="34"/>
        <v>0</v>
      </c>
      <c r="AD88" s="347">
        <v>651791.50231855991</v>
      </c>
    </row>
    <row r="89" spans="2:30" ht="17.45" hidden="1" customHeight="1" outlineLevel="1">
      <c r="B89" s="186">
        <f t="shared" si="30"/>
        <v>48335</v>
      </c>
      <c r="C89" s="296">
        <v>808710.85246845905</v>
      </c>
      <c r="D89" s="297">
        <f>IF(ISNUMBER($F89),VLOOKUP($J89,'Table 1'!$B$13:$C$41,2,FALSE)/12*1000*Study_MW,"")</f>
        <v>0</v>
      </c>
      <c r="E89" s="297">
        <f t="shared" si="31"/>
        <v>808710.85246845905</v>
      </c>
      <c r="F89" s="296">
        <v>22851.848039540004</v>
      </c>
      <c r="G89" s="298">
        <f t="shared" si="28"/>
        <v>35.389297665080129</v>
      </c>
      <c r="I89" s="299">
        <f t="shared" si="23"/>
        <v>83</v>
      </c>
      <c r="J89" s="293">
        <f t="shared" si="32"/>
        <v>2032</v>
      </c>
      <c r="K89" s="186">
        <f t="shared" si="24"/>
        <v>48335</v>
      </c>
      <c r="V89" s="275" t="str">
        <f t="shared" si="33"/>
        <v>Winter</v>
      </c>
      <c r="Z89" s="294">
        <f t="shared" si="29"/>
        <v>2.2200000000000001E-2</v>
      </c>
      <c r="AA89" s="295">
        <f t="shared" si="34"/>
        <v>0</v>
      </c>
      <c r="AD89" s="347">
        <v>811838.32581670978</v>
      </c>
    </row>
    <row r="90" spans="2:30" ht="17.45" hidden="1" customHeight="1" outlineLevel="1">
      <c r="B90" s="186">
        <f t="shared" si="30"/>
        <v>48366</v>
      </c>
      <c r="C90" s="296">
        <v>822395.37938122521</v>
      </c>
      <c r="D90" s="297">
        <f>IF(ISNUMBER($F90),VLOOKUP($J90,'Table 1'!$B$13:$C$41,2,FALSE)/12*1000*Study_MW,"")</f>
        <v>0</v>
      </c>
      <c r="E90" s="297">
        <f t="shared" si="31"/>
        <v>822395.37938122521</v>
      </c>
      <c r="F90" s="296">
        <v>21964.394641799998</v>
      </c>
      <c r="G90" s="298">
        <f t="shared" si="28"/>
        <v>37.442205569196119</v>
      </c>
      <c r="I90" s="299">
        <f t="shared" ref="I90:I153" si="35">I78+13</f>
        <v>84</v>
      </c>
      <c r="J90" s="293">
        <f t="shared" si="32"/>
        <v>2032</v>
      </c>
      <c r="K90" s="186">
        <f t="shared" ref="K90:K153" si="36">IF(ISNUMBER(F90),IF(F90&lt;&gt;0,B90,""),"")</f>
        <v>48366</v>
      </c>
      <c r="V90" s="275" t="str">
        <f t="shared" si="33"/>
        <v>Summer</v>
      </c>
      <c r="Z90" s="294">
        <f t="shared" si="29"/>
        <v>2.2200000000000001E-2</v>
      </c>
      <c r="AA90" s="295">
        <f t="shared" si="34"/>
        <v>0</v>
      </c>
      <c r="AD90" s="347">
        <v>820181.36857307027</v>
      </c>
    </row>
    <row r="91" spans="2:30" ht="17.45" hidden="1" customHeight="1" outlineLevel="1">
      <c r="B91" s="186">
        <f t="shared" si="30"/>
        <v>48396</v>
      </c>
      <c r="C91" s="296">
        <v>1496152.4215255049</v>
      </c>
      <c r="D91" s="297">
        <f>IF(ISNUMBER($F91),VLOOKUP($J91,'Table 1'!$B$13:$C$41,2,FALSE)/12*1000*Study_MW,"")</f>
        <v>0</v>
      </c>
      <c r="E91" s="297">
        <f t="shared" si="31"/>
        <v>1496152.4215255049</v>
      </c>
      <c r="F91" s="296">
        <v>13744.05520639</v>
      </c>
      <c r="G91" s="298">
        <f t="shared" si="28"/>
        <v>108.85814987340136</v>
      </c>
      <c r="I91" s="299">
        <f t="shared" si="35"/>
        <v>85</v>
      </c>
      <c r="J91" s="293">
        <f t="shared" si="32"/>
        <v>2032</v>
      </c>
      <c r="K91" s="186">
        <f t="shared" si="36"/>
        <v>48396</v>
      </c>
      <c r="V91" s="275" t="str">
        <f t="shared" si="33"/>
        <v>Summer</v>
      </c>
      <c r="Z91" s="294">
        <f t="shared" si="29"/>
        <v>2.2200000000000001E-2</v>
      </c>
      <c r="AA91" s="295">
        <f t="shared" si="34"/>
        <v>0</v>
      </c>
      <c r="AD91" s="347">
        <v>770123.56092207006</v>
      </c>
    </row>
    <row r="92" spans="2:30" ht="17.45" hidden="1" customHeight="1" outlineLevel="1">
      <c r="B92" s="186">
        <f t="shared" si="30"/>
        <v>48427</v>
      </c>
      <c r="C92" s="296">
        <v>794614.05402884702</v>
      </c>
      <c r="D92" s="297">
        <f>IF(ISNUMBER($F92),VLOOKUP($J92,'Table 1'!$B$13:$C$41,2,FALSE)/12*1000*Study_MW,"")</f>
        <v>0</v>
      </c>
      <c r="E92" s="297">
        <f t="shared" si="31"/>
        <v>794614.05402884702</v>
      </c>
      <c r="F92" s="296">
        <v>12918.0700767</v>
      </c>
      <c r="G92" s="298">
        <f t="shared" si="28"/>
        <v>61.511824081375167</v>
      </c>
      <c r="I92" s="299">
        <f t="shared" si="35"/>
        <v>86</v>
      </c>
      <c r="J92" s="293">
        <f t="shared" si="32"/>
        <v>2032</v>
      </c>
      <c r="K92" s="186">
        <f t="shared" si="36"/>
        <v>48427</v>
      </c>
      <c r="V92" s="275" t="str">
        <f t="shared" si="33"/>
        <v>Summer</v>
      </c>
      <c r="Z92" s="294">
        <f t="shared" si="29"/>
        <v>2.2200000000000001E-2</v>
      </c>
      <c r="AA92" s="295">
        <f t="shared" si="34"/>
        <v>0</v>
      </c>
      <c r="AD92" s="347">
        <v>824008.63830086018</v>
      </c>
    </row>
    <row r="93" spans="2:30" ht="17.45" hidden="1" customHeight="1" outlineLevel="1">
      <c r="B93" s="186">
        <f t="shared" si="30"/>
        <v>48458</v>
      </c>
      <c r="C93" s="296">
        <v>617582.8093211021</v>
      </c>
      <c r="D93" s="297">
        <f>IF(ISNUMBER($F93),VLOOKUP($J93,'Table 1'!$B$13:$C$41,2,FALSE)/12*1000*Study_MW,"")</f>
        <v>0</v>
      </c>
      <c r="E93" s="297">
        <f t="shared" si="31"/>
        <v>617582.8093211021</v>
      </c>
      <c r="F93" s="296">
        <v>11871.487103879999</v>
      </c>
      <c r="G93" s="298">
        <f t="shared" si="28"/>
        <v>52.022362819166553</v>
      </c>
      <c r="I93" s="299">
        <f t="shared" si="35"/>
        <v>87</v>
      </c>
      <c r="J93" s="293">
        <f t="shared" si="32"/>
        <v>2032</v>
      </c>
      <c r="K93" s="186">
        <f t="shared" si="36"/>
        <v>48458</v>
      </c>
      <c r="V93" s="275" t="str">
        <f t="shared" si="33"/>
        <v>Summer</v>
      </c>
      <c r="Z93" s="294">
        <f t="shared" si="29"/>
        <v>2.2200000000000001E-2</v>
      </c>
      <c r="AA93" s="295">
        <f t="shared" si="34"/>
        <v>0</v>
      </c>
      <c r="AD93" s="347">
        <v>606922.71944493998</v>
      </c>
    </row>
    <row r="94" spans="2:30" ht="17.45" hidden="1" customHeight="1" outlineLevel="1">
      <c r="B94" s="186">
        <f t="shared" si="30"/>
        <v>48488</v>
      </c>
      <c r="C94" s="296">
        <v>1016200.3728005621</v>
      </c>
      <c r="D94" s="297">
        <f>IF(ISNUMBER($F94),VLOOKUP($J94,'Table 1'!$B$13:$C$41,2,FALSE)/12*1000*Study_MW,"")</f>
        <v>0</v>
      </c>
      <c r="E94" s="297">
        <f t="shared" si="31"/>
        <v>1016200.3728005621</v>
      </c>
      <c r="F94" s="296">
        <v>23100.34310405</v>
      </c>
      <c r="G94" s="298">
        <f t="shared" si="28"/>
        <v>43.990704736433102</v>
      </c>
      <c r="I94" s="299">
        <f t="shared" si="35"/>
        <v>88</v>
      </c>
      <c r="J94" s="293">
        <f t="shared" si="32"/>
        <v>2032</v>
      </c>
      <c r="K94" s="186">
        <f t="shared" si="36"/>
        <v>48488</v>
      </c>
      <c r="V94" s="275" t="str">
        <f t="shared" si="33"/>
        <v>Winter</v>
      </c>
      <c r="Z94" s="294">
        <f t="shared" si="29"/>
        <v>2.2200000000000001E-2</v>
      </c>
      <c r="AA94" s="295">
        <f t="shared" si="34"/>
        <v>0</v>
      </c>
      <c r="AD94" s="347">
        <v>982583.84359906008</v>
      </c>
    </row>
    <row r="95" spans="2:30" ht="17.45" hidden="1" customHeight="1" outlineLevel="1">
      <c r="B95" s="186">
        <f t="shared" si="30"/>
        <v>48519</v>
      </c>
      <c r="C95" s="296">
        <v>744547.94800438685</v>
      </c>
      <c r="D95" s="297">
        <f>IF(ISNUMBER($F95),VLOOKUP($J95,'Table 1'!$B$13:$C$41,2,FALSE)/12*1000*Study_MW,"")</f>
        <v>0</v>
      </c>
      <c r="E95" s="297">
        <f t="shared" si="31"/>
        <v>744547.94800438685</v>
      </c>
      <c r="F95" s="296">
        <v>13580.216540810003</v>
      </c>
      <c r="G95" s="298">
        <f t="shared" si="28"/>
        <v>54.8259260643555</v>
      </c>
      <c r="I95" s="299">
        <f t="shared" si="35"/>
        <v>89</v>
      </c>
      <c r="J95" s="293">
        <f t="shared" si="32"/>
        <v>2032</v>
      </c>
      <c r="K95" s="186">
        <f t="shared" si="36"/>
        <v>48519</v>
      </c>
      <c r="V95" s="275" t="str">
        <f t="shared" si="33"/>
        <v>Winter</v>
      </c>
      <c r="Z95" s="294">
        <f t="shared" si="29"/>
        <v>2.2200000000000001E-2</v>
      </c>
      <c r="AA95" s="295">
        <f t="shared" si="34"/>
        <v>0</v>
      </c>
      <c r="AD95" s="347">
        <v>750519.06381537975</v>
      </c>
    </row>
    <row r="96" spans="2:30" ht="17.45" hidden="1" customHeight="1" outlineLevel="1">
      <c r="B96" s="187">
        <f t="shared" si="30"/>
        <v>48549</v>
      </c>
      <c r="C96" s="303">
        <v>1240566.075237809</v>
      </c>
      <c r="D96" s="304">
        <f>IF(ISNUMBER($F96),VLOOKUP($J96,'Table 1'!$B$13:$C$41,2,FALSE)/12*1000*Study_MW,"")</f>
        <v>0</v>
      </c>
      <c r="E96" s="304">
        <f t="shared" si="31"/>
        <v>1240566.075237809</v>
      </c>
      <c r="F96" s="303">
        <v>15517.942520230345</v>
      </c>
      <c r="G96" s="305">
        <f t="shared" si="28"/>
        <v>79.943979275636238</v>
      </c>
      <c r="I96" s="306">
        <f t="shared" si="35"/>
        <v>90</v>
      </c>
      <c r="J96" s="293">
        <f t="shared" si="32"/>
        <v>2032</v>
      </c>
      <c r="K96" s="187">
        <f t="shared" si="36"/>
        <v>48549</v>
      </c>
      <c r="V96" s="275" t="str">
        <f t="shared" si="33"/>
        <v>Winter</v>
      </c>
      <c r="Z96" s="294">
        <f t="shared" si="29"/>
        <v>2.2200000000000001E-2</v>
      </c>
      <c r="AA96" s="295">
        <f t="shared" si="34"/>
        <v>0</v>
      </c>
      <c r="AD96" s="347">
        <v>880300.01639744674</v>
      </c>
    </row>
    <row r="97" spans="2:30" ht="17.45" hidden="1" customHeight="1" outlineLevel="1">
      <c r="B97" s="185">
        <f t="shared" si="30"/>
        <v>48580</v>
      </c>
      <c r="C97" s="287">
        <v>959993.35112176777</v>
      </c>
      <c r="D97" s="288">
        <f>IF(ISNUMBER($F97),VLOOKUP($J97,'Table 1'!$B$13:$C$41,2,FALSE)/12*1000*Study_MW,"")</f>
        <v>0</v>
      </c>
      <c r="E97" s="289">
        <f t="shared" si="31"/>
        <v>959993.35112176777</v>
      </c>
      <c r="F97" s="290">
        <v>19018.897428480002</v>
      </c>
      <c r="G97" s="291">
        <f t="shared" si="28"/>
        <v>50.475762579392111</v>
      </c>
      <c r="I97" s="307">
        <f t="shared" si="35"/>
        <v>92</v>
      </c>
      <c r="J97" s="293">
        <f t="shared" si="32"/>
        <v>2033</v>
      </c>
      <c r="K97" s="185">
        <f t="shared" si="36"/>
        <v>48580</v>
      </c>
      <c r="V97" s="275" t="str">
        <f t="shared" si="33"/>
        <v>Winter</v>
      </c>
      <c r="Z97" s="294">
        <f t="shared" si="29"/>
        <v>2.2200000000000001E-2</v>
      </c>
      <c r="AA97" s="295">
        <f t="shared" si="34"/>
        <v>0</v>
      </c>
      <c r="AD97" s="347">
        <v>976069.71426919999</v>
      </c>
    </row>
    <row r="98" spans="2:30" ht="17.45" hidden="1" customHeight="1" outlineLevel="1">
      <c r="B98" s="186">
        <f t="shared" si="30"/>
        <v>48611</v>
      </c>
      <c r="C98" s="296">
        <v>1000789.1980833228</v>
      </c>
      <c r="D98" s="297">
        <f>IF(ISNUMBER($F98),VLOOKUP($J98,'Table 1'!$B$13:$C$41,2,FALSE)/12*1000*Study_MW,"")</f>
        <v>0</v>
      </c>
      <c r="E98" s="297">
        <f t="shared" si="31"/>
        <v>1000789.1980833228</v>
      </c>
      <c r="F98" s="296">
        <v>19008.25200674</v>
      </c>
      <c r="G98" s="298">
        <f t="shared" si="28"/>
        <v>52.650248835529965</v>
      </c>
      <c r="I98" s="299">
        <f t="shared" si="35"/>
        <v>93</v>
      </c>
      <c r="J98" s="293">
        <f t="shared" si="32"/>
        <v>2033</v>
      </c>
      <c r="K98" s="186">
        <f t="shared" si="36"/>
        <v>48611</v>
      </c>
      <c r="V98" s="275" t="str">
        <f t="shared" si="33"/>
        <v>Winter</v>
      </c>
      <c r="Z98" s="294">
        <f t="shared" si="29"/>
        <v>2.2200000000000001E-2</v>
      </c>
      <c r="AA98" s="295">
        <f t="shared" si="34"/>
        <v>0</v>
      </c>
      <c r="AD98" s="347">
        <v>980038.98701265012</v>
      </c>
    </row>
    <row r="99" spans="2:30" ht="17.45" hidden="1" customHeight="1" outlineLevel="1">
      <c r="B99" s="186">
        <f t="shared" si="30"/>
        <v>48639</v>
      </c>
      <c r="C99" s="296">
        <v>600103.61387135345</v>
      </c>
      <c r="D99" s="297">
        <f>IF(ISNUMBER($F99),VLOOKUP($J99,'Table 1'!$B$13:$C$41,2,FALSE)/12*1000*Study_MW,"")</f>
        <v>0</v>
      </c>
      <c r="E99" s="297">
        <f t="shared" si="31"/>
        <v>600103.61387135345</v>
      </c>
      <c r="F99" s="296">
        <v>17956.003675159998</v>
      </c>
      <c r="G99" s="298">
        <f t="shared" si="28"/>
        <v>33.420778071098617</v>
      </c>
      <c r="I99" s="299">
        <f t="shared" si="35"/>
        <v>94</v>
      </c>
      <c r="J99" s="293">
        <f t="shared" si="32"/>
        <v>2033</v>
      </c>
      <c r="K99" s="186">
        <f t="shared" si="36"/>
        <v>48639</v>
      </c>
      <c r="V99" s="275" t="str">
        <f t="shared" si="33"/>
        <v>Winter</v>
      </c>
      <c r="Z99" s="294">
        <f t="shared" si="29"/>
        <v>2.2200000000000001E-2</v>
      </c>
      <c r="AA99" s="295">
        <f t="shared" si="34"/>
        <v>0</v>
      </c>
      <c r="AD99" s="347">
        <v>615923.37205823988</v>
      </c>
    </row>
    <row r="100" spans="2:30" ht="17.45" hidden="1" customHeight="1" outlineLevel="1">
      <c r="B100" s="186">
        <f t="shared" si="30"/>
        <v>48670</v>
      </c>
      <c r="C100" s="296">
        <v>768753.10543920205</v>
      </c>
      <c r="D100" s="297">
        <f>IF(ISNUMBER($F100),VLOOKUP($J100,'Table 1'!$B$13:$C$41,2,FALSE)/12*1000*Study_MW,"")</f>
        <v>0</v>
      </c>
      <c r="E100" s="297">
        <f t="shared" si="31"/>
        <v>768753.10543920205</v>
      </c>
      <c r="F100" s="296">
        <v>22296.220530250001</v>
      </c>
      <c r="G100" s="298">
        <f t="shared" si="28"/>
        <v>34.479077043403386</v>
      </c>
      <c r="I100" s="299">
        <f t="shared" si="35"/>
        <v>95</v>
      </c>
      <c r="J100" s="293">
        <f t="shared" si="32"/>
        <v>2033</v>
      </c>
      <c r="K100" s="186">
        <f t="shared" si="36"/>
        <v>48670</v>
      </c>
      <c r="V100" s="275" t="str">
        <f t="shared" si="33"/>
        <v>Winter</v>
      </c>
      <c r="Z100" s="294">
        <f t="shared" si="29"/>
        <v>2.2200000000000001E-2</v>
      </c>
      <c r="AA100" s="295">
        <f t="shared" si="34"/>
        <v>0</v>
      </c>
      <c r="AD100" s="347">
        <v>715498.42877828993</v>
      </c>
    </row>
    <row r="101" spans="2:30" ht="17.45" hidden="1" customHeight="1" outlineLevel="1">
      <c r="B101" s="186">
        <f t="shared" si="30"/>
        <v>48700</v>
      </c>
      <c r="C101" s="296">
        <v>742705.87340179191</v>
      </c>
      <c r="D101" s="297">
        <f>IF(ISNUMBER($F101),VLOOKUP($J101,'Table 1'!$B$13:$C$41,2,FALSE)/12*1000*Study_MW,"")</f>
        <v>0</v>
      </c>
      <c r="E101" s="297">
        <f t="shared" si="31"/>
        <v>742705.87340179191</v>
      </c>
      <c r="F101" s="296">
        <v>22706.788430020009</v>
      </c>
      <c r="G101" s="298">
        <f t="shared" si="28"/>
        <v>32.708538932783696</v>
      </c>
      <c r="I101" s="299">
        <f t="shared" si="35"/>
        <v>96</v>
      </c>
      <c r="J101" s="293">
        <f t="shared" si="32"/>
        <v>2033</v>
      </c>
      <c r="K101" s="186">
        <f t="shared" si="36"/>
        <v>48700</v>
      </c>
      <c r="V101" s="275" t="str">
        <f t="shared" si="33"/>
        <v>Winter</v>
      </c>
      <c r="Z101" s="294">
        <f t="shared" si="29"/>
        <v>2.2200000000000001E-2</v>
      </c>
      <c r="AA101" s="295">
        <f t="shared" si="34"/>
        <v>0</v>
      </c>
      <c r="AD101" s="347">
        <v>750007.67809724028</v>
      </c>
    </row>
    <row r="102" spans="2:30" ht="17.45" hidden="1" customHeight="1" outlineLevel="1">
      <c r="B102" s="186">
        <f t="shared" si="30"/>
        <v>48731</v>
      </c>
      <c r="C102" s="296">
        <v>759026.82543070114</v>
      </c>
      <c r="D102" s="297">
        <f>IF(ISNUMBER($F102),VLOOKUP($J102,'Table 1'!$B$13:$C$41,2,FALSE)/12*1000*Study_MW,"")</f>
        <v>0</v>
      </c>
      <c r="E102" s="297">
        <f t="shared" si="31"/>
        <v>759026.82543070114</v>
      </c>
      <c r="F102" s="296">
        <v>21745.812183619997</v>
      </c>
      <c r="G102" s="298">
        <f t="shared" si="28"/>
        <v>34.904505705353102</v>
      </c>
      <c r="I102" s="299">
        <f t="shared" si="35"/>
        <v>97</v>
      </c>
      <c r="J102" s="293">
        <f t="shared" si="32"/>
        <v>2033</v>
      </c>
      <c r="K102" s="186">
        <f t="shared" si="36"/>
        <v>48731</v>
      </c>
      <c r="V102" s="275" t="str">
        <f t="shared" si="33"/>
        <v>Summer</v>
      </c>
      <c r="Z102" s="294">
        <f t="shared" si="29"/>
        <v>2.2200000000000001E-2</v>
      </c>
      <c r="AA102" s="295">
        <f t="shared" si="34"/>
        <v>0</v>
      </c>
      <c r="AD102" s="347">
        <v>798285.44230181002</v>
      </c>
    </row>
    <row r="103" spans="2:30" ht="17.45" hidden="1" customHeight="1" outlineLevel="1">
      <c r="B103" s="186">
        <f t="shared" si="30"/>
        <v>48761</v>
      </c>
      <c r="C103" s="296">
        <v>1351044.5765274635</v>
      </c>
      <c r="D103" s="297">
        <f>IF(ISNUMBER($F103),VLOOKUP($J103,'Table 1'!$B$13:$C$41,2,FALSE)/12*1000*Study_MW,"")</f>
        <v>0</v>
      </c>
      <c r="E103" s="297">
        <f t="shared" si="31"/>
        <v>1351044.5765274635</v>
      </c>
      <c r="F103" s="296">
        <v>13611.277785999999</v>
      </c>
      <c r="G103" s="298">
        <f t="shared" si="28"/>
        <v>99.259202388558435</v>
      </c>
      <c r="I103" s="299">
        <f t="shared" si="35"/>
        <v>98</v>
      </c>
      <c r="J103" s="293">
        <f t="shared" si="32"/>
        <v>2033</v>
      </c>
      <c r="K103" s="186">
        <f t="shared" si="36"/>
        <v>48761</v>
      </c>
      <c r="V103" s="275" t="str">
        <f t="shared" si="33"/>
        <v>Summer</v>
      </c>
      <c r="Z103" s="294">
        <f t="shared" si="29"/>
        <v>2.2200000000000001E-2</v>
      </c>
      <c r="AA103" s="295">
        <f t="shared" si="34"/>
        <v>0</v>
      </c>
      <c r="AD103" s="347">
        <v>737189.44365809998</v>
      </c>
    </row>
    <row r="104" spans="2:30" ht="17.45" hidden="1" customHeight="1" outlineLevel="1">
      <c r="B104" s="186">
        <f t="shared" si="30"/>
        <v>48792</v>
      </c>
      <c r="C104" s="296">
        <v>803676.43784612301</v>
      </c>
      <c r="D104" s="297">
        <f>IF(ISNUMBER($F104),VLOOKUP($J104,'Table 1'!$B$13:$C$41,2,FALSE)/12*1000*Study_MW,"")</f>
        <v>0</v>
      </c>
      <c r="E104" s="297">
        <f t="shared" si="31"/>
        <v>803676.43784612301</v>
      </c>
      <c r="F104" s="296">
        <v>13189.19712069</v>
      </c>
      <c r="G104" s="298">
        <f t="shared" si="28"/>
        <v>60.934447373251352</v>
      </c>
      <c r="I104" s="299">
        <f t="shared" si="35"/>
        <v>99</v>
      </c>
      <c r="J104" s="293">
        <f t="shared" si="32"/>
        <v>2033</v>
      </c>
      <c r="K104" s="186">
        <f t="shared" si="36"/>
        <v>48792</v>
      </c>
      <c r="V104" s="275" t="str">
        <f t="shared" si="33"/>
        <v>Summer</v>
      </c>
      <c r="Z104" s="294">
        <f t="shared" si="29"/>
        <v>2.2200000000000001E-2</v>
      </c>
      <c r="AA104" s="295">
        <f t="shared" si="34"/>
        <v>0</v>
      </c>
      <c r="AD104" s="347">
        <v>824707.51818787993</v>
      </c>
    </row>
    <row r="105" spans="2:30" ht="17.45" hidden="1" customHeight="1" outlineLevel="1">
      <c r="B105" s="186">
        <f t="shared" si="30"/>
        <v>48823</v>
      </c>
      <c r="C105" s="296">
        <v>577943.5996273096</v>
      </c>
      <c r="D105" s="297">
        <f>IF(ISNUMBER($F105),VLOOKUP($J105,'Table 1'!$B$13:$C$41,2,FALSE)/12*1000*Study_MW,"")</f>
        <v>0</v>
      </c>
      <c r="E105" s="297">
        <f t="shared" si="31"/>
        <v>577943.5996273096</v>
      </c>
      <c r="F105" s="296">
        <v>11582.931032570001</v>
      </c>
      <c r="G105" s="298">
        <f t="shared" si="28"/>
        <v>49.896144421665994</v>
      </c>
      <c r="I105" s="299">
        <f t="shared" si="35"/>
        <v>100</v>
      </c>
      <c r="J105" s="293">
        <f t="shared" si="32"/>
        <v>2033</v>
      </c>
      <c r="K105" s="186">
        <f t="shared" si="36"/>
        <v>48823</v>
      </c>
      <c r="V105" s="275" t="str">
        <f t="shared" si="33"/>
        <v>Summer</v>
      </c>
      <c r="Z105" s="294">
        <f t="shared" si="29"/>
        <v>2.2200000000000001E-2</v>
      </c>
      <c r="AA105" s="295">
        <f t="shared" si="34"/>
        <v>0</v>
      </c>
      <c r="AD105" s="347">
        <v>575097.10827942984</v>
      </c>
    </row>
    <row r="106" spans="2:30" ht="17.45" hidden="1" customHeight="1" outlineLevel="1">
      <c r="B106" s="186">
        <f t="shared" si="30"/>
        <v>48853</v>
      </c>
      <c r="C106" s="296">
        <v>968412.43758571357</v>
      </c>
      <c r="D106" s="297">
        <f>IF(ISNUMBER($F106),VLOOKUP($J106,'Table 1'!$B$13:$C$41,2,FALSE)/12*1000*Study_MW,"")</f>
        <v>0</v>
      </c>
      <c r="E106" s="297">
        <f t="shared" si="31"/>
        <v>968412.43758571357</v>
      </c>
      <c r="F106" s="296">
        <v>23195.825556000003</v>
      </c>
      <c r="G106" s="298">
        <f t="shared" si="28"/>
        <v>41.749427510038196</v>
      </c>
      <c r="I106" s="299">
        <f t="shared" si="35"/>
        <v>101</v>
      </c>
      <c r="J106" s="293">
        <f t="shared" si="32"/>
        <v>2033</v>
      </c>
      <c r="K106" s="186">
        <f t="shared" si="36"/>
        <v>48853</v>
      </c>
      <c r="V106" s="275" t="str">
        <f t="shared" si="33"/>
        <v>Winter</v>
      </c>
      <c r="Z106" s="294">
        <f t="shared" si="29"/>
        <v>2.2200000000000001E-2</v>
      </c>
      <c r="AA106" s="295">
        <f t="shared" si="34"/>
        <v>0</v>
      </c>
      <c r="AD106" s="347">
        <v>986160.19673980994</v>
      </c>
    </row>
    <row r="107" spans="2:30" ht="17.45" hidden="1" customHeight="1" outlineLevel="1">
      <c r="B107" s="186">
        <f t="shared" si="30"/>
        <v>48884</v>
      </c>
      <c r="C107" s="296">
        <v>755907.66038489528</v>
      </c>
      <c r="D107" s="297">
        <f>IF(ISNUMBER($F107),VLOOKUP($J107,'Table 1'!$B$13:$C$41,2,FALSE)/12*1000*Study_MW,"")</f>
        <v>0</v>
      </c>
      <c r="E107" s="297">
        <f t="shared" si="31"/>
        <v>755907.66038489528</v>
      </c>
      <c r="F107" s="296">
        <v>14022.606174700002</v>
      </c>
      <c r="G107" s="298">
        <f t="shared" si="28"/>
        <v>53.906360270512771</v>
      </c>
      <c r="I107" s="299">
        <f t="shared" si="35"/>
        <v>102</v>
      </c>
      <c r="J107" s="293">
        <f t="shared" si="32"/>
        <v>2033</v>
      </c>
      <c r="K107" s="186">
        <f t="shared" si="36"/>
        <v>48884</v>
      </c>
      <c r="V107" s="275" t="str">
        <f t="shared" si="33"/>
        <v>Winter</v>
      </c>
      <c r="Z107" s="294">
        <f t="shared" si="29"/>
        <v>2.2200000000000001E-2</v>
      </c>
      <c r="AA107" s="295">
        <f t="shared" si="34"/>
        <v>0</v>
      </c>
      <c r="AD107" s="347">
        <v>757918.33317981008</v>
      </c>
    </row>
    <row r="108" spans="2:30" ht="17.45" hidden="1" customHeight="1" outlineLevel="1">
      <c r="B108" s="187">
        <f t="shared" si="30"/>
        <v>48914</v>
      </c>
      <c r="C108" s="303">
        <v>1132361.8525206067</v>
      </c>
      <c r="D108" s="304">
        <f>IF(ISNUMBER($F108),VLOOKUP($J108,'Table 1'!$B$13:$C$41,2,FALSE)/12*1000*Study_MW,"")</f>
        <v>0</v>
      </c>
      <c r="E108" s="304">
        <f t="shared" si="31"/>
        <v>1132361.8525206067</v>
      </c>
      <c r="F108" s="303">
        <v>14366.53339939067</v>
      </c>
      <c r="G108" s="305">
        <f t="shared" si="28"/>
        <v>78.819421571012654</v>
      </c>
      <c r="I108" s="306">
        <f t="shared" si="35"/>
        <v>103</v>
      </c>
      <c r="J108" s="293">
        <f t="shared" si="32"/>
        <v>2033</v>
      </c>
      <c r="K108" s="187">
        <f t="shared" si="36"/>
        <v>48914</v>
      </c>
      <c r="V108" s="275" t="str">
        <f t="shared" si="33"/>
        <v>Winter</v>
      </c>
      <c r="Z108" s="294">
        <f t="shared" si="29"/>
        <v>2.2200000000000001E-2</v>
      </c>
      <c r="AA108" s="295">
        <f t="shared" si="34"/>
        <v>0</v>
      </c>
      <c r="AD108" s="347">
        <v>795809.2857788488</v>
      </c>
    </row>
    <row r="109" spans="2:30" ht="17.45" hidden="1" customHeight="1" outlineLevel="1">
      <c r="B109" s="185">
        <f t="shared" si="30"/>
        <v>48945</v>
      </c>
      <c r="C109" s="287">
        <v>1093238.8147565944</v>
      </c>
      <c r="D109" s="288">
        <f>IF(ISNUMBER($F109),VLOOKUP($J109,'Table 1'!$B$13:$C$41,2,FALSE)/12*1000*Study_MW,"")</f>
        <v>0</v>
      </c>
      <c r="E109" s="289">
        <f t="shared" si="31"/>
        <v>1093238.8147565944</v>
      </c>
      <c r="F109" s="290">
        <v>20415.319112959998</v>
      </c>
      <c r="G109" s="291">
        <f t="shared" si="28"/>
        <v>53.549925362792266</v>
      </c>
      <c r="I109" s="307">
        <f t="shared" si="35"/>
        <v>105</v>
      </c>
      <c r="J109" s="293">
        <f t="shared" si="32"/>
        <v>2034</v>
      </c>
      <c r="K109" s="185">
        <f t="shared" si="36"/>
        <v>48945</v>
      </c>
      <c r="V109" s="275" t="str">
        <f t="shared" si="33"/>
        <v>Winter</v>
      </c>
      <c r="Z109" s="294">
        <f t="shared" si="29"/>
        <v>2.2200000000000001E-2</v>
      </c>
      <c r="AA109" s="295">
        <f t="shared" si="34"/>
        <v>0</v>
      </c>
      <c r="AD109" s="347">
        <v>1090868.3204303603</v>
      </c>
    </row>
    <row r="110" spans="2:30" ht="17.45" hidden="1" customHeight="1" outlineLevel="1">
      <c r="B110" s="186">
        <f t="shared" si="30"/>
        <v>48976</v>
      </c>
      <c r="C110" s="296">
        <v>999670.92028203479</v>
      </c>
      <c r="D110" s="297">
        <f>IF(ISNUMBER($F110),VLOOKUP($J110,'Table 1'!$B$13:$C$41,2,FALSE)/12*1000*Study_MW,"")</f>
        <v>0</v>
      </c>
      <c r="E110" s="297">
        <f t="shared" si="31"/>
        <v>999670.92028203479</v>
      </c>
      <c r="F110" s="296">
        <v>18180.393904599998</v>
      </c>
      <c r="G110" s="298">
        <f t="shared" si="28"/>
        <v>54.98620797369513</v>
      </c>
      <c r="I110" s="299">
        <f t="shared" si="35"/>
        <v>106</v>
      </c>
      <c r="J110" s="293">
        <f t="shared" si="32"/>
        <v>2034</v>
      </c>
      <c r="K110" s="186">
        <f t="shared" si="36"/>
        <v>48976</v>
      </c>
      <c r="V110" s="275" t="str">
        <f t="shared" si="33"/>
        <v>Winter</v>
      </c>
      <c r="Z110" s="294">
        <f t="shared" si="29"/>
        <v>2.2200000000000001E-2</v>
      </c>
      <c r="AA110" s="295">
        <f t="shared" si="34"/>
        <v>0</v>
      </c>
      <c r="AD110" s="347">
        <v>997650.47444249003</v>
      </c>
    </row>
    <row r="111" spans="2:30" ht="17.45" hidden="1" customHeight="1" outlineLevel="1">
      <c r="B111" s="186">
        <f t="shared" si="30"/>
        <v>49004</v>
      </c>
      <c r="C111" s="296">
        <v>603817.879060618</v>
      </c>
      <c r="D111" s="297">
        <f>IF(ISNUMBER($F111),VLOOKUP($J111,'Table 1'!$B$13:$C$41,2,FALSE)/12*1000*Study_MW,"")</f>
        <v>0</v>
      </c>
      <c r="E111" s="297">
        <f t="shared" si="31"/>
        <v>603817.879060618</v>
      </c>
      <c r="F111" s="296">
        <v>17408.180495410001</v>
      </c>
      <c r="G111" s="298">
        <f t="shared" si="28"/>
        <v>34.685869624331282</v>
      </c>
      <c r="I111" s="299">
        <f t="shared" si="35"/>
        <v>107</v>
      </c>
      <c r="J111" s="293">
        <f t="shared" si="32"/>
        <v>2034</v>
      </c>
      <c r="K111" s="186">
        <f t="shared" si="36"/>
        <v>49004</v>
      </c>
      <c r="V111" s="275" t="str">
        <f t="shared" si="33"/>
        <v>Winter</v>
      </c>
      <c r="Z111" s="294">
        <f t="shared" si="29"/>
        <v>2.2200000000000001E-2</v>
      </c>
      <c r="AA111" s="295">
        <f t="shared" si="34"/>
        <v>0</v>
      </c>
      <c r="AD111" s="347">
        <v>596298.7342336101</v>
      </c>
    </row>
    <row r="112" spans="2:30" ht="17.45" hidden="1" customHeight="1" outlineLevel="1">
      <c r="B112" s="186">
        <f t="shared" si="30"/>
        <v>49035</v>
      </c>
      <c r="C112" s="296">
        <v>711465.66604144755</v>
      </c>
      <c r="D112" s="297">
        <f>IF(ISNUMBER($F112),VLOOKUP($J112,'Table 1'!$B$13:$C$41,2,FALSE)/12*1000*Study_MW,"")</f>
        <v>0</v>
      </c>
      <c r="E112" s="297">
        <f t="shared" si="31"/>
        <v>711465.66604144755</v>
      </c>
      <c r="F112" s="296">
        <v>23588.34631157</v>
      </c>
      <c r="G112" s="298">
        <f t="shared" si="28"/>
        <v>30.161744136021785</v>
      </c>
      <c r="I112" s="299">
        <f t="shared" si="35"/>
        <v>108</v>
      </c>
      <c r="J112" s="293">
        <f t="shared" si="32"/>
        <v>2034</v>
      </c>
      <c r="K112" s="186">
        <f t="shared" si="36"/>
        <v>49035</v>
      </c>
      <c r="V112" s="275" t="str">
        <f t="shared" si="33"/>
        <v>Winter</v>
      </c>
      <c r="Z112" s="294">
        <f t="shared" si="29"/>
        <v>2.2200000000000001E-2</v>
      </c>
      <c r="AA112" s="295">
        <f t="shared" si="34"/>
        <v>0</v>
      </c>
      <c r="AD112" s="347">
        <v>752370.31949181005</v>
      </c>
    </row>
    <row r="113" spans="2:30" ht="17.45" hidden="1" customHeight="1" outlineLevel="1">
      <c r="B113" s="186">
        <f t="shared" si="30"/>
        <v>49065</v>
      </c>
      <c r="C113" s="296">
        <v>756559.41495116707</v>
      </c>
      <c r="D113" s="297">
        <f>IF(ISNUMBER($F113),VLOOKUP($J113,'Table 1'!$B$13:$C$41,2,FALSE)/12*1000*Study_MW,"")</f>
        <v>0</v>
      </c>
      <c r="E113" s="297">
        <f t="shared" si="31"/>
        <v>756559.41495116707</v>
      </c>
      <c r="F113" s="296">
        <v>21850.675363670001</v>
      </c>
      <c r="G113" s="298">
        <f t="shared" si="28"/>
        <v>34.624074650299349</v>
      </c>
      <c r="I113" s="299">
        <f t="shared" si="35"/>
        <v>109</v>
      </c>
      <c r="J113" s="293">
        <f t="shared" si="32"/>
        <v>2034</v>
      </c>
      <c r="K113" s="186">
        <f t="shared" si="36"/>
        <v>49065</v>
      </c>
      <c r="V113" s="275" t="str">
        <f t="shared" si="33"/>
        <v>Winter</v>
      </c>
      <c r="Z113" s="294">
        <f t="shared" si="29"/>
        <v>2.2200000000000001E-2</v>
      </c>
      <c r="AA113" s="295">
        <f t="shared" si="34"/>
        <v>0</v>
      </c>
      <c r="AD113" s="347">
        <v>728687.09466526995</v>
      </c>
    </row>
    <row r="114" spans="2:30" ht="17.45" hidden="1" customHeight="1" outlineLevel="1">
      <c r="B114" s="186">
        <f t="shared" si="30"/>
        <v>49096</v>
      </c>
      <c r="C114" s="296">
        <v>837266.60395316139</v>
      </c>
      <c r="D114" s="297">
        <f>IF(ISNUMBER($F114),VLOOKUP($J114,'Table 1'!$B$13:$C$41,2,FALSE)/12*1000*Study_MW,"")</f>
        <v>0</v>
      </c>
      <c r="E114" s="297">
        <f t="shared" si="31"/>
        <v>837266.60395316139</v>
      </c>
      <c r="F114" s="296">
        <v>21727.221439299999</v>
      </c>
      <c r="G114" s="298">
        <f t="shared" si="28"/>
        <v>38.53537399120539</v>
      </c>
      <c r="I114" s="299">
        <f t="shared" si="35"/>
        <v>110</v>
      </c>
      <c r="J114" s="293">
        <f t="shared" si="32"/>
        <v>2034</v>
      </c>
      <c r="K114" s="186">
        <f t="shared" si="36"/>
        <v>49096</v>
      </c>
      <c r="V114" s="275" t="str">
        <f t="shared" si="33"/>
        <v>Summer</v>
      </c>
      <c r="Z114" s="294">
        <f t="shared" si="29"/>
        <v>2.2200000000000001E-2</v>
      </c>
      <c r="AA114" s="295">
        <f t="shared" si="34"/>
        <v>0</v>
      </c>
      <c r="AD114" s="347">
        <v>825336.52336480981</v>
      </c>
    </row>
    <row r="115" spans="2:30" ht="17.45" hidden="1" customHeight="1" outlineLevel="1">
      <c r="B115" s="186">
        <f t="shared" si="30"/>
        <v>49126</v>
      </c>
      <c r="C115" s="296">
        <v>1234902.0513893629</v>
      </c>
      <c r="D115" s="297">
        <f>IF(ISNUMBER($F115),VLOOKUP($J115,'Table 1'!$B$13:$C$41,2,FALSE)/12*1000*Study_MW,"")</f>
        <v>0</v>
      </c>
      <c r="E115" s="297">
        <f t="shared" si="31"/>
        <v>1234902.0513893629</v>
      </c>
      <c r="F115" s="296">
        <v>13087.66273665</v>
      </c>
      <c r="G115" s="298">
        <f t="shared" si="28"/>
        <v>94.356194550399621</v>
      </c>
      <c r="I115" s="299">
        <f t="shared" si="35"/>
        <v>111</v>
      </c>
      <c r="J115" s="293">
        <f t="shared" si="32"/>
        <v>2034</v>
      </c>
      <c r="K115" s="186">
        <f t="shared" si="36"/>
        <v>49126</v>
      </c>
      <c r="V115" s="275" t="str">
        <f t="shared" si="33"/>
        <v>Summer</v>
      </c>
      <c r="Z115" s="294">
        <f t="shared" si="29"/>
        <v>2.2200000000000001E-2</v>
      </c>
      <c r="AA115" s="295">
        <f t="shared" si="34"/>
        <v>0</v>
      </c>
      <c r="AD115" s="347">
        <v>713557.40143626009</v>
      </c>
    </row>
    <row r="116" spans="2:30" ht="17.45" hidden="1" customHeight="1" outlineLevel="1">
      <c r="B116" s="186">
        <f t="shared" si="30"/>
        <v>49157</v>
      </c>
      <c r="C116" s="296">
        <v>814687.67596941325</v>
      </c>
      <c r="D116" s="297">
        <f>IF(ISNUMBER($F116),VLOOKUP($J116,'Table 1'!$B$13:$C$41,2,FALSE)/12*1000*Study_MW,"")</f>
        <v>0</v>
      </c>
      <c r="E116" s="297">
        <f t="shared" si="31"/>
        <v>814687.67596941325</v>
      </c>
      <c r="F116" s="296">
        <v>13352.837596360001</v>
      </c>
      <c r="G116" s="298">
        <f t="shared" si="28"/>
        <v>61.012325664134345</v>
      </c>
      <c r="I116" s="299">
        <f t="shared" si="35"/>
        <v>112</v>
      </c>
      <c r="J116" s="293">
        <f t="shared" si="32"/>
        <v>2034</v>
      </c>
      <c r="K116" s="186">
        <f t="shared" si="36"/>
        <v>49157</v>
      </c>
      <c r="V116" s="275" t="str">
        <f t="shared" si="33"/>
        <v>Summer</v>
      </c>
      <c r="Z116" s="294">
        <f t="shared" si="29"/>
        <v>2.2200000000000001E-2</v>
      </c>
      <c r="AA116" s="295">
        <f t="shared" si="34"/>
        <v>0</v>
      </c>
      <c r="AD116" s="347">
        <v>823851.27523607004</v>
      </c>
    </row>
    <row r="117" spans="2:30" ht="17.45" hidden="1" customHeight="1" outlineLevel="1">
      <c r="B117" s="186">
        <f t="shared" si="30"/>
        <v>49188</v>
      </c>
      <c r="C117" s="296">
        <v>581795.05438338674</v>
      </c>
      <c r="D117" s="297">
        <f>IF(ISNUMBER($F117),VLOOKUP($J117,'Table 1'!$B$13:$C$41,2,FALSE)/12*1000*Study_MW,"")</f>
        <v>0</v>
      </c>
      <c r="E117" s="297">
        <f t="shared" si="31"/>
        <v>581795.05438338674</v>
      </c>
      <c r="F117" s="296">
        <v>11306.15984007</v>
      </c>
      <c r="G117" s="298">
        <f t="shared" si="28"/>
        <v>51.45823715683332</v>
      </c>
      <c r="I117" s="299">
        <f t="shared" si="35"/>
        <v>113</v>
      </c>
      <c r="J117" s="293">
        <f t="shared" si="32"/>
        <v>2034</v>
      </c>
      <c r="K117" s="186">
        <f t="shared" si="36"/>
        <v>49188</v>
      </c>
      <c r="V117" s="275" t="str">
        <f t="shared" si="33"/>
        <v>Summer</v>
      </c>
      <c r="Z117" s="294">
        <f t="shared" si="29"/>
        <v>2.2200000000000001E-2</v>
      </c>
      <c r="AA117" s="295">
        <f t="shared" si="34"/>
        <v>0</v>
      </c>
      <c r="AD117" s="347">
        <v>584083.91941432015</v>
      </c>
    </row>
    <row r="118" spans="2:30" ht="17.45" hidden="1" customHeight="1" outlineLevel="1">
      <c r="B118" s="186">
        <f t="shared" si="30"/>
        <v>49218</v>
      </c>
      <c r="C118" s="296">
        <v>1025852.5868165452</v>
      </c>
      <c r="D118" s="297">
        <f>IF(ISNUMBER($F118),VLOOKUP($J118,'Table 1'!$B$13:$C$41,2,FALSE)/12*1000*Study_MW,"")</f>
        <v>0</v>
      </c>
      <c r="E118" s="297">
        <f t="shared" si="31"/>
        <v>1025852.5868165452</v>
      </c>
      <c r="F118" s="296">
        <v>23404.872506280004</v>
      </c>
      <c r="G118" s="298">
        <f t="shared" si="28"/>
        <v>43.830727406922982</v>
      </c>
      <c r="I118" s="299">
        <f t="shared" si="35"/>
        <v>114</v>
      </c>
      <c r="J118" s="293">
        <f t="shared" si="32"/>
        <v>2034</v>
      </c>
      <c r="K118" s="186">
        <f t="shared" si="36"/>
        <v>49218</v>
      </c>
      <c r="V118" s="275" t="str">
        <f t="shared" si="33"/>
        <v>Winter</v>
      </c>
      <c r="Z118" s="294">
        <f t="shared" si="29"/>
        <v>2.2200000000000001E-2</v>
      </c>
      <c r="AA118" s="295">
        <f t="shared" si="34"/>
        <v>0</v>
      </c>
      <c r="AD118" s="347">
        <v>1052015.7611727898</v>
      </c>
    </row>
    <row r="119" spans="2:30" ht="17.45" hidden="1" customHeight="1" outlineLevel="1">
      <c r="B119" s="186">
        <f t="shared" si="30"/>
        <v>49249</v>
      </c>
      <c r="C119" s="296">
        <v>837868.2340386149</v>
      </c>
      <c r="D119" s="297">
        <f>IF(ISNUMBER($F119),VLOOKUP($J119,'Table 1'!$B$13:$C$41,2,FALSE)/12*1000*Study_MW,"")</f>
        <v>0</v>
      </c>
      <c r="E119" s="297">
        <f t="shared" si="31"/>
        <v>837868.2340386149</v>
      </c>
      <c r="F119" s="296">
        <v>14273.345559230002</v>
      </c>
      <c r="G119" s="298">
        <f t="shared" si="28"/>
        <v>58.701600865874013</v>
      </c>
      <c r="I119" s="299">
        <f t="shared" si="35"/>
        <v>115</v>
      </c>
      <c r="J119" s="293">
        <f t="shared" si="32"/>
        <v>2034</v>
      </c>
      <c r="K119" s="186">
        <f t="shared" si="36"/>
        <v>49249</v>
      </c>
      <c r="V119" s="275" t="str">
        <f t="shared" si="33"/>
        <v>Winter</v>
      </c>
      <c r="Z119" s="294">
        <f t="shared" si="29"/>
        <v>2.2200000000000001E-2</v>
      </c>
      <c r="AA119" s="295">
        <f t="shared" si="34"/>
        <v>0</v>
      </c>
      <c r="AD119" s="347">
        <v>818722.70370026981</v>
      </c>
    </row>
    <row r="120" spans="2:30" ht="17.45" hidden="1" customHeight="1" outlineLevel="1">
      <c r="B120" s="187">
        <f t="shared" si="30"/>
        <v>49279</v>
      </c>
      <c r="C120" s="303">
        <v>1188118.3367033568</v>
      </c>
      <c r="D120" s="304">
        <f>IF(ISNUMBER($F120),VLOOKUP($J120,'Table 1'!$B$13:$C$41,2,FALSE)/12*1000*Study_MW,"")</f>
        <v>0</v>
      </c>
      <c r="E120" s="304">
        <f t="shared" si="31"/>
        <v>1188118.3367033568</v>
      </c>
      <c r="F120" s="303">
        <v>14151.674536572002</v>
      </c>
      <c r="G120" s="305">
        <f t="shared" si="28"/>
        <v>83.95602468336287</v>
      </c>
      <c r="I120" s="306">
        <f t="shared" si="35"/>
        <v>116</v>
      </c>
      <c r="J120" s="293">
        <f t="shared" si="32"/>
        <v>2034</v>
      </c>
      <c r="K120" s="187">
        <f t="shared" si="36"/>
        <v>49279</v>
      </c>
      <c r="V120" s="275" t="str">
        <f t="shared" si="33"/>
        <v>Winter</v>
      </c>
      <c r="Z120" s="294">
        <f t="shared" si="29"/>
        <v>2.2200000000000001E-2</v>
      </c>
      <c r="AA120" s="295">
        <f t="shared" si="34"/>
        <v>0</v>
      </c>
      <c r="AD120" s="347">
        <v>826661.76355114998</v>
      </c>
    </row>
    <row r="121" spans="2:30" ht="17.45" hidden="1" customHeight="1" outlineLevel="1">
      <c r="B121" s="185">
        <f t="shared" si="30"/>
        <v>49310</v>
      </c>
      <c r="C121" s="287">
        <v>1150696.9032651104</v>
      </c>
      <c r="D121" s="288">
        <f>IF(ISNUMBER($F121),VLOOKUP($J121,'Table 1'!$B$13:$C$41,2,FALSE)/12*1000*Study_MW,"")</f>
        <v>0</v>
      </c>
      <c r="E121" s="289">
        <f t="shared" si="31"/>
        <v>1150696.9032651104</v>
      </c>
      <c r="F121" s="290">
        <v>20955.288234849999</v>
      </c>
      <c r="G121" s="291">
        <f t="shared" si="28"/>
        <v>54.912005521901015</v>
      </c>
      <c r="I121" s="307">
        <f t="shared" si="35"/>
        <v>118</v>
      </c>
      <c r="J121" s="293">
        <f t="shared" si="32"/>
        <v>2035</v>
      </c>
      <c r="K121" s="185">
        <f t="shared" si="36"/>
        <v>49310</v>
      </c>
      <c r="V121" s="275" t="str">
        <f t="shared" si="33"/>
        <v>Winter</v>
      </c>
      <c r="Z121" s="294">
        <f t="shared" si="29"/>
        <v>2.2200000000000001E-2</v>
      </c>
      <c r="AA121" s="295">
        <f t="shared" si="34"/>
        <v>0</v>
      </c>
      <c r="AD121" s="347">
        <v>1158696.29019372</v>
      </c>
    </row>
    <row r="122" spans="2:30" ht="17.45" hidden="1" customHeight="1" outlineLevel="1">
      <c r="B122" s="186">
        <f t="shared" si="30"/>
        <v>49341</v>
      </c>
      <c r="C122" s="296">
        <v>975162.09435186465</v>
      </c>
      <c r="D122" s="297">
        <f>IF(ISNUMBER($F122),VLOOKUP($J122,'Table 1'!$B$13:$C$41,2,FALSE)/12*1000*Study_MW,"")</f>
        <v>0</v>
      </c>
      <c r="E122" s="297">
        <f t="shared" si="31"/>
        <v>975162.09435186465</v>
      </c>
      <c r="F122" s="296">
        <v>17419.669062789999</v>
      </c>
      <c r="G122" s="298">
        <f t="shared" si="28"/>
        <v>55.980517817924557</v>
      </c>
      <c r="I122" s="299">
        <f t="shared" si="35"/>
        <v>119</v>
      </c>
      <c r="J122" s="293">
        <f t="shared" si="32"/>
        <v>2035</v>
      </c>
      <c r="K122" s="186">
        <f t="shared" si="36"/>
        <v>49341</v>
      </c>
      <c r="V122" s="275" t="str">
        <f t="shared" si="33"/>
        <v>Winter</v>
      </c>
      <c r="Z122" s="294">
        <f t="shared" si="29"/>
        <v>2.2200000000000001E-2</v>
      </c>
      <c r="AA122" s="295">
        <f t="shared" si="34"/>
        <v>0</v>
      </c>
      <c r="AD122" s="347">
        <v>1007614.0509520198</v>
      </c>
    </row>
    <row r="123" spans="2:30" ht="17.45" hidden="1" customHeight="1" outlineLevel="1">
      <c r="B123" s="186">
        <f t="shared" si="30"/>
        <v>49369</v>
      </c>
      <c r="C123" s="296">
        <v>625260.47262267815</v>
      </c>
      <c r="D123" s="297">
        <f>IF(ISNUMBER($F123),VLOOKUP($J123,'Table 1'!$B$13:$C$41,2,FALSE)/12*1000*Study_MW,"")</f>
        <v>0</v>
      </c>
      <c r="E123" s="297">
        <f t="shared" si="31"/>
        <v>625260.47262267815</v>
      </c>
      <c r="F123" s="296">
        <v>17461.912206590001</v>
      </c>
      <c r="G123" s="298">
        <f t="shared" si="28"/>
        <v>35.807102064498373</v>
      </c>
      <c r="I123" s="299">
        <f t="shared" si="35"/>
        <v>120</v>
      </c>
      <c r="J123" s="293">
        <f t="shared" si="32"/>
        <v>2035</v>
      </c>
      <c r="K123" s="186">
        <f t="shared" si="36"/>
        <v>49369</v>
      </c>
      <c r="V123" s="275" t="str">
        <f t="shared" si="33"/>
        <v>Winter</v>
      </c>
      <c r="Z123" s="294">
        <f t="shared" si="29"/>
        <v>2.2200000000000001E-2</v>
      </c>
      <c r="AA123" s="295">
        <f t="shared" si="34"/>
        <v>0</v>
      </c>
      <c r="AD123" s="347">
        <v>618604.16878151975</v>
      </c>
    </row>
    <row r="124" spans="2:30" ht="17.45" hidden="1" customHeight="1" outlineLevel="1">
      <c r="B124" s="186">
        <f t="shared" si="30"/>
        <v>49400</v>
      </c>
      <c r="C124" s="296">
        <v>745973.45328351366</v>
      </c>
      <c r="D124" s="297">
        <f>IF(ISNUMBER($F124),VLOOKUP($J124,'Table 1'!$B$13:$C$41,2,FALSE)/12*1000*Study_MW,"")</f>
        <v>0</v>
      </c>
      <c r="E124" s="297">
        <f t="shared" si="31"/>
        <v>745973.45328351366</v>
      </c>
      <c r="F124" s="296">
        <v>23966.333635690004</v>
      </c>
      <c r="G124" s="298">
        <f t="shared" si="28"/>
        <v>31.125889534168486</v>
      </c>
      <c r="I124" s="299">
        <f t="shared" si="35"/>
        <v>121</v>
      </c>
      <c r="J124" s="293">
        <f t="shared" si="32"/>
        <v>2035</v>
      </c>
      <c r="K124" s="186">
        <f t="shared" si="36"/>
        <v>49400</v>
      </c>
      <c r="V124" s="275" t="str">
        <f t="shared" si="33"/>
        <v>Winter</v>
      </c>
      <c r="Z124" s="294">
        <f t="shared" si="29"/>
        <v>2.2200000000000001E-2</v>
      </c>
      <c r="AA124" s="295">
        <f t="shared" si="34"/>
        <v>0</v>
      </c>
      <c r="AD124" s="347">
        <v>748372.2528412001</v>
      </c>
    </row>
    <row r="125" spans="2:30" ht="17.45" hidden="1" customHeight="1" outlineLevel="1">
      <c r="B125" s="186">
        <f t="shared" si="30"/>
        <v>49430</v>
      </c>
      <c r="C125" s="296">
        <v>730113.1411535535</v>
      </c>
      <c r="D125" s="297">
        <f>IF(ISNUMBER($F125),VLOOKUP($J125,'Table 1'!$B$13:$C$41,2,FALSE)/12*1000*Study_MW,"")</f>
        <v>0</v>
      </c>
      <c r="E125" s="297">
        <f t="shared" si="31"/>
        <v>730113.1411535535</v>
      </c>
      <c r="F125" s="296">
        <v>22571.998863140001</v>
      </c>
      <c r="G125" s="298">
        <f t="shared" si="28"/>
        <v>32.345967478574785</v>
      </c>
      <c r="I125" s="299">
        <f t="shared" si="35"/>
        <v>122</v>
      </c>
      <c r="J125" s="293">
        <f t="shared" si="32"/>
        <v>2035</v>
      </c>
      <c r="K125" s="186">
        <f t="shared" si="36"/>
        <v>49430</v>
      </c>
      <c r="V125" s="275" t="str">
        <f t="shared" si="33"/>
        <v>Winter</v>
      </c>
      <c r="Z125" s="294">
        <f t="shared" si="29"/>
        <v>2.2200000000000001E-2</v>
      </c>
      <c r="AA125" s="295">
        <f t="shared" si="34"/>
        <v>0</v>
      </c>
      <c r="AD125" s="347">
        <v>715469.76500757993</v>
      </c>
    </row>
    <row r="126" spans="2:30" ht="17.45" hidden="1" customHeight="1" outlineLevel="1">
      <c r="B126" s="186">
        <f t="shared" si="30"/>
        <v>49461</v>
      </c>
      <c r="C126" s="296">
        <v>851322.93384220242</v>
      </c>
      <c r="D126" s="297">
        <f>IF(ISNUMBER($F126),VLOOKUP($J126,'Table 1'!$B$13:$C$41,2,FALSE)/12*1000*Study_MW,"")</f>
        <v>0</v>
      </c>
      <c r="E126" s="297">
        <f t="shared" si="31"/>
        <v>851322.93384220242</v>
      </c>
      <c r="F126" s="296">
        <v>21093.46980789</v>
      </c>
      <c r="G126" s="298">
        <f t="shared" si="28"/>
        <v>40.359549263145205</v>
      </c>
      <c r="I126" s="299">
        <f t="shared" si="35"/>
        <v>123</v>
      </c>
      <c r="J126" s="293">
        <f t="shared" si="32"/>
        <v>2035</v>
      </c>
      <c r="K126" s="186">
        <f t="shared" si="36"/>
        <v>49461</v>
      </c>
      <c r="V126" s="275" t="str">
        <f t="shared" si="33"/>
        <v>Summer</v>
      </c>
      <c r="Z126" s="294">
        <f t="shared" si="29"/>
        <v>2.2200000000000001E-2</v>
      </c>
      <c r="AA126" s="295">
        <f t="shared" si="34"/>
        <v>0</v>
      </c>
      <c r="AD126" s="347">
        <v>837469.19472221017</v>
      </c>
    </row>
    <row r="127" spans="2:30" ht="17.45" hidden="1" customHeight="1" outlineLevel="1">
      <c r="B127" s="186">
        <f t="shared" si="30"/>
        <v>49491</v>
      </c>
      <c r="C127" s="296">
        <v>1216408.109703887</v>
      </c>
      <c r="D127" s="297">
        <f>IF(ISNUMBER($F127),VLOOKUP($J127,'Table 1'!$B$13:$C$41,2,FALSE)/12*1000*Study_MW,"")</f>
        <v>0</v>
      </c>
      <c r="E127" s="297">
        <f t="shared" si="31"/>
        <v>1216408.109703887</v>
      </c>
      <c r="F127" s="296">
        <v>12599.71663126</v>
      </c>
      <c r="G127" s="298">
        <f t="shared" si="28"/>
        <v>96.542497367438287</v>
      </c>
      <c r="I127" s="299">
        <f t="shared" si="35"/>
        <v>124</v>
      </c>
      <c r="J127" s="293">
        <f t="shared" si="32"/>
        <v>2035</v>
      </c>
      <c r="K127" s="186">
        <f t="shared" si="36"/>
        <v>49491</v>
      </c>
      <c r="V127" s="275" t="str">
        <f t="shared" si="33"/>
        <v>Summer</v>
      </c>
      <c r="Z127" s="294">
        <f t="shared" si="29"/>
        <v>2.2200000000000001E-2</v>
      </c>
      <c r="AA127" s="295">
        <f t="shared" si="34"/>
        <v>0</v>
      </c>
      <c r="AD127" s="347">
        <v>720438.47383600019</v>
      </c>
    </row>
    <row r="128" spans="2:30" ht="17.45" hidden="1" customHeight="1" outlineLevel="1">
      <c r="B128" s="186">
        <f t="shared" si="30"/>
        <v>49522</v>
      </c>
      <c r="C128" s="296">
        <v>812361.03234800976</v>
      </c>
      <c r="D128" s="297">
        <f>IF(ISNUMBER($F128),VLOOKUP($J128,'Table 1'!$B$13:$C$41,2,FALSE)/12*1000*Study_MW,"")</f>
        <v>0</v>
      </c>
      <c r="E128" s="297">
        <f t="shared" si="31"/>
        <v>812361.03234800976</v>
      </c>
      <c r="F128" s="296">
        <v>13274.537031640002</v>
      </c>
      <c r="G128" s="298">
        <f t="shared" si="28"/>
        <v>61.196938952502713</v>
      </c>
      <c r="I128" s="299">
        <f t="shared" si="35"/>
        <v>125</v>
      </c>
      <c r="J128" s="293">
        <f t="shared" si="32"/>
        <v>2035</v>
      </c>
      <c r="K128" s="186">
        <f t="shared" si="36"/>
        <v>49522</v>
      </c>
      <c r="V128" s="275" t="str">
        <f t="shared" si="33"/>
        <v>Summer</v>
      </c>
      <c r="Z128" s="294">
        <f t="shared" si="29"/>
        <v>2.2200000000000001E-2</v>
      </c>
      <c r="AA128" s="295">
        <f t="shared" si="34"/>
        <v>0</v>
      </c>
      <c r="AD128" s="347">
        <v>957874.84613847011</v>
      </c>
    </row>
    <row r="129" spans="2:30" ht="17.45" hidden="1" customHeight="1" outlineLevel="1">
      <c r="B129" s="186">
        <f t="shared" si="30"/>
        <v>49553</v>
      </c>
      <c r="C129" s="296">
        <v>652332.70785107743</v>
      </c>
      <c r="D129" s="297">
        <f>IF(ISNUMBER($F129),VLOOKUP($J129,'Table 1'!$B$13:$C$41,2,FALSE)/12*1000*Study_MW,"")</f>
        <v>0</v>
      </c>
      <c r="E129" s="297">
        <f t="shared" si="31"/>
        <v>652332.70785107743</v>
      </c>
      <c r="F129" s="296">
        <v>11262.100543829998</v>
      </c>
      <c r="G129" s="298">
        <f t="shared" si="28"/>
        <v>57.922827567763228</v>
      </c>
      <c r="I129" s="299">
        <f t="shared" si="35"/>
        <v>126</v>
      </c>
      <c r="J129" s="293">
        <f t="shared" si="32"/>
        <v>2035</v>
      </c>
      <c r="K129" s="186">
        <f t="shared" si="36"/>
        <v>49553</v>
      </c>
      <c r="V129" s="275" t="str">
        <f t="shared" si="33"/>
        <v>Summer</v>
      </c>
      <c r="Z129" s="294">
        <f t="shared" si="29"/>
        <v>2.2200000000000001E-2</v>
      </c>
      <c r="AA129" s="295">
        <f t="shared" si="34"/>
        <v>0</v>
      </c>
      <c r="AD129" s="347">
        <v>654870.02834158996</v>
      </c>
    </row>
    <row r="130" spans="2:30" ht="17.45" hidden="1" customHeight="1" outlineLevel="1">
      <c r="B130" s="186">
        <f t="shared" si="30"/>
        <v>49583</v>
      </c>
      <c r="C130" s="296">
        <v>1061098.8717941656</v>
      </c>
      <c r="D130" s="297">
        <f>IF(ISNUMBER($F130),VLOOKUP($J130,'Table 1'!$B$13:$C$41,2,FALSE)/12*1000*Study_MW,"")</f>
        <v>0</v>
      </c>
      <c r="E130" s="297">
        <f t="shared" si="31"/>
        <v>1061098.8717941656</v>
      </c>
      <c r="F130" s="296">
        <v>23306.767880120002</v>
      </c>
      <c r="G130" s="298">
        <f t="shared" si="28"/>
        <v>45.527499876945711</v>
      </c>
      <c r="I130" s="299">
        <f t="shared" si="35"/>
        <v>127</v>
      </c>
      <c r="J130" s="293">
        <f t="shared" si="32"/>
        <v>2035</v>
      </c>
      <c r="K130" s="186">
        <f t="shared" si="36"/>
        <v>49583</v>
      </c>
      <c r="V130" s="275" t="str">
        <f t="shared" si="33"/>
        <v>Winter</v>
      </c>
      <c r="Z130" s="294">
        <f t="shared" si="29"/>
        <v>2.2200000000000001E-2</v>
      </c>
      <c r="AA130" s="295">
        <f t="shared" si="34"/>
        <v>0</v>
      </c>
      <c r="AD130" s="347">
        <v>1069238.4713806198</v>
      </c>
    </row>
    <row r="131" spans="2:30" ht="17.45" hidden="1" customHeight="1" outlineLevel="1">
      <c r="B131" s="186">
        <f t="shared" si="30"/>
        <v>49614</v>
      </c>
      <c r="C131" s="296">
        <v>975433.41025608242</v>
      </c>
      <c r="D131" s="297">
        <f>IF(ISNUMBER($F131),VLOOKUP($J131,'Table 1'!$B$13:$C$41,2,FALSE)/12*1000*Study_MW,"")</f>
        <v>0</v>
      </c>
      <c r="E131" s="297">
        <f t="shared" si="31"/>
        <v>975433.41025608242</v>
      </c>
      <c r="F131" s="296">
        <v>15087.522923910003</v>
      </c>
      <c r="G131" s="298">
        <f t="shared" si="28"/>
        <v>64.651660526080192</v>
      </c>
      <c r="I131" s="299">
        <f t="shared" si="35"/>
        <v>128</v>
      </c>
      <c r="J131" s="293">
        <f t="shared" si="32"/>
        <v>2035</v>
      </c>
      <c r="K131" s="186">
        <f t="shared" si="36"/>
        <v>49614</v>
      </c>
      <c r="V131" s="275" t="str">
        <f t="shared" si="33"/>
        <v>Winter</v>
      </c>
      <c r="Z131" s="294">
        <f t="shared" si="29"/>
        <v>2.2200000000000001E-2</v>
      </c>
      <c r="AA131" s="295">
        <f t="shared" si="34"/>
        <v>0</v>
      </c>
      <c r="AD131" s="347">
        <v>964285.17343607009</v>
      </c>
    </row>
    <row r="132" spans="2:30" ht="17.45" hidden="1" customHeight="1" outlineLevel="1">
      <c r="B132" s="187">
        <f t="shared" si="30"/>
        <v>49644</v>
      </c>
      <c r="C132" s="303">
        <v>1217234.5879284656</v>
      </c>
      <c r="D132" s="304">
        <f>IF(ISNUMBER($F132),VLOOKUP($J132,'Table 1'!$B$13:$C$41,2,FALSE)/12*1000*Study_MW,"")</f>
        <v>0</v>
      </c>
      <c r="E132" s="304">
        <f t="shared" si="31"/>
        <v>1217234.5879284656</v>
      </c>
      <c r="F132" s="303">
        <v>13611.874340522003</v>
      </c>
      <c r="G132" s="305">
        <f t="shared" si="28"/>
        <v>89.424465542177913</v>
      </c>
      <c r="I132" s="306">
        <f t="shared" si="35"/>
        <v>129</v>
      </c>
      <c r="J132" s="293">
        <f t="shared" si="32"/>
        <v>2035</v>
      </c>
      <c r="K132" s="187">
        <f t="shared" si="36"/>
        <v>49644</v>
      </c>
      <c r="V132" s="275" t="str">
        <f t="shared" si="33"/>
        <v>Winter</v>
      </c>
      <c r="Z132" s="294">
        <f t="shared" si="29"/>
        <v>2.2200000000000001E-2</v>
      </c>
      <c r="AA132" s="295">
        <f t="shared" si="34"/>
        <v>0</v>
      </c>
      <c r="AD132" s="347">
        <v>796468.26698559069</v>
      </c>
    </row>
    <row r="133" spans="2:30" ht="17.45" hidden="1" customHeight="1" outlineLevel="1">
      <c r="B133" s="185">
        <f t="shared" si="30"/>
        <v>49675</v>
      </c>
      <c r="C133" s="287">
        <v>1018567.1567601385</v>
      </c>
      <c r="D133" s="288">
        <f>IF(ISNUMBER($F133),VLOOKUP($J133,'Table 1'!$B$13:$C$41,2,FALSE)/12*1000*Study_MW,"")</f>
        <v>272222.22222222219</v>
      </c>
      <c r="E133" s="289">
        <f t="shared" si="31"/>
        <v>1290789.3789823607</v>
      </c>
      <c r="F133" s="290">
        <v>21721.678344020002</v>
      </c>
      <c r="G133" s="291">
        <f t="shared" si="28"/>
        <v>59.42401680658881</v>
      </c>
      <c r="I133" s="307">
        <f t="shared" si="35"/>
        <v>131</v>
      </c>
      <c r="J133" s="293">
        <f t="shared" si="32"/>
        <v>2036</v>
      </c>
      <c r="K133" s="185">
        <f t="shared" si="36"/>
        <v>49675</v>
      </c>
      <c r="V133" s="275" t="str">
        <f t="shared" si="33"/>
        <v>Winter</v>
      </c>
      <c r="Z133" s="294">
        <f t="shared" si="29"/>
        <v>2.2200000000000001E-2</v>
      </c>
      <c r="AA133" s="295">
        <f t="shared" si="34"/>
        <v>0</v>
      </c>
      <c r="AD133" s="347">
        <v>1244987.4838736702</v>
      </c>
    </row>
    <row r="134" spans="2:30" ht="17.45" hidden="1" customHeight="1" outlineLevel="1">
      <c r="B134" s="186">
        <f t="shared" si="30"/>
        <v>49706</v>
      </c>
      <c r="C134" s="296">
        <v>710963.34860700881</v>
      </c>
      <c r="D134" s="297">
        <f>IF(ISNUMBER($F134),VLOOKUP($J134,'Table 1'!$B$13:$C$41,2,FALSE)/12*1000*Study_MW,"")</f>
        <v>272222.22222222219</v>
      </c>
      <c r="E134" s="297">
        <f t="shared" si="31"/>
        <v>983185.57082923106</v>
      </c>
      <c r="F134" s="296">
        <v>17718.82888628</v>
      </c>
      <c r="G134" s="298">
        <f t="shared" si="28"/>
        <v>55.488180236930269</v>
      </c>
      <c r="I134" s="299">
        <f t="shared" si="35"/>
        <v>132</v>
      </c>
      <c r="J134" s="293">
        <f t="shared" si="32"/>
        <v>2036</v>
      </c>
      <c r="K134" s="186">
        <f t="shared" si="36"/>
        <v>49706</v>
      </c>
      <c r="V134" s="275" t="str">
        <f t="shared" si="33"/>
        <v>Winter</v>
      </c>
      <c r="Z134" s="294">
        <f t="shared" si="29"/>
        <v>2.2200000000000001E-2</v>
      </c>
      <c r="AA134" s="295">
        <f t="shared" si="34"/>
        <v>0</v>
      </c>
      <c r="AD134" s="347">
        <v>979633.38859453006</v>
      </c>
    </row>
    <row r="135" spans="2:30" ht="17.45" hidden="1" customHeight="1" outlineLevel="1">
      <c r="B135" s="186">
        <f t="shared" si="30"/>
        <v>49735</v>
      </c>
      <c r="C135" s="296">
        <v>469911.34332130605</v>
      </c>
      <c r="D135" s="297">
        <f>IF(ISNUMBER($F135),VLOOKUP($J135,'Table 1'!$B$13:$C$41,2,FALSE)/12*1000*Study_MW,"")</f>
        <v>272222.22222222219</v>
      </c>
      <c r="E135" s="297">
        <f t="shared" si="31"/>
        <v>742133.56554352818</v>
      </c>
      <c r="F135" s="296">
        <v>17909.724190320005</v>
      </c>
      <c r="G135" s="298">
        <f t="shared" si="28"/>
        <v>41.437464790476376</v>
      </c>
      <c r="I135" s="299">
        <f t="shared" si="35"/>
        <v>133</v>
      </c>
      <c r="J135" s="293">
        <f t="shared" si="32"/>
        <v>2036</v>
      </c>
      <c r="K135" s="186">
        <f t="shared" si="36"/>
        <v>49735</v>
      </c>
      <c r="V135" s="275" t="str">
        <f t="shared" si="33"/>
        <v>Winter</v>
      </c>
      <c r="Z135" s="294">
        <f t="shared" si="29"/>
        <v>2.2200000000000001E-2</v>
      </c>
      <c r="AA135" s="295">
        <f t="shared" si="34"/>
        <v>0</v>
      </c>
      <c r="AD135" s="347">
        <v>632373.64482739998</v>
      </c>
    </row>
    <row r="136" spans="2:30" ht="17.45" hidden="1" customHeight="1" outlineLevel="1">
      <c r="B136" s="186">
        <f t="shared" si="30"/>
        <v>49766</v>
      </c>
      <c r="C136" s="296">
        <v>671295.25398344407</v>
      </c>
      <c r="D136" s="297">
        <f>IF(ISNUMBER($F136),VLOOKUP($J136,'Table 1'!$B$13:$C$41,2,FALSE)/12*1000*Study_MW,"")</f>
        <v>272222.22222222219</v>
      </c>
      <c r="E136" s="297">
        <f t="shared" si="31"/>
        <v>943517.47620566632</v>
      </c>
      <c r="F136" s="296">
        <v>23616.093099490001</v>
      </c>
      <c r="G136" s="298">
        <f t="shared" si="28"/>
        <v>39.952310156926082</v>
      </c>
      <c r="I136" s="299">
        <f t="shared" si="35"/>
        <v>134</v>
      </c>
      <c r="J136" s="293">
        <f t="shared" si="32"/>
        <v>2036</v>
      </c>
      <c r="K136" s="186">
        <f t="shared" si="36"/>
        <v>49766</v>
      </c>
      <c r="V136" s="275" t="str">
        <f t="shared" si="33"/>
        <v>Winter</v>
      </c>
      <c r="Z136" s="294">
        <f t="shared" si="29"/>
        <v>2.2200000000000001E-2</v>
      </c>
      <c r="AA136" s="295">
        <f t="shared" si="34"/>
        <v>0</v>
      </c>
      <c r="AD136" s="347">
        <v>744780.93490601017</v>
      </c>
    </row>
    <row r="137" spans="2:30" ht="17.45" hidden="1" customHeight="1" outlineLevel="1">
      <c r="B137" s="186">
        <f t="shared" si="30"/>
        <v>49796</v>
      </c>
      <c r="C137" s="296">
        <v>576666.69889441249</v>
      </c>
      <c r="D137" s="297">
        <f>IF(ISNUMBER($F137),VLOOKUP($J137,'Table 1'!$B$13:$C$41,2,FALSE)/12*1000*Study_MW,"")</f>
        <v>272222.22222222219</v>
      </c>
      <c r="E137" s="297">
        <f t="shared" si="31"/>
        <v>848888.92111663474</v>
      </c>
      <c r="F137" s="296">
        <v>22436.177659589997</v>
      </c>
      <c r="G137" s="298">
        <f t="shared" si="28"/>
        <v>37.835719345616354</v>
      </c>
      <c r="I137" s="299">
        <f t="shared" si="35"/>
        <v>135</v>
      </c>
      <c r="J137" s="293">
        <f t="shared" si="32"/>
        <v>2036</v>
      </c>
      <c r="K137" s="186">
        <f t="shared" si="36"/>
        <v>49796</v>
      </c>
      <c r="V137" s="275" t="str">
        <f t="shared" si="33"/>
        <v>Winter</v>
      </c>
      <c r="Z137" s="294">
        <f t="shared" si="29"/>
        <v>2.2200000000000001E-2</v>
      </c>
      <c r="AA137" s="295">
        <f t="shared" si="34"/>
        <v>0</v>
      </c>
      <c r="AD137" s="347">
        <v>654510.12752838002</v>
      </c>
    </row>
    <row r="138" spans="2:30" ht="17.45" hidden="1" customHeight="1" outlineLevel="1">
      <c r="B138" s="186">
        <f t="shared" si="30"/>
        <v>49827</v>
      </c>
      <c r="C138" s="296">
        <v>722143.9898856479</v>
      </c>
      <c r="D138" s="297">
        <f>IF(ISNUMBER($F138),VLOOKUP($J138,'Table 1'!$B$13:$C$41,2,FALSE)/12*1000*Study_MW,"")</f>
        <v>272222.22222222219</v>
      </c>
      <c r="E138" s="297">
        <f t="shared" si="31"/>
        <v>994366.21210787003</v>
      </c>
      <c r="F138" s="296">
        <v>20786.51227843</v>
      </c>
      <c r="G138" s="298">
        <f t="shared" si="28"/>
        <v>47.837087760976431</v>
      </c>
      <c r="I138" s="299">
        <f t="shared" si="35"/>
        <v>136</v>
      </c>
      <c r="J138" s="293">
        <f t="shared" si="32"/>
        <v>2036</v>
      </c>
      <c r="K138" s="186">
        <f t="shared" si="36"/>
        <v>49827</v>
      </c>
      <c r="V138" s="275" t="str">
        <f t="shared" si="33"/>
        <v>Summer</v>
      </c>
      <c r="Z138" s="294">
        <f t="shared" si="29"/>
        <v>2.2200000000000001E-2</v>
      </c>
      <c r="AA138" s="295">
        <f t="shared" si="34"/>
        <v>0</v>
      </c>
      <c r="AD138" s="347">
        <v>871959.01820883981</v>
      </c>
    </row>
    <row r="139" spans="2:30" ht="17.45" hidden="1" customHeight="1" outlineLevel="1">
      <c r="B139" s="186">
        <f t="shared" si="30"/>
        <v>49857</v>
      </c>
      <c r="C139" s="296">
        <v>431300.564027566</v>
      </c>
      <c r="D139" s="297">
        <f>IF(ISNUMBER($F139),VLOOKUP($J139,'Table 1'!$B$13:$C$41,2,FALSE)/12*1000*Study_MW,"")</f>
        <v>272222.22222222219</v>
      </c>
      <c r="E139" s="297">
        <f t="shared" si="31"/>
        <v>703522.78624978825</v>
      </c>
      <c r="F139" s="296">
        <v>12715.397384190001</v>
      </c>
      <c r="G139" s="298">
        <f t="shared" si="28"/>
        <v>55.328415227079766</v>
      </c>
      <c r="I139" s="299">
        <f t="shared" si="35"/>
        <v>137</v>
      </c>
      <c r="J139" s="293">
        <f t="shared" si="32"/>
        <v>2036</v>
      </c>
      <c r="K139" s="186">
        <f t="shared" si="36"/>
        <v>49857</v>
      </c>
      <c r="V139" s="275" t="str">
        <f t="shared" si="33"/>
        <v>Summer</v>
      </c>
      <c r="Z139" s="294">
        <f t="shared" si="29"/>
        <v>2.2200000000000001E-2</v>
      </c>
      <c r="AA139" s="295">
        <f t="shared" si="34"/>
        <v>0</v>
      </c>
      <c r="AD139" s="347">
        <v>689889.16245047015</v>
      </c>
    </row>
    <row r="140" spans="2:30" ht="17.45" hidden="1" customHeight="1" outlineLevel="1">
      <c r="B140" s="186">
        <f t="shared" si="30"/>
        <v>49888</v>
      </c>
      <c r="C140" s="296">
        <v>352875.57242068578</v>
      </c>
      <c r="D140" s="297">
        <f>IF(ISNUMBER($F140),VLOOKUP($J140,'Table 1'!$B$13:$C$41,2,FALSE)/12*1000*Study_MW,"")</f>
        <v>272222.22222222219</v>
      </c>
      <c r="E140" s="297">
        <f t="shared" si="31"/>
        <v>625097.79464290803</v>
      </c>
      <c r="F140" s="296">
        <v>12547.135885460002</v>
      </c>
      <c r="G140" s="298">
        <f t="shared" si="28"/>
        <v>49.819958941170803</v>
      </c>
      <c r="I140" s="299">
        <f t="shared" si="35"/>
        <v>138</v>
      </c>
      <c r="J140" s="293">
        <f t="shared" si="32"/>
        <v>2036</v>
      </c>
      <c r="K140" s="186">
        <f t="shared" si="36"/>
        <v>49888</v>
      </c>
      <c r="V140" s="275" t="str">
        <f t="shared" si="33"/>
        <v>Summer</v>
      </c>
      <c r="Z140" s="294">
        <f t="shared" si="29"/>
        <v>2.2200000000000001E-2</v>
      </c>
      <c r="AA140" s="295">
        <f t="shared" si="34"/>
        <v>0</v>
      </c>
      <c r="AD140" s="347">
        <v>808594.67098341021</v>
      </c>
    </row>
    <row r="141" spans="2:30" ht="17.45" hidden="1" customHeight="1" outlineLevel="1">
      <c r="B141" s="186">
        <f t="shared" si="30"/>
        <v>49919</v>
      </c>
      <c r="C141" s="296">
        <v>502766.60575726419</v>
      </c>
      <c r="D141" s="297">
        <f>IF(ISNUMBER($F141),VLOOKUP($J141,'Table 1'!$B$13:$C$41,2,FALSE)/12*1000*Study_MW,"")</f>
        <v>272222.22222222219</v>
      </c>
      <c r="E141" s="297">
        <f t="shared" si="31"/>
        <v>774988.82797948644</v>
      </c>
      <c r="F141" s="296">
        <v>12479.20163089</v>
      </c>
      <c r="G141" s="298">
        <f t="shared" ref="G141:G204" si="37">IF(ISNUMBER($F141),E141/$F141,"")</f>
        <v>62.10243659026569</v>
      </c>
      <c r="I141" s="299">
        <f t="shared" si="35"/>
        <v>139</v>
      </c>
      <c r="J141" s="293">
        <f t="shared" si="32"/>
        <v>2036</v>
      </c>
      <c r="K141" s="186">
        <f t="shared" si="36"/>
        <v>49919</v>
      </c>
      <c r="V141" s="275" t="str">
        <f t="shared" si="33"/>
        <v>Summer</v>
      </c>
      <c r="Z141" s="294">
        <f t="shared" ref="Z141:Z204" si="38">Inflation</f>
        <v>2.2200000000000001E-2</v>
      </c>
      <c r="AA141" s="295">
        <f t="shared" si="34"/>
        <v>0</v>
      </c>
      <c r="AD141" s="347">
        <v>703693.05796069012</v>
      </c>
    </row>
    <row r="142" spans="2:30" ht="17.45" hidden="1" customHeight="1" outlineLevel="1">
      <c r="B142" s="186">
        <f t="shared" ref="B142:B205" si="39">EDATE(B141,1)</f>
        <v>49949</v>
      </c>
      <c r="C142" s="296">
        <v>864834.40290609724</v>
      </c>
      <c r="D142" s="297">
        <f>IF(ISNUMBER($F142),VLOOKUP($J142,'Table 1'!$B$13:$C$41,2,FALSE)/12*1000*Study_MW,"")</f>
        <v>272222.22222222219</v>
      </c>
      <c r="E142" s="297">
        <f t="shared" ref="E142:E205" si="40">IF(ISNUMBER(C142+D142),C142+D142,"")</f>
        <v>1137056.6251283195</v>
      </c>
      <c r="F142" s="296">
        <v>21932.780513570004</v>
      </c>
      <c r="G142" s="298">
        <f t="shared" si="37"/>
        <v>51.842794142074808</v>
      </c>
      <c r="I142" s="299">
        <f t="shared" si="35"/>
        <v>140</v>
      </c>
      <c r="J142" s="293">
        <f t="shared" ref="J142:J192" si="41">YEAR(B142)</f>
        <v>2036</v>
      </c>
      <c r="K142" s="186">
        <f t="shared" si="36"/>
        <v>49949</v>
      </c>
      <c r="V142" s="275" t="str">
        <f t="shared" ref="V142:V205" si="42">IFERROR(IF(AND(MONTH(K142)&gt;=6,MONTH(K142)&lt;=9),"Summer","Winter"),"-")</f>
        <v>Winter</v>
      </c>
      <c r="Z142" s="294">
        <f t="shared" si="38"/>
        <v>2.2200000000000001E-2</v>
      </c>
      <c r="AA142" s="295">
        <f t="shared" ref="AA142:AA205" si="43">IF($AA$8="Solar",IFERROR(IF(J142&gt;$AC$1,-0.005,0),AA130),0)</f>
        <v>0</v>
      </c>
      <c r="AD142" s="347">
        <v>1015559.1513308701</v>
      </c>
    </row>
    <row r="143" spans="2:30" ht="17.45" hidden="1" customHeight="1" outlineLevel="1">
      <c r="B143" s="186">
        <f t="shared" si="39"/>
        <v>49980</v>
      </c>
      <c r="C143" s="296">
        <v>802520.40108686197</v>
      </c>
      <c r="D143" s="297">
        <f>IF(ISNUMBER($F143),VLOOKUP($J143,'Table 1'!$B$13:$C$41,2,FALSE)/12*1000*Study_MW,"")</f>
        <v>272222.22222222219</v>
      </c>
      <c r="E143" s="297">
        <f t="shared" si="40"/>
        <v>1074742.6233090842</v>
      </c>
      <c r="F143" s="296">
        <v>16323.957363990001</v>
      </c>
      <c r="G143" s="298">
        <f t="shared" si="37"/>
        <v>65.838362557839289</v>
      </c>
      <c r="I143" s="299">
        <f t="shared" si="35"/>
        <v>141</v>
      </c>
      <c r="J143" s="293">
        <f t="shared" si="41"/>
        <v>2036</v>
      </c>
      <c r="K143" s="186">
        <f t="shared" si="36"/>
        <v>49980</v>
      </c>
      <c r="V143" s="275" t="str">
        <f t="shared" si="42"/>
        <v>Winter</v>
      </c>
      <c r="Z143" s="294">
        <f t="shared" si="38"/>
        <v>2.2200000000000001E-2</v>
      </c>
      <c r="AA143" s="295">
        <f t="shared" si="43"/>
        <v>0</v>
      </c>
      <c r="AD143" s="347">
        <v>1005041.0224994398</v>
      </c>
    </row>
    <row r="144" spans="2:30" ht="17.45" hidden="1" customHeight="1" outlineLevel="1">
      <c r="B144" s="187">
        <f t="shared" si="39"/>
        <v>50010</v>
      </c>
      <c r="C144" s="303">
        <v>562369.28002263815</v>
      </c>
      <c r="D144" s="304">
        <f>IF(ISNUMBER($F144),VLOOKUP($J144,'Table 1'!$B$13:$C$41,2,FALSE)/12*1000*Study_MW,"")</f>
        <v>272222.22222222219</v>
      </c>
      <c r="E144" s="304">
        <f t="shared" si="40"/>
        <v>834591.5022448604</v>
      </c>
      <c r="F144" s="303">
        <v>12855.478555647589</v>
      </c>
      <c r="G144" s="305">
        <f t="shared" si="37"/>
        <v>64.921076149142095</v>
      </c>
      <c r="I144" s="306">
        <f t="shared" si="35"/>
        <v>142</v>
      </c>
      <c r="J144" s="293">
        <f t="shared" si="41"/>
        <v>2036</v>
      </c>
      <c r="K144" s="187">
        <f t="shared" si="36"/>
        <v>50010</v>
      </c>
      <c r="V144" s="275" t="str">
        <f t="shared" si="42"/>
        <v>Winter</v>
      </c>
      <c r="Z144" s="294">
        <f t="shared" si="38"/>
        <v>2.2200000000000001E-2</v>
      </c>
      <c r="AA144" s="295">
        <f t="shared" si="43"/>
        <v>0</v>
      </c>
      <c r="AD144" s="347">
        <v>763604.62299123104</v>
      </c>
    </row>
    <row r="145" spans="2:30" ht="17.45" hidden="1" customHeight="1" outlineLevel="1">
      <c r="B145" s="185">
        <f t="shared" si="39"/>
        <v>50041</v>
      </c>
      <c r="C145" s="287">
        <v>866057.42016079603</v>
      </c>
      <c r="D145" s="288">
        <f>IF(ISNUMBER($F145),VLOOKUP($J145,'Table 1'!$B$13:$C$41,2,FALSE)/12*1000*Study_MW,"")</f>
        <v>278257.77777777775</v>
      </c>
      <c r="E145" s="289">
        <f t="shared" si="40"/>
        <v>1144315.1979385738</v>
      </c>
      <c r="F145" s="290">
        <v>17943.308888460004</v>
      </c>
      <c r="G145" s="291">
        <f t="shared" si="37"/>
        <v>63.773922917557563</v>
      </c>
      <c r="I145" s="307">
        <f t="shared" si="35"/>
        <v>144</v>
      </c>
      <c r="J145" s="293">
        <f t="shared" si="41"/>
        <v>2037</v>
      </c>
      <c r="K145" s="185">
        <f t="shared" si="36"/>
        <v>50041</v>
      </c>
      <c r="V145" s="275" t="str">
        <f t="shared" si="42"/>
        <v>Winter</v>
      </c>
      <c r="Z145" s="294">
        <f t="shared" si="38"/>
        <v>2.2200000000000001E-2</v>
      </c>
      <c r="AA145" s="295">
        <f t="shared" si="43"/>
        <v>0</v>
      </c>
      <c r="AD145" s="347">
        <v>1138715.0319964103</v>
      </c>
    </row>
    <row r="146" spans="2:30" ht="17.45" hidden="1" customHeight="1" outlineLevel="1">
      <c r="B146" s="186">
        <f t="shared" si="39"/>
        <v>50072</v>
      </c>
      <c r="C146" s="296">
        <v>975721.94633963227</v>
      </c>
      <c r="D146" s="297">
        <f>IF(ISNUMBER($F146),VLOOKUP($J146,'Table 1'!$B$13:$C$41,2,FALSE)/12*1000*Study_MW,"")</f>
        <v>278257.77777777775</v>
      </c>
      <c r="E146" s="297">
        <f t="shared" si="40"/>
        <v>1253979.7241174099</v>
      </c>
      <c r="F146" s="296">
        <v>20134.57358511</v>
      </c>
      <c r="G146" s="298">
        <f t="shared" si="37"/>
        <v>62.27992456938636</v>
      </c>
      <c r="I146" s="299">
        <f t="shared" si="35"/>
        <v>145</v>
      </c>
      <c r="J146" s="293">
        <f t="shared" si="41"/>
        <v>2037</v>
      </c>
      <c r="K146" s="186">
        <f t="shared" si="36"/>
        <v>50072</v>
      </c>
      <c r="V146" s="275" t="str">
        <f t="shared" si="42"/>
        <v>Winter</v>
      </c>
      <c r="Z146" s="294">
        <f t="shared" si="38"/>
        <v>2.2200000000000001E-2</v>
      </c>
      <c r="AA146" s="295">
        <f t="shared" si="43"/>
        <v>0</v>
      </c>
      <c r="AD146" s="347">
        <v>1216798.2281412901</v>
      </c>
    </row>
    <row r="147" spans="2:30" ht="17.45" hidden="1" customHeight="1" outlineLevel="1">
      <c r="B147" s="186">
        <f t="shared" si="39"/>
        <v>50100</v>
      </c>
      <c r="C147" s="296">
        <v>563031.42339865735</v>
      </c>
      <c r="D147" s="297">
        <f>IF(ISNUMBER($F147),VLOOKUP($J147,'Table 1'!$B$13:$C$41,2,FALSE)/12*1000*Study_MW,"")</f>
        <v>278257.77777777775</v>
      </c>
      <c r="E147" s="297">
        <f t="shared" si="40"/>
        <v>841289.2011764351</v>
      </c>
      <c r="F147" s="296">
        <v>18349.125429259999</v>
      </c>
      <c r="G147" s="298">
        <f t="shared" si="37"/>
        <v>45.849008140458466</v>
      </c>
      <c r="I147" s="299">
        <f t="shared" si="35"/>
        <v>146</v>
      </c>
      <c r="J147" s="293">
        <f t="shared" si="41"/>
        <v>2037</v>
      </c>
      <c r="K147" s="186">
        <f t="shared" si="36"/>
        <v>50100</v>
      </c>
      <c r="V147" s="275" t="str">
        <f t="shared" si="42"/>
        <v>Winter</v>
      </c>
      <c r="Z147" s="294">
        <f t="shared" si="38"/>
        <v>2.2200000000000001E-2</v>
      </c>
      <c r="AA147" s="295">
        <f t="shared" si="43"/>
        <v>0</v>
      </c>
      <c r="AD147" s="347">
        <v>742834.07918588002</v>
      </c>
    </row>
    <row r="148" spans="2:30" ht="17.45" hidden="1" customHeight="1" outlineLevel="1">
      <c r="B148" s="186">
        <f t="shared" si="39"/>
        <v>50131</v>
      </c>
      <c r="C148" s="296">
        <v>577321.97263612761</v>
      </c>
      <c r="D148" s="297">
        <f>IF(ISNUMBER($F148),VLOOKUP($J148,'Table 1'!$B$13:$C$41,2,FALSE)/12*1000*Study_MW,"")</f>
        <v>278257.77777777775</v>
      </c>
      <c r="E148" s="297">
        <f t="shared" si="40"/>
        <v>855579.75041390536</v>
      </c>
      <c r="F148" s="296">
        <v>20661.518720159998</v>
      </c>
      <c r="G148" s="298">
        <f t="shared" si="37"/>
        <v>41.409335005906087</v>
      </c>
      <c r="I148" s="299">
        <f t="shared" si="35"/>
        <v>147</v>
      </c>
      <c r="J148" s="293">
        <f t="shared" si="41"/>
        <v>2037</v>
      </c>
      <c r="K148" s="186">
        <f t="shared" si="36"/>
        <v>50131</v>
      </c>
      <c r="V148" s="275" t="str">
        <f t="shared" si="42"/>
        <v>Winter</v>
      </c>
      <c r="Z148" s="294">
        <f t="shared" si="38"/>
        <v>2.2200000000000001E-2</v>
      </c>
      <c r="AA148" s="295">
        <f t="shared" si="43"/>
        <v>0</v>
      </c>
      <c r="AD148" s="347">
        <v>667874.07698941987</v>
      </c>
    </row>
    <row r="149" spans="2:30" ht="17.45" hidden="1" customHeight="1" outlineLevel="1">
      <c r="B149" s="186">
        <f t="shared" si="39"/>
        <v>50161</v>
      </c>
      <c r="C149" s="296">
        <v>755366.97043973254</v>
      </c>
      <c r="D149" s="297">
        <f>IF(ISNUMBER($F149),VLOOKUP($J149,'Table 1'!$B$13:$C$41,2,FALSE)/12*1000*Study_MW,"")</f>
        <v>278257.77777777775</v>
      </c>
      <c r="E149" s="297">
        <f t="shared" si="40"/>
        <v>1033624.7482175103</v>
      </c>
      <c r="F149" s="296">
        <v>22464.29332414001</v>
      </c>
      <c r="G149" s="298">
        <f t="shared" si="37"/>
        <v>46.011896893581898</v>
      </c>
      <c r="I149" s="299">
        <f t="shared" si="35"/>
        <v>148</v>
      </c>
      <c r="J149" s="293">
        <f t="shared" si="41"/>
        <v>2037</v>
      </c>
      <c r="K149" s="186">
        <f t="shared" si="36"/>
        <v>50161</v>
      </c>
      <c r="V149" s="275" t="str">
        <f t="shared" si="42"/>
        <v>Winter</v>
      </c>
      <c r="Z149" s="294">
        <f t="shared" si="38"/>
        <v>2.2200000000000001E-2</v>
      </c>
      <c r="AA149" s="295">
        <f t="shared" si="43"/>
        <v>0</v>
      </c>
      <c r="AD149" s="347">
        <v>866168.75089066999</v>
      </c>
    </row>
    <row r="150" spans="2:30" ht="17.45" hidden="1" customHeight="1" outlineLevel="1">
      <c r="B150" s="186">
        <f t="shared" si="39"/>
        <v>50192</v>
      </c>
      <c r="C150" s="296">
        <v>769202.13206183689</v>
      </c>
      <c r="D150" s="297">
        <f>IF(ISNUMBER($F150),VLOOKUP($J150,'Table 1'!$B$13:$C$41,2,FALSE)/12*1000*Study_MW,"")</f>
        <v>278257.77777777775</v>
      </c>
      <c r="E150" s="297">
        <f t="shared" si="40"/>
        <v>1047459.9098396146</v>
      </c>
      <c r="F150" s="296">
        <v>21524.017336009998</v>
      </c>
      <c r="G150" s="298">
        <f t="shared" si="37"/>
        <v>48.6647029449841</v>
      </c>
      <c r="I150" s="299">
        <f t="shared" si="35"/>
        <v>149</v>
      </c>
      <c r="J150" s="293">
        <f t="shared" si="41"/>
        <v>2037</v>
      </c>
      <c r="K150" s="186">
        <f t="shared" si="36"/>
        <v>50192</v>
      </c>
      <c r="V150" s="275" t="str">
        <f t="shared" si="42"/>
        <v>Summer</v>
      </c>
      <c r="Z150" s="294">
        <f t="shared" si="38"/>
        <v>2.2200000000000001E-2</v>
      </c>
      <c r="AA150" s="295">
        <f t="shared" si="43"/>
        <v>0</v>
      </c>
      <c r="AD150" s="347">
        <v>847025.86395217991</v>
      </c>
    </row>
    <row r="151" spans="2:30" ht="17.45" hidden="1" customHeight="1" outlineLevel="1">
      <c r="B151" s="186">
        <f t="shared" si="39"/>
        <v>50222</v>
      </c>
      <c r="C151" s="296">
        <v>589476.04954525013</v>
      </c>
      <c r="D151" s="297">
        <f>IF(ISNUMBER($F151),VLOOKUP($J151,'Table 1'!$B$13:$C$41,2,FALSE)/12*1000*Study_MW,"")</f>
        <v>278257.77777777775</v>
      </c>
      <c r="E151" s="297">
        <f t="shared" si="40"/>
        <v>867733.82732302789</v>
      </c>
      <c r="F151" s="296">
        <v>15147.51103519</v>
      </c>
      <c r="G151" s="298">
        <f t="shared" si="37"/>
        <v>57.285571557409568</v>
      </c>
      <c r="I151" s="299">
        <f t="shared" si="35"/>
        <v>150</v>
      </c>
      <c r="J151" s="293">
        <f t="shared" si="41"/>
        <v>2037</v>
      </c>
      <c r="K151" s="186">
        <f t="shared" si="36"/>
        <v>50222</v>
      </c>
      <c r="V151" s="275" t="str">
        <f t="shared" si="42"/>
        <v>Summer</v>
      </c>
      <c r="Z151" s="294">
        <f t="shared" si="38"/>
        <v>2.2200000000000001E-2</v>
      </c>
      <c r="AA151" s="295">
        <f t="shared" si="43"/>
        <v>0</v>
      </c>
      <c r="AD151" s="347">
        <v>837927.17986993992</v>
      </c>
    </row>
    <row r="152" spans="2:30" ht="17.45" hidden="1" customHeight="1" outlineLevel="1">
      <c r="B152" s="186">
        <f t="shared" si="39"/>
        <v>50253</v>
      </c>
      <c r="C152" s="296">
        <v>275568.16044592415</v>
      </c>
      <c r="D152" s="297">
        <f>IF(ISNUMBER($F152),VLOOKUP($J152,'Table 1'!$B$13:$C$41,2,FALSE)/12*1000*Study_MW,"")</f>
        <v>278257.77777777775</v>
      </c>
      <c r="E152" s="297">
        <f t="shared" si="40"/>
        <v>553825.9382237019</v>
      </c>
      <c r="F152" s="296">
        <v>12548.558045939999</v>
      </c>
      <c r="G152" s="298">
        <f t="shared" si="37"/>
        <v>44.134627755329113</v>
      </c>
      <c r="I152" s="299">
        <f t="shared" si="35"/>
        <v>151</v>
      </c>
      <c r="J152" s="293">
        <f t="shared" si="41"/>
        <v>2037</v>
      </c>
      <c r="K152" s="186">
        <f t="shared" si="36"/>
        <v>50253</v>
      </c>
      <c r="V152" s="275" t="str">
        <f t="shared" si="42"/>
        <v>Summer</v>
      </c>
      <c r="Z152" s="294">
        <f t="shared" si="38"/>
        <v>2.2200000000000001E-2</v>
      </c>
      <c r="AA152" s="295">
        <f t="shared" si="43"/>
        <v>0</v>
      </c>
      <c r="AD152" s="347">
        <v>849611.58239701029</v>
      </c>
    </row>
    <row r="153" spans="2:30" ht="17.45" hidden="1" customHeight="1" outlineLevel="1">
      <c r="B153" s="186">
        <f t="shared" si="39"/>
        <v>50284</v>
      </c>
      <c r="C153" s="296">
        <v>422004.78093972197</v>
      </c>
      <c r="D153" s="297">
        <f>IF(ISNUMBER($F153),VLOOKUP($J153,'Table 1'!$B$13:$C$41,2,FALSE)/12*1000*Study_MW,"")</f>
        <v>278257.77777777775</v>
      </c>
      <c r="E153" s="297">
        <f t="shared" si="40"/>
        <v>700262.55871749972</v>
      </c>
      <c r="F153" s="296">
        <v>12296.434959349997</v>
      </c>
      <c r="G153" s="298">
        <f t="shared" si="37"/>
        <v>56.948421313368726</v>
      </c>
      <c r="I153" s="299">
        <f t="shared" si="35"/>
        <v>152</v>
      </c>
      <c r="J153" s="293">
        <f t="shared" si="41"/>
        <v>2037</v>
      </c>
      <c r="K153" s="186">
        <f t="shared" si="36"/>
        <v>50284</v>
      </c>
      <c r="V153" s="275" t="str">
        <f t="shared" si="42"/>
        <v>Summer</v>
      </c>
      <c r="Z153" s="294">
        <f t="shared" si="38"/>
        <v>2.2200000000000001E-2</v>
      </c>
      <c r="AA153" s="295">
        <f t="shared" si="43"/>
        <v>0</v>
      </c>
      <c r="AD153" s="347">
        <v>701207.64444805006</v>
      </c>
    </row>
    <row r="154" spans="2:30" ht="17.45" hidden="1" customHeight="1" outlineLevel="1">
      <c r="B154" s="186">
        <f t="shared" si="39"/>
        <v>50314</v>
      </c>
      <c r="C154" s="296">
        <v>956450.93782244658</v>
      </c>
      <c r="D154" s="297">
        <f>IF(ISNUMBER($F154),VLOOKUP($J154,'Table 1'!$B$13:$C$41,2,FALSE)/12*1000*Study_MW,"")</f>
        <v>278257.77777777775</v>
      </c>
      <c r="E154" s="297">
        <f t="shared" si="40"/>
        <v>1234708.7156002242</v>
      </c>
      <c r="F154" s="296">
        <v>22788.968736790001</v>
      </c>
      <c r="G154" s="298">
        <f t="shared" si="37"/>
        <v>54.180104850770981</v>
      </c>
      <c r="I154" s="299">
        <f t="shared" ref="I154:I217" si="44">I142+13</f>
        <v>153</v>
      </c>
      <c r="J154" s="293">
        <f t="shared" si="41"/>
        <v>2037</v>
      </c>
      <c r="K154" s="186">
        <f t="shared" ref="K154:K192" si="45">IF(ISNUMBER(F154),IF(F154&lt;&gt;0,B154,""),"")</f>
        <v>50314</v>
      </c>
      <c r="V154" s="275" t="str">
        <f t="shared" si="42"/>
        <v>Winter</v>
      </c>
      <c r="Z154" s="294">
        <f t="shared" si="38"/>
        <v>2.2200000000000001E-2</v>
      </c>
      <c r="AA154" s="295">
        <f t="shared" si="43"/>
        <v>0</v>
      </c>
      <c r="AD154" s="347">
        <v>1069145.9830275802</v>
      </c>
    </row>
    <row r="155" spans="2:30" ht="17.45" hidden="1" customHeight="1" outlineLevel="1">
      <c r="B155" s="186">
        <f t="shared" si="39"/>
        <v>50345</v>
      </c>
      <c r="C155" s="296">
        <v>642760.53933243384</v>
      </c>
      <c r="D155" s="297">
        <f>IF(ISNUMBER($F155),VLOOKUP($J155,'Table 1'!$B$13:$C$41,2,FALSE)/12*1000*Study_MW,"")</f>
        <v>278257.77777777775</v>
      </c>
      <c r="E155" s="297">
        <f t="shared" si="40"/>
        <v>921018.31711021159</v>
      </c>
      <c r="F155" s="296">
        <v>13895.100906430001</v>
      </c>
      <c r="G155" s="298">
        <f t="shared" si="37"/>
        <v>66.283672447747932</v>
      </c>
      <c r="I155" s="299">
        <f t="shared" si="44"/>
        <v>154</v>
      </c>
      <c r="J155" s="293">
        <f t="shared" si="41"/>
        <v>2037</v>
      </c>
      <c r="K155" s="186">
        <f t="shared" si="45"/>
        <v>50345</v>
      </c>
      <c r="V155" s="275" t="str">
        <f t="shared" si="42"/>
        <v>Winter</v>
      </c>
      <c r="Z155" s="294">
        <f t="shared" si="38"/>
        <v>2.2200000000000001E-2</v>
      </c>
      <c r="AA155" s="295">
        <f t="shared" si="43"/>
        <v>0</v>
      </c>
      <c r="AD155" s="347">
        <v>878303.81557274994</v>
      </c>
    </row>
    <row r="156" spans="2:30" ht="17.45" hidden="1" customHeight="1" outlineLevel="1">
      <c r="B156" s="187">
        <f t="shared" si="39"/>
        <v>50375</v>
      </c>
      <c r="C156" s="303">
        <v>743824.74668098835</v>
      </c>
      <c r="D156" s="304">
        <f>IF(ISNUMBER($F156),VLOOKUP($J156,'Table 1'!$B$13:$C$41,2,FALSE)/12*1000*Study_MW,"")</f>
        <v>278257.77777777775</v>
      </c>
      <c r="E156" s="304">
        <f t="shared" si="40"/>
        <v>1022082.5244587661</v>
      </c>
      <c r="F156" s="303">
        <v>15313.756105619334</v>
      </c>
      <c r="G156" s="305">
        <f t="shared" si="37"/>
        <v>66.742771493122859</v>
      </c>
      <c r="I156" s="306">
        <f t="shared" si="44"/>
        <v>155</v>
      </c>
      <c r="J156" s="293">
        <f t="shared" si="41"/>
        <v>2037</v>
      </c>
      <c r="K156" s="187">
        <f t="shared" si="45"/>
        <v>50375</v>
      </c>
      <c r="V156" s="275" t="str">
        <f t="shared" si="42"/>
        <v>Winter</v>
      </c>
      <c r="Z156" s="294">
        <f t="shared" si="38"/>
        <v>2.2200000000000001E-2</v>
      </c>
      <c r="AA156" s="295">
        <f t="shared" si="43"/>
        <v>0</v>
      </c>
      <c r="AD156" s="347">
        <v>1000898.4157482586</v>
      </c>
    </row>
    <row r="157" spans="2:30" ht="17.45" hidden="1" customHeight="1" outlineLevel="1">
      <c r="B157" s="185">
        <f t="shared" si="39"/>
        <v>50406</v>
      </c>
      <c r="C157" s="287">
        <v>938756.13235883065</v>
      </c>
      <c r="D157" s="288">
        <f>IF(ISNUMBER($F157),VLOOKUP($J157,'Table 1'!$B$13:$C$41,2,FALSE)/12*1000*Study_MW,"")</f>
        <v>284442.66666666663</v>
      </c>
      <c r="E157" s="289">
        <f t="shared" si="40"/>
        <v>1223198.7990254974</v>
      </c>
      <c r="F157" s="290">
        <v>18859.187018470002</v>
      </c>
      <c r="G157" s="291">
        <f t="shared" si="37"/>
        <v>64.859572039215735</v>
      </c>
      <c r="I157" s="307">
        <f t="shared" si="44"/>
        <v>157</v>
      </c>
      <c r="J157" s="293">
        <f t="shared" si="41"/>
        <v>2038</v>
      </c>
      <c r="K157" s="185">
        <f t="shared" si="45"/>
        <v>50406</v>
      </c>
      <c r="V157" s="275" t="str">
        <f t="shared" si="42"/>
        <v>Winter</v>
      </c>
      <c r="Z157" s="294">
        <f t="shared" si="38"/>
        <v>2.2200000000000001E-2</v>
      </c>
      <c r="AA157" s="295">
        <f t="shared" si="43"/>
        <v>0</v>
      </c>
      <c r="AD157" s="347">
        <v>1163956.6467628302</v>
      </c>
    </row>
    <row r="158" spans="2:30" ht="17.45" hidden="1" customHeight="1" outlineLevel="1">
      <c r="B158" s="186">
        <f t="shared" si="39"/>
        <v>50437</v>
      </c>
      <c r="C158" s="296">
        <v>865493.5197186569</v>
      </c>
      <c r="D158" s="297">
        <f>IF(ISNUMBER($F158),VLOOKUP($J158,'Table 1'!$B$13:$C$41,2,FALSE)/12*1000*Study_MW,"")</f>
        <v>284442.66666666663</v>
      </c>
      <c r="E158" s="297">
        <f t="shared" si="40"/>
        <v>1149936.1863853235</v>
      </c>
      <c r="F158" s="296">
        <v>19028.330878009998</v>
      </c>
      <c r="G158" s="298">
        <f t="shared" si="37"/>
        <v>60.432845831698351</v>
      </c>
      <c r="I158" s="299">
        <f t="shared" si="44"/>
        <v>158</v>
      </c>
      <c r="J158" s="293">
        <f t="shared" si="41"/>
        <v>2038</v>
      </c>
      <c r="K158" s="186">
        <f t="shared" si="45"/>
        <v>50437</v>
      </c>
      <c r="V158" s="275" t="str">
        <f t="shared" si="42"/>
        <v>Winter</v>
      </c>
      <c r="Z158" s="294">
        <f t="shared" si="38"/>
        <v>2.2200000000000001E-2</v>
      </c>
      <c r="AA158" s="295">
        <f t="shared" si="43"/>
        <v>0</v>
      </c>
      <c r="AD158" s="347">
        <v>1199524.2607181396</v>
      </c>
    </row>
    <row r="159" spans="2:30" ht="17.45" hidden="1" customHeight="1" outlineLevel="1">
      <c r="B159" s="186">
        <f t="shared" si="39"/>
        <v>50465</v>
      </c>
      <c r="C159" s="296">
        <v>557329.6037560649</v>
      </c>
      <c r="D159" s="297">
        <f>IF(ISNUMBER($F159),VLOOKUP($J159,'Table 1'!$B$13:$C$41,2,FALSE)/12*1000*Study_MW,"")</f>
        <v>284442.66666666663</v>
      </c>
      <c r="E159" s="297">
        <f t="shared" si="40"/>
        <v>841772.27042273153</v>
      </c>
      <c r="F159" s="296">
        <v>18220.792456949996</v>
      </c>
      <c r="G159" s="298">
        <f t="shared" si="37"/>
        <v>46.198444574327638</v>
      </c>
      <c r="I159" s="299">
        <f t="shared" si="44"/>
        <v>159</v>
      </c>
      <c r="J159" s="293">
        <f t="shared" si="41"/>
        <v>2038</v>
      </c>
      <c r="K159" s="186">
        <f t="shared" si="45"/>
        <v>50465</v>
      </c>
      <c r="V159" s="275" t="str">
        <f t="shared" si="42"/>
        <v>Winter</v>
      </c>
      <c r="Z159" s="294">
        <f t="shared" si="38"/>
        <v>2.2200000000000001E-2</v>
      </c>
      <c r="AA159" s="295">
        <f t="shared" si="43"/>
        <v>0</v>
      </c>
      <c r="AD159" s="347">
        <v>732405.00647747994</v>
      </c>
    </row>
    <row r="160" spans="2:30" ht="17.45" hidden="1" customHeight="1" outlineLevel="1">
      <c r="B160" s="186">
        <f t="shared" si="39"/>
        <v>50496</v>
      </c>
      <c r="C160" s="296">
        <v>627937.63564435358</v>
      </c>
      <c r="D160" s="297">
        <f>IF(ISNUMBER($F160),VLOOKUP($J160,'Table 1'!$B$13:$C$41,2,FALSE)/12*1000*Study_MW,"")</f>
        <v>284442.66666666663</v>
      </c>
      <c r="E160" s="297">
        <f t="shared" si="40"/>
        <v>912380.3023110202</v>
      </c>
      <c r="F160" s="296">
        <v>21563.636811889999</v>
      </c>
      <c r="G160" s="298">
        <f t="shared" si="37"/>
        <v>42.311058671139449</v>
      </c>
      <c r="I160" s="299">
        <f t="shared" si="44"/>
        <v>160</v>
      </c>
      <c r="J160" s="293">
        <f t="shared" si="41"/>
        <v>2038</v>
      </c>
      <c r="K160" s="186">
        <f t="shared" si="45"/>
        <v>50496</v>
      </c>
      <c r="V160" s="275" t="str">
        <f t="shared" si="42"/>
        <v>Winter</v>
      </c>
      <c r="Z160" s="294">
        <f t="shared" si="38"/>
        <v>2.2200000000000001E-2</v>
      </c>
      <c r="AA160" s="295">
        <f t="shared" si="43"/>
        <v>0</v>
      </c>
      <c r="AD160" s="347">
        <v>700527.71358753997</v>
      </c>
    </row>
    <row r="161" spans="2:30" ht="17.45" hidden="1" customHeight="1" outlineLevel="1">
      <c r="B161" s="186">
        <f t="shared" si="39"/>
        <v>50526</v>
      </c>
      <c r="C161" s="296">
        <v>740578.56137159979</v>
      </c>
      <c r="D161" s="297">
        <f>IF(ISNUMBER($F161),VLOOKUP($J161,'Table 1'!$B$13:$C$41,2,FALSE)/12*1000*Study_MW,"")</f>
        <v>284442.66666666663</v>
      </c>
      <c r="E161" s="297">
        <f t="shared" si="40"/>
        <v>1025021.2280382664</v>
      </c>
      <c r="F161" s="296">
        <v>22851.848039540004</v>
      </c>
      <c r="G161" s="298">
        <f t="shared" si="37"/>
        <v>44.855069325889829</v>
      </c>
      <c r="I161" s="299">
        <f t="shared" si="44"/>
        <v>161</v>
      </c>
      <c r="J161" s="293">
        <f t="shared" si="41"/>
        <v>2038</v>
      </c>
      <c r="K161" s="186">
        <f t="shared" si="45"/>
        <v>50526</v>
      </c>
      <c r="V161" s="275" t="str">
        <f t="shared" si="42"/>
        <v>Winter</v>
      </c>
      <c r="Z161" s="294">
        <f t="shared" si="38"/>
        <v>2.2200000000000001E-2</v>
      </c>
      <c r="AA161" s="295">
        <f t="shared" si="43"/>
        <v>0</v>
      </c>
      <c r="AD161" s="347">
        <v>825433.23068386002</v>
      </c>
    </row>
    <row r="162" spans="2:30" ht="17.45" hidden="1" customHeight="1" outlineLevel="1">
      <c r="B162" s="186">
        <f t="shared" si="39"/>
        <v>50557</v>
      </c>
      <c r="C162" s="296">
        <v>806971.96061316936</v>
      </c>
      <c r="D162" s="297">
        <f>IF(ISNUMBER($F162),VLOOKUP($J162,'Table 1'!$B$13:$C$41,2,FALSE)/12*1000*Study_MW,"")</f>
        <v>284442.66666666663</v>
      </c>
      <c r="E162" s="297">
        <f t="shared" si="40"/>
        <v>1091414.627279836</v>
      </c>
      <c r="F162" s="296">
        <v>21964.394641799998</v>
      </c>
      <c r="G162" s="298">
        <f t="shared" si="37"/>
        <v>49.690175626456224</v>
      </c>
      <c r="I162" s="299">
        <f t="shared" si="44"/>
        <v>162</v>
      </c>
      <c r="J162" s="293">
        <f t="shared" si="41"/>
        <v>2038</v>
      </c>
      <c r="K162" s="186">
        <f t="shared" si="45"/>
        <v>50557</v>
      </c>
      <c r="V162" s="275" t="str">
        <f t="shared" si="42"/>
        <v>Summer</v>
      </c>
      <c r="Z162" s="294">
        <f t="shared" si="38"/>
        <v>2.2200000000000001E-2</v>
      </c>
      <c r="AA162" s="295">
        <f t="shared" si="43"/>
        <v>0</v>
      </c>
      <c r="AD162" s="347">
        <v>911778.55063940003</v>
      </c>
    </row>
    <row r="163" spans="2:30" ht="17.45" hidden="1" customHeight="1" outlineLevel="1">
      <c r="B163" s="186">
        <f t="shared" si="39"/>
        <v>50587</v>
      </c>
      <c r="C163" s="296">
        <v>528567.9594995454</v>
      </c>
      <c r="D163" s="297">
        <f>IF(ISNUMBER($F163),VLOOKUP($J163,'Table 1'!$B$13:$C$41,2,FALSE)/12*1000*Study_MW,"")</f>
        <v>284442.66666666663</v>
      </c>
      <c r="E163" s="297">
        <f t="shared" si="40"/>
        <v>813010.62616621202</v>
      </c>
      <c r="F163" s="296">
        <v>13744.05520639</v>
      </c>
      <c r="G163" s="298">
        <f t="shared" si="37"/>
        <v>59.153620525928943</v>
      </c>
      <c r="I163" s="299">
        <f t="shared" si="44"/>
        <v>163</v>
      </c>
      <c r="J163" s="293">
        <f t="shared" si="41"/>
        <v>2038</v>
      </c>
      <c r="K163" s="186">
        <f t="shared" si="45"/>
        <v>50587</v>
      </c>
      <c r="V163" s="275" t="str">
        <f t="shared" si="42"/>
        <v>Summer</v>
      </c>
      <c r="Z163" s="294">
        <f t="shared" si="38"/>
        <v>2.2200000000000001E-2</v>
      </c>
      <c r="AA163" s="295">
        <f t="shared" si="43"/>
        <v>0</v>
      </c>
      <c r="AD163" s="347">
        <v>768673.10530792014</v>
      </c>
    </row>
    <row r="164" spans="2:30" ht="17.45" hidden="1" customHeight="1" outlineLevel="1">
      <c r="B164" s="186">
        <f t="shared" si="39"/>
        <v>50618</v>
      </c>
      <c r="C164" s="296">
        <v>287809.94131366606</v>
      </c>
      <c r="D164" s="297">
        <f>IF(ISNUMBER($F164),VLOOKUP($J164,'Table 1'!$B$13:$C$41,2,FALSE)/12*1000*Study_MW,"")</f>
        <v>284442.66666666663</v>
      </c>
      <c r="E164" s="297">
        <f t="shared" si="40"/>
        <v>572252.60798033269</v>
      </c>
      <c r="F164" s="296">
        <v>12918.0700767</v>
      </c>
      <c r="G164" s="298">
        <f t="shared" si="37"/>
        <v>44.298614621427888</v>
      </c>
      <c r="I164" s="299">
        <f t="shared" si="44"/>
        <v>164</v>
      </c>
      <c r="J164" s="293">
        <f t="shared" si="41"/>
        <v>2038</v>
      </c>
      <c r="K164" s="186">
        <f t="shared" si="45"/>
        <v>50618</v>
      </c>
      <c r="V164" s="275" t="str">
        <f t="shared" si="42"/>
        <v>Summer</v>
      </c>
      <c r="Z164" s="294">
        <f t="shared" si="38"/>
        <v>2.2200000000000001E-2</v>
      </c>
      <c r="AA164" s="295">
        <f t="shared" si="43"/>
        <v>0</v>
      </c>
      <c r="AD164" s="347">
        <v>876542.34940127993</v>
      </c>
    </row>
    <row r="165" spans="2:30" ht="17.45" hidden="1" customHeight="1" outlineLevel="1">
      <c r="B165" s="186">
        <f t="shared" si="39"/>
        <v>50649</v>
      </c>
      <c r="C165" s="296">
        <v>418150.24180788896</v>
      </c>
      <c r="D165" s="297">
        <f>IF(ISNUMBER($F165),VLOOKUP($J165,'Table 1'!$B$13:$C$41,2,FALSE)/12*1000*Study_MW,"")</f>
        <v>284442.66666666663</v>
      </c>
      <c r="E165" s="297">
        <f t="shared" si="40"/>
        <v>702592.90847455559</v>
      </c>
      <c r="F165" s="296">
        <v>11871.487103879999</v>
      </c>
      <c r="G165" s="298">
        <f t="shared" si="37"/>
        <v>59.1832263579619</v>
      </c>
      <c r="I165" s="299">
        <f t="shared" si="44"/>
        <v>165</v>
      </c>
      <c r="J165" s="293">
        <f t="shared" si="41"/>
        <v>2038</v>
      </c>
      <c r="K165" s="186">
        <f t="shared" si="45"/>
        <v>50649</v>
      </c>
      <c r="V165" s="275" t="str">
        <f t="shared" si="42"/>
        <v>Summer</v>
      </c>
      <c r="Z165" s="294">
        <f t="shared" si="38"/>
        <v>2.2200000000000001E-2</v>
      </c>
      <c r="AA165" s="295">
        <f t="shared" si="43"/>
        <v>0</v>
      </c>
      <c r="AD165" s="347">
        <v>663397.75919193006</v>
      </c>
    </row>
    <row r="166" spans="2:30" ht="17.45" hidden="1" customHeight="1" outlineLevel="1">
      <c r="B166" s="186">
        <f t="shared" si="39"/>
        <v>50679</v>
      </c>
      <c r="C166" s="296">
        <v>1021115.9527098789</v>
      </c>
      <c r="D166" s="297">
        <f>IF(ISNUMBER($F166),VLOOKUP($J166,'Table 1'!$B$13:$C$41,2,FALSE)/12*1000*Study_MW,"")</f>
        <v>284442.66666666663</v>
      </c>
      <c r="E166" s="297">
        <f t="shared" si="40"/>
        <v>1305558.6193765455</v>
      </c>
      <c r="F166" s="296">
        <v>23100.34310405</v>
      </c>
      <c r="G166" s="298">
        <f t="shared" si="37"/>
        <v>56.516849706342775</v>
      </c>
      <c r="I166" s="299">
        <f t="shared" si="44"/>
        <v>166</v>
      </c>
      <c r="J166" s="293">
        <f t="shared" si="41"/>
        <v>2038</v>
      </c>
      <c r="K166" s="186">
        <f t="shared" si="45"/>
        <v>50679</v>
      </c>
      <c r="V166" s="275" t="str">
        <f t="shared" si="42"/>
        <v>Winter</v>
      </c>
      <c r="Z166" s="294">
        <f t="shared" si="38"/>
        <v>2.2200000000000001E-2</v>
      </c>
      <c r="AA166" s="295">
        <f t="shared" si="43"/>
        <v>0</v>
      </c>
      <c r="AD166" s="347">
        <v>1135297.7178269399</v>
      </c>
    </row>
    <row r="167" spans="2:30" ht="17.45" hidden="1" customHeight="1" outlineLevel="1">
      <c r="B167" s="186">
        <f t="shared" si="39"/>
        <v>50710</v>
      </c>
      <c r="C167" s="296">
        <v>635458.15882648458</v>
      </c>
      <c r="D167" s="297">
        <f>IF(ISNUMBER($F167),VLOOKUP($J167,'Table 1'!$B$13:$C$41,2,FALSE)/12*1000*Study_MW,"")</f>
        <v>284442.66666666663</v>
      </c>
      <c r="E167" s="297">
        <f t="shared" si="40"/>
        <v>919900.82549315121</v>
      </c>
      <c r="F167" s="296">
        <v>13580.216540810003</v>
      </c>
      <c r="G167" s="298">
        <f t="shared" si="37"/>
        <v>67.738303194853401</v>
      </c>
      <c r="I167" s="299">
        <f t="shared" si="44"/>
        <v>167</v>
      </c>
      <c r="J167" s="293">
        <f t="shared" si="41"/>
        <v>2038</v>
      </c>
      <c r="K167" s="186">
        <f t="shared" si="45"/>
        <v>50710</v>
      </c>
      <c r="V167" s="275" t="str">
        <f t="shared" si="42"/>
        <v>Winter</v>
      </c>
      <c r="Z167" s="294">
        <f t="shared" si="38"/>
        <v>2.2200000000000001E-2</v>
      </c>
      <c r="AA167" s="295">
        <f t="shared" si="43"/>
        <v>0</v>
      </c>
      <c r="AD167" s="347">
        <v>883639.13106522011</v>
      </c>
    </row>
    <row r="168" spans="2:30" ht="17.45" hidden="1" customHeight="1" outlineLevel="1">
      <c r="B168" s="187">
        <f t="shared" si="39"/>
        <v>50740</v>
      </c>
      <c r="C168" s="303">
        <v>723337.1344213821</v>
      </c>
      <c r="D168" s="304">
        <f>IF(ISNUMBER($F168),VLOOKUP($J168,'Table 1'!$B$13:$C$41,2,FALSE)/12*1000*Study_MW,"")</f>
        <v>284442.66666666663</v>
      </c>
      <c r="E168" s="304">
        <f t="shared" si="40"/>
        <v>1007779.8010880487</v>
      </c>
      <c r="F168" s="303">
        <v>15022.586759166337</v>
      </c>
      <c r="G168" s="305">
        <f t="shared" si="37"/>
        <v>67.084305602238004</v>
      </c>
      <c r="I168" s="306">
        <f t="shared" si="44"/>
        <v>168</v>
      </c>
      <c r="J168" s="293">
        <f t="shared" si="41"/>
        <v>2038</v>
      </c>
      <c r="K168" s="187">
        <f t="shared" si="45"/>
        <v>50740</v>
      </c>
      <c r="V168" s="275" t="str">
        <f t="shared" si="42"/>
        <v>Winter</v>
      </c>
      <c r="Z168" s="294">
        <f t="shared" si="38"/>
        <v>2.2200000000000001E-2</v>
      </c>
      <c r="AA168" s="295">
        <f t="shared" si="43"/>
        <v>0</v>
      </c>
      <c r="AD168" s="347">
        <v>971191.34116233035</v>
      </c>
    </row>
    <row r="169" spans="2:30" ht="17.45" hidden="1" customHeight="1" outlineLevel="1">
      <c r="B169" s="185">
        <f t="shared" si="39"/>
        <v>50771</v>
      </c>
      <c r="C169" s="287">
        <v>978746.73435086152</v>
      </c>
      <c r="D169" s="288">
        <f>IF(ISNUMBER($F169),VLOOKUP($J169,'Table 1'!$B$13:$C$41,2,FALSE)/12*1000*Study_MW,"")</f>
        <v>290752</v>
      </c>
      <c r="E169" s="289">
        <f t="shared" si="40"/>
        <v>1269498.7343508615</v>
      </c>
      <c r="F169" s="290">
        <v>19018.897428480002</v>
      </c>
      <c r="G169" s="291">
        <f t="shared" si="37"/>
        <v>66.749333873047775</v>
      </c>
      <c r="I169" s="307">
        <f t="shared" si="44"/>
        <v>170</v>
      </c>
      <c r="J169" s="293">
        <f t="shared" si="41"/>
        <v>2039</v>
      </c>
      <c r="K169" s="185">
        <f t="shared" si="45"/>
        <v>50771</v>
      </c>
      <c r="V169" s="275" t="str">
        <f t="shared" si="42"/>
        <v>Winter</v>
      </c>
      <c r="Z169" s="294">
        <f t="shared" si="38"/>
        <v>2.2200000000000001E-2</v>
      </c>
      <c r="AA169" s="295">
        <f t="shared" si="43"/>
        <v>0</v>
      </c>
      <c r="AD169" s="347">
        <v>1223625.2083016001</v>
      </c>
    </row>
    <row r="170" spans="2:30" ht="17.45" hidden="1" customHeight="1" outlineLevel="1">
      <c r="B170" s="186">
        <f t="shared" si="39"/>
        <v>50802</v>
      </c>
      <c r="C170" s="296">
        <v>924378.47787258215</v>
      </c>
      <c r="D170" s="297">
        <f>IF(ISNUMBER($F170),VLOOKUP($J170,'Table 1'!$B$13:$C$41,2,FALSE)/12*1000*Study_MW,"")</f>
        <v>290752</v>
      </c>
      <c r="E170" s="297">
        <f t="shared" si="40"/>
        <v>1215130.4778725822</v>
      </c>
      <c r="F170" s="296">
        <v>19008.25200674</v>
      </c>
      <c r="G170" s="298">
        <f t="shared" si="37"/>
        <v>63.92647137894204</v>
      </c>
      <c r="I170" s="299">
        <f t="shared" si="44"/>
        <v>171</v>
      </c>
      <c r="J170" s="293">
        <f t="shared" si="41"/>
        <v>2039</v>
      </c>
      <c r="K170" s="186">
        <f t="shared" si="45"/>
        <v>50802</v>
      </c>
      <c r="V170" s="275" t="str">
        <f t="shared" si="42"/>
        <v>Winter</v>
      </c>
      <c r="Z170" s="294">
        <f t="shared" si="38"/>
        <v>2.2200000000000001E-2</v>
      </c>
      <c r="AA170" s="295">
        <f t="shared" si="43"/>
        <v>0</v>
      </c>
      <c r="AD170" s="347">
        <v>1251923.18528528</v>
      </c>
    </row>
    <row r="171" spans="2:30" ht="17.45" hidden="1" customHeight="1" outlineLevel="1">
      <c r="B171" s="186">
        <f t="shared" si="39"/>
        <v>50830</v>
      </c>
      <c r="C171" s="296">
        <v>534987.151674286</v>
      </c>
      <c r="D171" s="297">
        <f>IF(ISNUMBER($F171),VLOOKUP($J171,'Table 1'!$B$13:$C$41,2,FALSE)/12*1000*Study_MW,"")</f>
        <v>290752</v>
      </c>
      <c r="E171" s="297">
        <f t="shared" si="40"/>
        <v>825739.151674286</v>
      </c>
      <c r="F171" s="296">
        <v>17956.003675159998</v>
      </c>
      <c r="G171" s="298">
        <f t="shared" si="37"/>
        <v>45.986800103889387</v>
      </c>
      <c r="I171" s="299">
        <f t="shared" si="44"/>
        <v>172</v>
      </c>
      <c r="J171" s="293">
        <f t="shared" si="41"/>
        <v>2039</v>
      </c>
      <c r="K171" s="186">
        <f t="shared" si="45"/>
        <v>50830</v>
      </c>
      <c r="V171" s="275" t="str">
        <f t="shared" si="42"/>
        <v>Winter</v>
      </c>
      <c r="Z171" s="294">
        <f t="shared" si="38"/>
        <v>2.2200000000000001E-2</v>
      </c>
      <c r="AA171" s="295">
        <f t="shared" si="43"/>
        <v>0</v>
      </c>
      <c r="AD171" s="347">
        <v>741013.07277553028</v>
      </c>
    </row>
    <row r="172" spans="2:30" ht="17.45" hidden="1" customHeight="1" outlineLevel="1">
      <c r="B172" s="186">
        <f t="shared" si="39"/>
        <v>50861</v>
      </c>
      <c r="C172" s="296">
        <v>688751.80096279655</v>
      </c>
      <c r="D172" s="297">
        <f>IF(ISNUMBER($F172),VLOOKUP($J172,'Table 1'!$B$13:$C$41,2,FALSE)/12*1000*Study_MW,"")</f>
        <v>290752</v>
      </c>
      <c r="E172" s="297">
        <f t="shared" si="40"/>
        <v>979503.80096279655</v>
      </c>
      <c r="F172" s="296">
        <v>22296.220530250001</v>
      </c>
      <c r="G172" s="298">
        <f t="shared" si="37"/>
        <v>43.931382883205352</v>
      </c>
      <c r="I172" s="299">
        <f t="shared" si="44"/>
        <v>173</v>
      </c>
      <c r="J172" s="293">
        <f t="shared" si="41"/>
        <v>2039</v>
      </c>
      <c r="K172" s="186">
        <f t="shared" si="45"/>
        <v>50861</v>
      </c>
      <c r="V172" s="275" t="str">
        <f t="shared" si="42"/>
        <v>Winter</v>
      </c>
      <c r="Z172" s="294">
        <f t="shared" si="38"/>
        <v>2.2200000000000001E-2</v>
      </c>
      <c r="AA172" s="295">
        <f t="shared" si="43"/>
        <v>0</v>
      </c>
      <c r="AD172" s="347">
        <v>765552.62454164994</v>
      </c>
    </row>
    <row r="173" spans="2:30" ht="17.45" hidden="1" customHeight="1" outlineLevel="1">
      <c r="B173" s="186">
        <f t="shared" si="39"/>
        <v>50891</v>
      </c>
      <c r="C173" s="296">
        <v>688784.47774219967</v>
      </c>
      <c r="D173" s="297">
        <f>IF(ISNUMBER($F173),VLOOKUP($J173,'Table 1'!$B$13:$C$41,2,FALSE)/12*1000*Study_MW,"")</f>
        <v>290752</v>
      </c>
      <c r="E173" s="297">
        <f t="shared" si="40"/>
        <v>979536.47774219967</v>
      </c>
      <c r="F173" s="296">
        <v>22706.788430020009</v>
      </c>
      <c r="G173" s="298">
        <f t="shared" si="37"/>
        <v>43.138486129865107</v>
      </c>
      <c r="I173" s="299">
        <f t="shared" si="44"/>
        <v>174</v>
      </c>
      <c r="J173" s="293">
        <f t="shared" si="41"/>
        <v>2039</v>
      </c>
      <c r="K173" s="186">
        <f t="shared" si="45"/>
        <v>50891</v>
      </c>
      <c r="V173" s="275" t="str">
        <f t="shared" si="42"/>
        <v>Winter</v>
      </c>
      <c r="Z173" s="294">
        <f t="shared" si="38"/>
        <v>2.2200000000000001E-2</v>
      </c>
      <c r="AA173" s="295">
        <f t="shared" si="43"/>
        <v>0</v>
      </c>
      <c r="AD173" s="347">
        <v>803195.08216143027</v>
      </c>
    </row>
    <row r="174" spans="2:30" ht="17.45" hidden="1" customHeight="1" outlineLevel="1">
      <c r="B174" s="186">
        <f t="shared" si="39"/>
        <v>50922</v>
      </c>
      <c r="C174" s="296">
        <v>850606.59190513252</v>
      </c>
      <c r="D174" s="297">
        <f>IF(ISNUMBER($F174),VLOOKUP($J174,'Table 1'!$B$13:$C$41,2,FALSE)/12*1000*Study_MW,"")</f>
        <v>290752</v>
      </c>
      <c r="E174" s="297">
        <f t="shared" si="40"/>
        <v>1141358.5919051324</v>
      </c>
      <c r="F174" s="296">
        <v>21745.812183619997</v>
      </c>
      <c r="G174" s="298">
        <f t="shared" si="37"/>
        <v>52.486362995669538</v>
      </c>
      <c r="I174" s="299">
        <f t="shared" si="44"/>
        <v>175</v>
      </c>
      <c r="J174" s="293">
        <f t="shared" si="41"/>
        <v>2039</v>
      </c>
      <c r="K174" s="186">
        <f t="shared" si="45"/>
        <v>50922</v>
      </c>
      <c r="V174" s="275" t="str">
        <f t="shared" si="42"/>
        <v>Summer</v>
      </c>
      <c r="Z174" s="294">
        <f t="shared" si="38"/>
        <v>2.2200000000000001E-2</v>
      </c>
      <c r="AA174" s="295">
        <f t="shared" si="43"/>
        <v>0</v>
      </c>
      <c r="AD174" s="347">
        <v>903355.15078887006</v>
      </c>
    </row>
    <row r="175" spans="2:30" ht="17.45" hidden="1" customHeight="1" outlineLevel="1">
      <c r="B175" s="186">
        <f t="shared" si="39"/>
        <v>50952</v>
      </c>
      <c r="C175" s="296">
        <v>508071.48548323312</v>
      </c>
      <c r="D175" s="297">
        <f>IF(ISNUMBER($F175),VLOOKUP($J175,'Table 1'!$B$13:$C$41,2,FALSE)/12*1000*Study_MW,"")</f>
        <v>290752</v>
      </c>
      <c r="E175" s="297">
        <f t="shared" si="40"/>
        <v>798823.48548323312</v>
      </c>
      <c r="F175" s="296">
        <v>13611.277785999999</v>
      </c>
      <c r="G175" s="298">
        <f t="shared" si="37"/>
        <v>58.688353734494356</v>
      </c>
      <c r="I175" s="299">
        <f t="shared" si="44"/>
        <v>176</v>
      </c>
      <c r="J175" s="293">
        <f t="shared" si="41"/>
        <v>2039</v>
      </c>
      <c r="K175" s="186">
        <f t="shared" si="45"/>
        <v>50952</v>
      </c>
      <c r="V175" s="275" t="str">
        <f t="shared" si="42"/>
        <v>Summer</v>
      </c>
      <c r="Z175" s="294">
        <f t="shared" si="38"/>
        <v>2.2200000000000001E-2</v>
      </c>
      <c r="AA175" s="295">
        <f t="shared" si="43"/>
        <v>0</v>
      </c>
      <c r="AD175" s="347">
        <v>782940.69717812003</v>
      </c>
    </row>
    <row r="176" spans="2:30" ht="17.45" hidden="1" customHeight="1" outlineLevel="1">
      <c r="B176" s="186">
        <f t="shared" si="39"/>
        <v>50983</v>
      </c>
      <c r="C176" s="296">
        <v>446795.00447626924</v>
      </c>
      <c r="D176" s="297">
        <f>IF(ISNUMBER($F176),VLOOKUP($J176,'Table 1'!$B$13:$C$41,2,FALSE)/12*1000*Study_MW,"")</f>
        <v>290752</v>
      </c>
      <c r="E176" s="297">
        <f t="shared" si="40"/>
        <v>737547.00447626924</v>
      </c>
      <c r="F176" s="296">
        <v>13189.19712069</v>
      </c>
      <c r="G176" s="298">
        <f t="shared" si="37"/>
        <v>55.920538432113759</v>
      </c>
      <c r="I176" s="299">
        <f t="shared" si="44"/>
        <v>177</v>
      </c>
      <c r="J176" s="293">
        <f t="shared" si="41"/>
        <v>2039</v>
      </c>
      <c r="K176" s="186">
        <f t="shared" si="45"/>
        <v>50983</v>
      </c>
      <c r="V176" s="275" t="str">
        <f t="shared" si="42"/>
        <v>Summer</v>
      </c>
      <c r="Z176" s="294">
        <f t="shared" si="38"/>
        <v>2.2200000000000001E-2</v>
      </c>
      <c r="AA176" s="295">
        <f t="shared" si="43"/>
        <v>0</v>
      </c>
      <c r="AD176" s="347">
        <v>991303.87586423988</v>
      </c>
    </row>
    <row r="177" spans="2:30" ht="17.45" hidden="1" customHeight="1" outlineLevel="1">
      <c r="B177" s="186">
        <f t="shared" si="39"/>
        <v>51014</v>
      </c>
      <c r="C177" s="296">
        <v>417260.05097888992</v>
      </c>
      <c r="D177" s="297">
        <f>IF(ISNUMBER($F177),VLOOKUP($J177,'Table 1'!$B$13:$C$41,2,FALSE)/12*1000*Study_MW,"")</f>
        <v>290752</v>
      </c>
      <c r="E177" s="297">
        <f t="shared" si="40"/>
        <v>708012.05097888992</v>
      </c>
      <c r="F177" s="296">
        <v>11582.931032570001</v>
      </c>
      <c r="G177" s="298">
        <f t="shared" si="37"/>
        <v>61.125465479163559</v>
      </c>
      <c r="I177" s="299">
        <f t="shared" si="44"/>
        <v>178</v>
      </c>
      <c r="J177" s="293">
        <f t="shared" si="41"/>
        <v>2039</v>
      </c>
      <c r="K177" s="186">
        <f t="shared" si="45"/>
        <v>51014</v>
      </c>
      <c r="V177" s="275" t="str">
        <f t="shared" si="42"/>
        <v>Summer</v>
      </c>
      <c r="Z177" s="294">
        <f t="shared" si="38"/>
        <v>2.2200000000000001E-2</v>
      </c>
      <c r="AA177" s="295">
        <f t="shared" si="43"/>
        <v>0</v>
      </c>
      <c r="AD177" s="347">
        <v>667886.26010233001</v>
      </c>
    </row>
    <row r="178" spans="2:30" ht="17.45" hidden="1" customHeight="1" outlineLevel="1">
      <c r="B178" s="186">
        <f t="shared" si="39"/>
        <v>51044</v>
      </c>
      <c r="C178" s="296">
        <v>998809.69214890501</v>
      </c>
      <c r="D178" s="297">
        <f>IF(ISNUMBER($F178),VLOOKUP($J178,'Table 1'!$B$13:$C$41,2,FALSE)/12*1000*Study_MW,"")</f>
        <v>290752</v>
      </c>
      <c r="E178" s="297">
        <f t="shared" si="40"/>
        <v>1289561.692148905</v>
      </c>
      <c r="F178" s="296">
        <v>23195.825556000003</v>
      </c>
      <c r="G178" s="298">
        <f t="shared" si="37"/>
        <v>55.594558988021767</v>
      </c>
      <c r="I178" s="299">
        <f t="shared" si="44"/>
        <v>179</v>
      </c>
      <c r="J178" s="293">
        <f t="shared" si="41"/>
        <v>2039</v>
      </c>
      <c r="K178" s="186">
        <f t="shared" si="45"/>
        <v>51044</v>
      </c>
      <c r="V178" s="275" t="str">
        <f t="shared" si="42"/>
        <v>Winter</v>
      </c>
      <c r="Z178" s="294">
        <f t="shared" si="38"/>
        <v>2.2200000000000001E-2</v>
      </c>
      <c r="AA178" s="295">
        <f t="shared" si="43"/>
        <v>0</v>
      </c>
      <c r="AD178" s="347">
        <v>1139106.4934499499</v>
      </c>
    </row>
    <row r="179" spans="2:30" ht="17.45" hidden="1" customHeight="1" outlineLevel="1">
      <c r="B179" s="186">
        <f t="shared" si="39"/>
        <v>51075</v>
      </c>
      <c r="C179" s="296">
        <v>702297.73034300888</v>
      </c>
      <c r="D179" s="297">
        <f>IF(ISNUMBER($F179),VLOOKUP($J179,'Table 1'!$B$13:$C$41,2,FALSE)/12*1000*Study_MW,"")</f>
        <v>290752</v>
      </c>
      <c r="E179" s="297">
        <f t="shared" si="40"/>
        <v>993049.73034300888</v>
      </c>
      <c r="F179" s="296">
        <v>14022.606174700002</v>
      </c>
      <c r="G179" s="298">
        <f t="shared" si="37"/>
        <v>70.817772243700205</v>
      </c>
      <c r="I179" s="299">
        <f t="shared" si="44"/>
        <v>180</v>
      </c>
      <c r="J179" s="293">
        <f t="shared" si="41"/>
        <v>2039</v>
      </c>
      <c r="K179" s="186">
        <f t="shared" si="45"/>
        <v>51075</v>
      </c>
      <c r="V179" s="275" t="str">
        <f t="shared" si="42"/>
        <v>Winter</v>
      </c>
      <c r="Z179" s="294">
        <f t="shared" si="38"/>
        <v>2.2200000000000001E-2</v>
      </c>
      <c r="AA179" s="295">
        <f t="shared" si="43"/>
        <v>0</v>
      </c>
      <c r="AD179" s="347">
        <v>970169.17768552015</v>
      </c>
    </row>
    <row r="180" spans="2:30" ht="17.45" hidden="1" customHeight="1" outlineLevel="1">
      <c r="B180" s="187">
        <f t="shared" si="39"/>
        <v>51105</v>
      </c>
      <c r="C180" s="303">
        <v>665547.54748277098</v>
      </c>
      <c r="D180" s="304">
        <f>IF(ISNUMBER($F180),VLOOKUP($J180,'Table 1'!$B$13:$C$41,2,FALSE)/12*1000*Study_MW,"")</f>
        <v>290752</v>
      </c>
      <c r="E180" s="304">
        <f t="shared" si="40"/>
        <v>956299.54748277098</v>
      </c>
      <c r="F180" s="303">
        <v>14366.53339939067</v>
      </c>
      <c r="G180" s="305">
        <f t="shared" si="37"/>
        <v>66.564391067599558</v>
      </c>
      <c r="I180" s="306">
        <f t="shared" si="44"/>
        <v>181</v>
      </c>
      <c r="J180" s="293">
        <f t="shared" si="41"/>
        <v>2039</v>
      </c>
      <c r="K180" s="187">
        <f t="shared" si="45"/>
        <v>51105</v>
      </c>
      <c r="V180" s="275" t="str">
        <f t="shared" si="42"/>
        <v>Winter</v>
      </c>
      <c r="Z180" s="294">
        <f t="shared" si="38"/>
        <v>2.2200000000000001E-2</v>
      </c>
      <c r="AA180" s="295">
        <f t="shared" si="43"/>
        <v>0</v>
      </c>
      <c r="AD180" s="347">
        <v>960150.57789281511</v>
      </c>
    </row>
    <row r="181" spans="2:30" ht="17.45" hidden="1" customHeight="1" outlineLevel="1">
      <c r="B181" s="185">
        <f t="shared" si="39"/>
        <v>51136</v>
      </c>
      <c r="C181" s="287">
        <v>1050660.7474240009</v>
      </c>
      <c r="D181" s="288">
        <f>IF(ISNUMBER($F181),VLOOKUP($J181,'Table 1'!$B$13:$C$41,2,FALSE)/12*1000*Study_MW,"")</f>
        <v>297210.66666666663</v>
      </c>
      <c r="E181" s="289">
        <f t="shared" si="40"/>
        <v>1347871.4140906674</v>
      </c>
      <c r="F181" s="290">
        <v>20415.319112959998</v>
      </c>
      <c r="G181" s="291">
        <f t="shared" si="37"/>
        <v>66.022549372496229</v>
      </c>
      <c r="I181" s="307">
        <f t="shared" si="44"/>
        <v>183</v>
      </c>
      <c r="J181" s="293">
        <f t="shared" si="41"/>
        <v>2040</v>
      </c>
      <c r="K181" s="185">
        <f t="shared" si="45"/>
        <v>51136</v>
      </c>
      <c r="V181" s="275" t="str">
        <f t="shared" si="42"/>
        <v>Winter</v>
      </c>
      <c r="Z181" s="294">
        <f t="shared" si="38"/>
        <v>2.2200000000000001E-2</v>
      </c>
      <c r="AA181" s="295">
        <f t="shared" si="43"/>
        <v>0</v>
      </c>
      <c r="AD181" s="347">
        <v>1285097.7045001599</v>
      </c>
    </row>
    <row r="182" spans="2:30" ht="17.45" hidden="1" customHeight="1" outlineLevel="1">
      <c r="B182" s="186">
        <f t="shared" si="39"/>
        <v>51167</v>
      </c>
      <c r="C182" s="296">
        <v>889412.03033583588</v>
      </c>
      <c r="D182" s="297">
        <f>IF(ISNUMBER($F182),VLOOKUP($J182,'Table 1'!$B$13:$C$41,2,FALSE)/12*1000*Study_MW,"")</f>
        <v>297210.66666666663</v>
      </c>
      <c r="E182" s="297">
        <f t="shared" si="40"/>
        <v>1186622.6970025026</v>
      </c>
      <c r="F182" s="296">
        <v>18378.476628709999</v>
      </c>
      <c r="G182" s="298">
        <f t="shared" si="37"/>
        <v>64.565889816396208</v>
      </c>
      <c r="I182" s="299">
        <f t="shared" si="44"/>
        <v>184</v>
      </c>
      <c r="J182" s="293">
        <f t="shared" si="41"/>
        <v>2040</v>
      </c>
      <c r="K182" s="186">
        <f t="shared" si="45"/>
        <v>51167</v>
      </c>
      <c r="V182" s="275" t="str">
        <f t="shared" si="42"/>
        <v>Winter</v>
      </c>
      <c r="Z182" s="294">
        <f t="shared" si="38"/>
        <v>2.2200000000000001E-2</v>
      </c>
      <c r="AA182" s="295">
        <f t="shared" si="43"/>
        <v>0</v>
      </c>
      <c r="AD182" s="347">
        <v>1129261.4555738501</v>
      </c>
    </row>
    <row r="183" spans="2:30" ht="17.45" hidden="1" customHeight="1" outlineLevel="1">
      <c r="B183" s="186">
        <f t="shared" si="39"/>
        <v>51196</v>
      </c>
      <c r="C183" s="296">
        <v>545622.63934584917</v>
      </c>
      <c r="D183" s="297">
        <f>IF(ISNUMBER($F183),VLOOKUP($J183,'Table 1'!$B$13:$C$41,2,FALSE)/12*1000*Study_MW,"")</f>
        <v>297210.66666666663</v>
      </c>
      <c r="E183" s="297">
        <f t="shared" si="40"/>
        <v>842833.30601251579</v>
      </c>
      <c r="F183" s="296">
        <v>17461.912206590001</v>
      </c>
      <c r="G183" s="298">
        <f t="shared" si="37"/>
        <v>48.266953586814878</v>
      </c>
      <c r="I183" s="299">
        <f t="shared" si="44"/>
        <v>185</v>
      </c>
      <c r="J183" s="293">
        <f t="shared" si="41"/>
        <v>2040</v>
      </c>
      <c r="K183" s="186">
        <f t="shared" si="45"/>
        <v>51196</v>
      </c>
      <c r="V183" s="275" t="str">
        <f t="shared" si="42"/>
        <v>Winter</v>
      </c>
      <c r="Z183" s="294">
        <f t="shared" si="38"/>
        <v>2.2200000000000001E-2</v>
      </c>
      <c r="AA183" s="295">
        <f t="shared" si="43"/>
        <v>0</v>
      </c>
      <c r="AD183" s="347">
        <v>679776.88488822989</v>
      </c>
    </row>
    <row r="184" spans="2:30" ht="17.45" hidden="1" customHeight="1" outlineLevel="1">
      <c r="B184" s="186">
        <f t="shared" si="39"/>
        <v>51227</v>
      </c>
      <c r="C184" s="296">
        <v>760083.57750379946</v>
      </c>
      <c r="D184" s="297">
        <f>IF(ISNUMBER($F184),VLOOKUP($J184,'Table 1'!$B$13:$C$41,2,FALSE)/12*1000*Study_MW,"")</f>
        <v>297210.66666666663</v>
      </c>
      <c r="E184" s="297">
        <f t="shared" si="40"/>
        <v>1057294.244170466</v>
      </c>
      <c r="F184" s="296">
        <v>23966.333635690004</v>
      </c>
      <c r="G184" s="298">
        <f t="shared" si="37"/>
        <v>44.115810963925348</v>
      </c>
      <c r="I184" s="299">
        <f t="shared" si="44"/>
        <v>186</v>
      </c>
      <c r="J184" s="293">
        <f t="shared" si="41"/>
        <v>2040</v>
      </c>
      <c r="K184" s="186">
        <f t="shared" si="45"/>
        <v>51227</v>
      </c>
      <c r="V184" s="275" t="str">
        <f t="shared" si="42"/>
        <v>Winter</v>
      </c>
      <c r="Z184" s="294">
        <f t="shared" si="38"/>
        <v>2.2200000000000001E-2</v>
      </c>
      <c r="AA184" s="295">
        <f t="shared" si="43"/>
        <v>0</v>
      </c>
      <c r="AD184" s="347">
        <v>815221.84206635016</v>
      </c>
    </row>
    <row r="185" spans="2:30" ht="17.45" hidden="1" customHeight="1" outlineLevel="1">
      <c r="B185" s="186">
        <f t="shared" si="39"/>
        <v>51257</v>
      </c>
      <c r="C185" s="296">
        <v>664056.08880538784</v>
      </c>
      <c r="D185" s="297">
        <f>IF(ISNUMBER($F185),VLOOKUP($J185,'Table 1'!$B$13:$C$41,2,FALSE)/12*1000*Study_MW,"")</f>
        <v>297210.66666666663</v>
      </c>
      <c r="E185" s="297">
        <f t="shared" si="40"/>
        <v>961266.75547205447</v>
      </c>
      <c r="F185" s="296">
        <v>22571.998863140001</v>
      </c>
      <c r="G185" s="298">
        <f t="shared" si="37"/>
        <v>42.586691648376778</v>
      </c>
      <c r="I185" s="299">
        <f t="shared" si="44"/>
        <v>187</v>
      </c>
      <c r="J185" s="293">
        <f t="shared" si="41"/>
        <v>2040</v>
      </c>
      <c r="K185" s="186">
        <f t="shared" si="45"/>
        <v>51257</v>
      </c>
      <c r="V185" s="275" t="str">
        <f t="shared" si="42"/>
        <v>Winter</v>
      </c>
      <c r="Z185" s="294">
        <f t="shared" si="38"/>
        <v>2.2200000000000001E-2</v>
      </c>
      <c r="AA185" s="295">
        <f t="shared" si="43"/>
        <v>0</v>
      </c>
      <c r="AD185" s="347">
        <v>743519.73816617019</v>
      </c>
    </row>
    <row r="186" spans="2:30" ht="17.45" hidden="1" customHeight="1" outlineLevel="1">
      <c r="B186" s="186">
        <f t="shared" si="39"/>
        <v>51288</v>
      </c>
      <c r="C186" s="296">
        <v>843334.98071914073</v>
      </c>
      <c r="D186" s="297">
        <f>IF(ISNUMBER($F186),VLOOKUP($J186,'Table 1'!$B$13:$C$41,2,FALSE)/12*1000*Study_MW,"")</f>
        <v>297210.66666666663</v>
      </c>
      <c r="E186" s="297">
        <f t="shared" si="40"/>
        <v>1140545.6473858072</v>
      </c>
      <c r="F186" s="296">
        <v>21093.46980789</v>
      </c>
      <c r="G186" s="298">
        <f t="shared" si="37"/>
        <v>54.071030407675593</v>
      </c>
      <c r="I186" s="299">
        <f t="shared" si="44"/>
        <v>188</v>
      </c>
      <c r="J186" s="293">
        <f t="shared" si="41"/>
        <v>2040</v>
      </c>
      <c r="K186" s="186">
        <f t="shared" si="45"/>
        <v>51288</v>
      </c>
      <c r="V186" s="275" t="str">
        <f t="shared" si="42"/>
        <v>Summer</v>
      </c>
      <c r="Z186" s="294">
        <f t="shared" si="38"/>
        <v>2.2200000000000001E-2</v>
      </c>
      <c r="AA186" s="295">
        <f t="shared" si="43"/>
        <v>0</v>
      </c>
      <c r="AD186" s="347">
        <v>914712.40908017999</v>
      </c>
    </row>
    <row r="187" spans="2:30" ht="17.45" hidden="1" customHeight="1" outlineLevel="1">
      <c r="B187" s="186">
        <f t="shared" si="39"/>
        <v>51318</v>
      </c>
      <c r="C187" s="296">
        <v>532252.53878071089</v>
      </c>
      <c r="D187" s="297">
        <f>IF(ISNUMBER($F187),VLOOKUP($J187,'Table 1'!$B$13:$C$41,2,FALSE)/12*1000*Study_MW,"")</f>
        <v>297210.66666666663</v>
      </c>
      <c r="E187" s="297">
        <f t="shared" si="40"/>
        <v>829463.20544737752</v>
      </c>
      <c r="F187" s="296">
        <v>12599.71663126</v>
      </c>
      <c r="G187" s="298">
        <f t="shared" si="37"/>
        <v>65.831893662550513</v>
      </c>
      <c r="I187" s="299">
        <f t="shared" si="44"/>
        <v>189</v>
      </c>
      <c r="J187" s="293">
        <f t="shared" si="41"/>
        <v>2040</v>
      </c>
      <c r="K187" s="186">
        <f t="shared" si="45"/>
        <v>51318</v>
      </c>
      <c r="V187" s="275" t="str">
        <f t="shared" si="42"/>
        <v>Summer</v>
      </c>
      <c r="Z187" s="294">
        <f t="shared" si="38"/>
        <v>2.2200000000000001E-2</v>
      </c>
      <c r="AA187" s="295">
        <f t="shared" si="43"/>
        <v>0</v>
      </c>
      <c r="AD187" s="347">
        <v>718194.39175968</v>
      </c>
    </row>
    <row r="188" spans="2:30" ht="17.45" hidden="1" customHeight="1" outlineLevel="1">
      <c r="B188" s="186">
        <f t="shared" si="39"/>
        <v>51349</v>
      </c>
      <c r="C188" s="296">
        <v>452668.306851323</v>
      </c>
      <c r="D188" s="297">
        <f>IF(ISNUMBER($F188),VLOOKUP($J188,'Table 1'!$B$13:$C$41,2,FALSE)/12*1000*Study_MW,"")</f>
        <v>297210.66666666663</v>
      </c>
      <c r="E188" s="297">
        <f t="shared" si="40"/>
        <v>749878.97351798962</v>
      </c>
      <c r="F188" s="296">
        <v>13274.537031640002</v>
      </c>
      <c r="G188" s="298">
        <f t="shared" si="37"/>
        <v>56.490028370152949</v>
      </c>
      <c r="I188" s="299">
        <f t="shared" si="44"/>
        <v>190</v>
      </c>
      <c r="J188" s="293">
        <f t="shared" si="41"/>
        <v>2040</v>
      </c>
      <c r="K188" s="186">
        <f t="shared" si="45"/>
        <v>51349</v>
      </c>
      <c r="V188" s="275" t="str">
        <f t="shared" si="42"/>
        <v>Summer</v>
      </c>
      <c r="Z188" s="294">
        <f t="shared" si="38"/>
        <v>2.2200000000000001E-2</v>
      </c>
      <c r="AA188" s="295">
        <f t="shared" si="43"/>
        <v>0</v>
      </c>
      <c r="AD188" s="347">
        <v>830398.85587379988</v>
      </c>
    </row>
    <row r="189" spans="2:30" ht="17.45" hidden="1" customHeight="1" outlineLevel="1">
      <c r="B189" s="186">
        <f t="shared" si="39"/>
        <v>51380</v>
      </c>
      <c r="C189" s="296">
        <v>450552.6493601792</v>
      </c>
      <c r="D189" s="297">
        <f>IF(ISNUMBER($F189),VLOOKUP($J189,'Table 1'!$B$13:$C$41,2,FALSE)/12*1000*Study_MW,"")</f>
        <v>297210.66666666663</v>
      </c>
      <c r="E189" s="297">
        <f t="shared" si="40"/>
        <v>747763.31602684583</v>
      </c>
      <c r="F189" s="296">
        <v>11262.100543829998</v>
      </c>
      <c r="G189" s="298">
        <f t="shared" si="37"/>
        <v>66.396434050352354</v>
      </c>
      <c r="I189" s="299">
        <f t="shared" si="44"/>
        <v>191</v>
      </c>
      <c r="J189" s="293">
        <f t="shared" si="41"/>
        <v>2040</v>
      </c>
      <c r="K189" s="186">
        <f t="shared" si="45"/>
        <v>51380</v>
      </c>
      <c r="V189" s="275" t="str">
        <f t="shared" si="42"/>
        <v>Summer</v>
      </c>
      <c r="Z189" s="294">
        <f t="shared" si="38"/>
        <v>2.2200000000000001E-2</v>
      </c>
      <c r="AA189" s="295">
        <f t="shared" si="43"/>
        <v>0</v>
      </c>
      <c r="AD189" s="347">
        <v>650752.02295648993</v>
      </c>
    </row>
    <row r="190" spans="2:30" ht="17.45" hidden="1" customHeight="1" outlineLevel="1">
      <c r="B190" s="186">
        <f t="shared" si="39"/>
        <v>51410</v>
      </c>
      <c r="C190" s="296">
        <v>1053613.7086351081</v>
      </c>
      <c r="D190" s="297">
        <f>IF(ISNUMBER($F190),VLOOKUP($J190,'Table 1'!$B$13:$C$41,2,FALSE)/12*1000*Study_MW,"")</f>
        <v>297210.66666666663</v>
      </c>
      <c r="E190" s="297">
        <f t="shared" si="40"/>
        <v>1350824.3753017746</v>
      </c>
      <c r="F190" s="296">
        <v>23306.767880120002</v>
      </c>
      <c r="G190" s="298">
        <f t="shared" si="37"/>
        <v>57.958460059748937</v>
      </c>
      <c r="I190" s="299">
        <f t="shared" si="44"/>
        <v>192</v>
      </c>
      <c r="J190" s="293">
        <f t="shared" si="41"/>
        <v>2040</v>
      </c>
      <c r="K190" s="186">
        <f t="shared" si="45"/>
        <v>51410</v>
      </c>
      <c r="V190" s="275" t="str">
        <f t="shared" si="42"/>
        <v>Winter</v>
      </c>
      <c r="Z190" s="294">
        <f t="shared" si="38"/>
        <v>2.2200000000000001E-2</v>
      </c>
      <c r="AA190" s="295">
        <f t="shared" si="43"/>
        <v>0</v>
      </c>
      <c r="AD190" s="347">
        <v>1149186.4585534798</v>
      </c>
    </row>
    <row r="191" spans="2:30" ht="17.45" hidden="1" customHeight="1" outlineLevel="1">
      <c r="B191" s="186">
        <f t="shared" si="39"/>
        <v>51441</v>
      </c>
      <c r="C191" s="296">
        <v>823509.35053787543</v>
      </c>
      <c r="D191" s="297">
        <f>IF(ISNUMBER($F191),VLOOKUP($J191,'Table 1'!$B$13:$C$41,2,FALSE)/12*1000*Study_MW,"")</f>
        <v>297210.66666666663</v>
      </c>
      <c r="E191" s="297">
        <f t="shared" si="40"/>
        <v>1120720.0172045422</v>
      </c>
      <c r="F191" s="296">
        <v>15087.522923910003</v>
      </c>
      <c r="G191" s="298">
        <f t="shared" si="37"/>
        <v>74.281247018254888</v>
      </c>
      <c r="I191" s="299">
        <f t="shared" si="44"/>
        <v>193</v>
      </c>
      <c r="J191" s="293">
        <f t="shared" si="41"/>
        <v>2040</v>
      </c>
      <c r="K191" s="186">
        <f t="shared" si="45"/>
        <v>51441</v>
      </c>
      <c r="V191" s="275" t="str">
        <f t="shared" si="42"/>
        <v>Winter</v>
      </c>
      <c r="Z191" s="294">
        <f t="shared" si="38"/>
        <v>2.2200000000000001E-2</v>
      </c>
      <c r="AA191" s="295">
        <f t="shared" si="43"/>
        <v>0</v>
      </c>
      <c r="AD191" s="347">
        <v>1064677.5293580198</v>
      </c>
    </row>
    <row r="192" spans="2:30" ht="17.45" hidden="1" customHeight="1" outlineLevel="1">
      <c r="B192" s="187">
        <f t="shared" si="39"/>
        <v>51471</v>
      </c>
      <c r="C192" s="303">
        <v>653170.549290339</v>
      </c>
      <c r="D192" s="304">
        <f>IF(ISNUMBER($F192),VLOOKUP($J192,'Table 1'!$B$13:$C$41,2,FALSE)/12*1000*Study_MW,"")</f>
        <v>297210.66666666663</v>
      </c>
      <c r="E192" s="304">
        <f t="shared" si="40"/>
        <v>950381.21595700562</v>
      </c>
      <c r="F192" s="303">
        <v>13759.754610631726</v>
      </c>
      <c r="G192" s="305">
        <f t="shared" si="37"/>
        <v>69.069634077825498</v>
      </c>
      <c r="I192" s="306">
        <f t="shared" si="44"/>
        <v>194</v>
      </c>
      <c r="J192" s="293">
        <f t="shared" si="41"/>
        <v>2040</v>
      </c>
      <c r="K192" s="187">
        <f t="shared" si="45"/>
        <v>51471</v>
      </c>
      <c r="V192" s="275" t="str">
        <f t="shared" si="42"/>
        <v>Winter</v>
      </c>
      <c r="Z192" s="294">
        <f t="shared" si="38"/>
        <v>2.2200000000000001E-2</v>
      </c>
      <c r="AA192" s="295">
        <f t="shared" si="43"/>
        <v>0</v>
      </c>
      <c r="AD192" s="347">
        <v>908004.46978394815</v>
      </c>
    </row>
    <row r="193" spans="2:30" ht="17.45" hidden="1" customHeight="1" outlineLevel="1">
      <c r="B193" s="185">
        <f t="shared" si="39"/>
        <v>51502</v>
      </c>
      <c r="C193" s="287">
        <v>1150719.3779500085</v>
      </c>
      <c r="D193" s="288">
        <f>IF(ISNUMBER($F193),VLOOKUP($J193,'Table 1'!$B$13:$C$41,2,FALSE)/12*1000*Study_MW,"")</f>
        <v>303806.22222222219</v>
      </c>
      <c r="E193" s="289">
        <f t="shared" si="40"/>
        <v>1454525.6001722307</v>
      </c>
      <c r="F193" s="290">
        <v>21721.678344020002</v>
      </c>
      <c r="G193" s="291">
        <f t="shared" si="37"/>
        <v>66.961934392729049</v>
      </c>
      <c r="I193" s="307">
        <f t="shared" si="44"/>
        <v>196</v>
      </c>
      <c r="J193" s="293">
        <f t="shared" ref="J193:J240" si="46">YEAR(B193)</f>
        <v>2041</v>
      </c>
      <c r="K193" s="185">
        <f t="shared" ref="K193:K240" si="47">IF(ISNUMBER(F193),IF(F193&lt;&gt;0,B193,""),"")</f>
        <v>51502</v>
      </c>
      <c r="M193" s="294"/>
      <c r="V193" s="275" t="str">
        <f t="shared" si="42"/>
        <v>Winter</v>
      </c>
      <c r="Z193" s="294">
        <f t="shared" si="38"/>
        <v>2.2200000000000001E-2</v>
      </c>
      <c r="AA193" s="295">
        <f t="shared" si="43"/>
        <v>0</v>
      </c>
      <c r="AD193" s="347">
        <v>1444787.03489816</v>
      </c>
    </row>
    <row r="194" spans="2:30" ht="17.45" hidden="1" customHeight="1" outlineLevel="1">
      <c r="B194" s="186">
        <f t="shared" si="39"/>
        <v>51533</v>
      </c>
      <c r="C194" s="296">
        <v>859391.10472163884</v>
      </c>
      <c r="D194" s="297">
        <f>IF(ISNUMBER($F194),VLOOKUP($J194,'Table 1'!$B$13:$C$41,2,FALSE)/12*1000*Study_MW,"")</f>
        <v>303806.22222222219</v>
      </c>
      <c r="E194" s="297">
        <f t="shared" si="40"/>
        <v>1163197.3269438611</v>
      </c>
      <c r="F194" s="296">
        <v>17114.06280498</v>
      </c>
      <c r="G194" s="298">
        <f t="shared" si="37"/>
        <v>67.967340087438714</v>
      </c>
      <c r="I194" s="299">
        <f t="shared" si="44"/>
        <v>197</v>
      </c>
      <c r="J194" s="293">
        <f t="shared" si="46"/>
        <v>2041</v>
      </c>
      <c r="K194" s="186">
        <f t="shared" si="47"/>
        <v>51533</v>
      </c>
      <c r="M194" s="294"/>
      <c r="V194" s="275" t="str">
        <f t="shared" si="42"/>
        <v>Winter</v>
      </c>
      <c r="Z194" s="294">
        <f t="shared" si="38"/>
        <v>2.2200000000000001E-2</v>
      </c>
      <c r="AA194" s="295">
        <f t="shared" si="43"/>
        <v>0</v>
      </c>
      <c r="AD194" s="347">
        <v>1168563.7390747399</v>
      </c>
    </row>
    <row r="195" spans="2:30" ht="17.45" hidden="1" customHeight="1" outlineLevel="1">
      <c r="B195" s="186">
        <f t="shared" si="39"/>
        <v>51561</v>
      </c>
      <c r="C195" s="296">
        <v>588221.88009845559</v>
      </c>
      <c r="D195" s="297">
        <f>IF(ISNUMBER($F195),VLOOKUP($J195,'Table 1'!$B$13:$C$41,2,FALSE)/12*1000*Study_MW,"")</f>
        <v>303806.22222222219</v>
      </c>
      <c r="E195" s="297">
        <f t="shared" si="40"/>
        <v>892028.10232067783</v>
      </c>
      <c r="F195" s="296">
        <v>18128.276000130001</v>
      </c>
      <c r="G195" s="298">
        <f t="shared" si="37"/>
        <v>49.20644976468148</v>
      </c>
      <c r="I195" s="299">
        <f t="shared" si="44"/>
        <v>198</v>
      </c>
      <c r="J195" s="293">
        <f t="shared" si="46"/>
        <v>2041</v>
      </c>
      <c r="K195" s="186">
        <f t="shared" si="47"/>
        <v>51561</v>
      </c>
      <c r="M195" s="294"/>
      <c r="V195" s="275" t="str">
        <f t="shared" si="42"/>
        <v>Winter</v>
      </c>
      <c r="Z195" s="294">
        <f t="shared" si="38"/>
        <v>2.2200000000000001E-2</v>
      </c>
      <c r="AA195" s="295">
        <f t="shared" si="43"/>
        <v>0</v>
      </c>
      <c r="AD195" s="347">
        <v>726785.97108879988</v>
      </c>
    </row>
    <row r="196" spans="2:30" ht="17.45" hidden="1" customHeight="1" outlineLevel="1">
      <c r="B196" s="186">
        <f t="shared" si="39"/>
        <v>51592</v>
      </c>
      <c r="C196" s="296">
        <v>799921.47698852932</v>
      </c>
      <c r="D196" s="297">
        <f>IF(ISNUMBER($F196),VLOOKUP($J196,'Table 1'!$B$13:$C$41,2,FALSE)/12*1000*Study_MW,"")</f>
        <v>303806.22222222219</v>
      </c>
      <c r="E196" s="297">
        <f t="shared" si="40"/>
        <v>1103727.6992107516</v>
      </c>
      <c r="F196" s="296">
        <v>22846.704080700001</v>
      </c>
      <c r="G196" s="298">
        <f t="shared" si="37"/>
        <v>48.310149915371703</v>
      </c>
      <c r="I196" s="299">
        <f t="shared" si="44"/>
        <v>199</v>
      </c>
      <c r="J196" s="293">
        <f t="shared" si="46"/>
        <v>2041</v>
      </c>
      <c r="K196" s="186">
        <f t="shared" si="47"/>
        <v>51592</v>
      </c>
      <c r="M196" s="294"/>
      <c r="V196" s="275" t="str">
        <f t="shared" si="42"/>
        <v>Winter</v>
      </c>
      <c r="Z196" s="294">
        <f t="shared" si="38"/>
        <v>2.2200000000000001E-2</v>
      </c>
      <c r="AA196" s="295">
        <f t="shared" si="43"/>
        <v>0</v>
      </c>
      <c r="AD196" s="347">
        <v>857841.85722101002</v>
      </c>
    </row>
    <row r="197" spans="2:30" ht="17.45" hidden="1" customHeight="1" outlineLevel="1">
      <c r="B197" s="186">
        <f t="shared" si="39"/>
        <v>51622</v>
      </c>
      <c r="C197" s="296">
        <v>732063.73606898705</v>
      </c>
      <c r="D197" s="297">
        <f>IF(ISNUMBER($F197),VLOOKUP($J197,'Table 1'!$B$13:$C$41,2,FALSE)/12*1000*Study_MW,"")</f>
        <v>303806.22222222219</v>
      </c>
      <c r="E197" s="297">
        <f t="shared" si="40"/>
        <v>1035869.9582912093</v>
      </c>
      <c r="F197" s="296">
        <v>23562.79290335</v>
      </c>
      <c r="G197" s="298">
        <f t="shared" si="37"/>
        <v>43.962104260736268</v>
      </c>
      <c r="I197" s="299">
        <f t="shared" si="44"/>
        <v>200</v>
      </c>
      <c r="J197" s="293">
        <f t="shared" si="46"/>
        <v>2041</v>
      </c>
      <c r="K197" s="186">
        <f t="shared" si="47"/>
        <v>51622</v>
      </c>
      <c r="M197" s="294"/>
      <c r="V197" s="275" t="str">
        <f t="shared" si="42"/>
        <v>Winter</v>
      </c>
      <c r="Z197" s="294">
        <f t="shared" si="38"/>
        <v>2.2200000000000001E-2</v>
      </c>
      <c r="AA197" s="295">
        <f t="shared" si="43"/>
        <v>0</v>
      </c>
      <c r="AD197" s="347">
        <v>798104.02987751015</v>
      </c>
    </row>
    <row r="198" spans="2:30" ht="17.45" hidden="1" customHeight="1" outlineLevel="1">
      <c r="B198" s="186">
        <f t="shared" si="39"/>
        <v>51653</v>
      </c>
      <c r="C198" s="296">
        <v>866659.95089353237</v>
      </c>
      <c r="D198" s="297">
        <f>IF(ISNUMBER($F198),VLOOKUP($J198,'Table 1'!$B$13:$C$41,2,FALSE)/12*1000*Study_MW,"")</f>
        <v>303806.22222222219</v>
      </c>
      <c r="E198" s="297">
        <f t="shared" si="40"/>
        <v>1170466.1731157545</v>
      </c>
      <c r="F198" s="296">
        <v>20755.61726345</v>
      </c>
      <c r="G198" s="298">
        <f t="shared" si="37"/>
        <v>56.392742179578981</v>
      </c>
      <c r="I198" s="299">
        <f t="shared" si="44"/>
        <v>201</v>
      </c>
      <c r="J198" s="293">
        <f t="shared" si="46"/>
        <v>2041</v>
      </c>
      <c r="K198" s="186">
        <f t="shared" si="47"/>
        <v>51653</v>
      </c>
      <c r="M198" s="294"/>
      <c r="V198" s="275" t="str">
        <f t="shared" si="42"/>
        <v>Summer</v>
      </c>
      <c r="Z198" s="294">
        <f t="shared" si="38"/>
        <v>2.2200000000000001E-2</v>
      </c>
      <c r="AA198" s="295">
        <f t="shared" si="43"/>
        <v>0</v>
      </c>
      <c r="AD198" s="347">
        <v>977926.42237646005</v>
      </c>
    </row>
    <row r="199" spans="2:30" ht="17.45" hidden="1" customHeight="1" outlineLevel="1">
      <c r="B199" s="186">
        <f t="shared" si="39"/>
        <v>51683</v>
      </c>
      <c r="C199" s="296">
        <v>490286.823066941</v>
      </c>
      <c r="D199" s="297">
        <f>IF(ISNUMBER($F199),VLOOKUP($J199,'Table 1'!$B$13:$C$41,2,FALSE)/12*1000*Study_MW,"")</f>
        <v>303806.22222222219</v>
      </c>
      <c r="E199" s="297">
        <f t="shared" si="40"/>
        <v>794093.04528916324</v>
      </c>
      <c r="F199" s="296">
        <v>11919.739425549998</v>
      </c>
      <c r="G199" s="298">
        <f t="shared" si="37"/>
        <v>66.620000399255574</v>
      </c>
      <c r="I199" s="299">
        <f t="shared" si="44"/>
        <v>202</v>
      </c>
      <c r="J199" s="293">
        <f t="shared" si="46"/>
        <v>2041</v>
      </c>
      <c r="K199" s="186">
        <f t="shared" si="47"/>
        <v>51683</v>
      </c>
      <c r="M199" s="294"/>
      <c r="V199" s="275" t="str">
        <f t="shared" si="42"/>
        <v>Summer</v>
      </c>
      <c r="Z199" s="294">
        <f t="shared" si="38"/>
        <v>2.2200000000000001E-2</v>
      </c>
      <c r="AA199" s="295">
        <f t="shared" si="43"/>
        <v>0</v>
      </c>
      <c r="AD199" s="347">
        <v>713252.22863389994</v>
      </c>
    </row>
    <row r="200" spans="2:30" ht="17.45" hidden="1" customHeight="1" outlineLevel="1">
      <c r="B200" s="186">
        <f t="shared" si="39"/>
        <v>51714</v>
      </c>
      <c r="C200" s="296">
        <v>522712.89236235316</v>
      </c>
      <c r="D200" s="297">
        <f>IF(ISNUMBER($F200),VLOOKUP($J200,'Table 1'!$B$13:$C$41,2,FALSE)/12*1000*Study_MW,"")</f>
        <v>303806.22222222219</v>
      </c>
      <c r="E200" s="297">
        <f t="shared" si="40"/>
        <v>826519.11458457541</v>
      </c>
      <c r="F200" s="296">
        <v>13400.009111429999</v>
      </c>
      <c r="G200" s="298">
        <f t="shared" si="37"/>
        <v>61.680488999038623</v>
      </c>
      <c r="I200" s="299">
        <f t="shared" si="44"/>
        <v>203</v>
      </c>
      <c r="J200" s="293">
        <f t="shared" si="46"/>
        <v>2041</v>
      </c>
      <c r="K200" s="186">
        <f t="shared" si="47"/>
        <v>51714</v>
      </c>
      <c r="M200" s="294"/>
      <c r="V200" s="275" t="str">
        <f t="shared" si="42"/>
        <v>Summer</v>
      </c>
      <c r="Z200" s="294">
        <f t="shared" si="38"/>
        <v>2.2200000000000001E-2</v>
      </c>
      <c r="AA200" s="295">
        <f t="shared" si="43"/>
        <v>0</v>
      </c>
      <c r="AD200" s="347">
        <v>961281.24591751979</v>
      </c>
    </row>
    <row r="201" spans="2:30" ht="17.45" hidden="1" customHeight="1" outlineLevel="1">
      <c r="B201" s="186">
        <f t="shared" si="39"/>
        <v>51745</v>
      </c>
      <c r="C201" s="296">
        <v>484134.10121179186</v>
      </c>
      <c r="D201" s="297">
        <f>IF(ISNUMBER($F201),VLOOKUP($J201,'Table 1'!$B$13:$C$41,2,FALSE)/12*1000*Study_MW,"")</f>
        <v>303806.22222222219</v>
      </c>
      <c r="E201" s="297">
        <f t="shared" si="40"/>
        <v>787940.32343401411</v>
      </c>
      <c r="F201" s="296">
        <v>11326.96957904</v>
      </c>
      <c r="G201" s="298">
        <f t="shared" si="37"/>
        <v>69.563206463629854</v>
      </c>
      <c r="I201" s="299">
        <f t="shared" si="44"/>
        <v>204</v>
      </c>
      <c r="J201" s="293">
        <f t="shared" si="46"/>
        <v>2041</v>
      </c>
      <c r="K201" s="186">
        <f t="shared" si="47"/>
        <v>51745</v>
      </c>
      <c r="M201" s="294"/>
      <c r="V201" s="275" t="str">
        <f t="shared" si="42"/>
        <v>Summer</v>
      </c>
      <c r="Z201" s="294">
        <f t="shared" si="38"/>
        <v>2.2200000000000001E-2</v>
      </c>
      <c r="AA201" s="295">
        <f t="shared" si="43"/>
        <v>0</v>
      </c>
      <c r="AD201" s="347">
        <v>694611.23025668005</v>
      </c>
    </row>
    <row r="202" spans="2:30" ht="17.45" hidden="1" customHeight="1" outlineLevel="1">
      <c r="B202" s="186">
        <f t="shared" si="39"/>
        <v>51775</v>
      </c>
      <c r="C202" s="296">
        <v>1045096.6837825981</v>
      </c>
      <c r="D202" s="297">
        <f>IF(ISNUMBER($F202),VLOOKUP($J202,'Table 1'!$B$13:$C$41,2,FALSE)/12*1000*Study_MW,"")</f>
        <v>303806.22222222219</v>
      </c>
      <c r="E202" s="297">
        <f t="shared" si="40"/>
        <v>1348902.9060048203</v>
      </c>
      <c r="F202" s="296">
        <v>23084.924245520004</v>
      </c>
      <c r="G202" s="298">
        <f t="shared" si="37"/>
        <v>58.432199805316507</v>
      </c>
      <c r="I202" s="299">
        <f t="shared" si="44"/>
        <v>205</v>
      </c>
      <c r="J202" s="293">
        <f t="shared" si="46"/>
        <v>2041</v>
      </c>
      <c r="K202" s="186">
        <f t="shared" si="47"/>
        <v>51775</v>
      </c>
      <c r="M202" s="294"/>
      <c r="V202" s="275" t="str">
        <f t="shared" si="42"/>
        <v>Winter</v>
      </c>
      <c r="Z202" s="294">
        <f t="shared" si="38"/>
        <v>2.2200000000000001E-2</v>
      </c>
      <c r="AA202" s="295">
        <f t="shared" si="43"/>
        <v>0</v>
      </c>
      <c r="AD202" s="347">
        <v>1175109.9734588698</v>
      </c>
    </row>
    <row r="203" spans="2:30" ht="17.45" hidden="1" customHeight="1" outlineLevel="1">
      <c r="B203" s="186">
        <f t="shared" si="39"/>
        <v>51806</v>
      </c>
      <c r="C203" s="296">
        <v>972929.6870585822</v>
      </c>
      <c r="D203" s="297">
        <f>IF(ISNUMBER($F203),VLOOKUP($J203,'Table 1'!$B$13:$C$41,2,FALSE)/12*1000*Study_MW,"")</f>
        <v>303806.22222222219</v>
      </c>
      <c r="E203" s="297">
        <f t="shared" si="40"/>
        <v>1276735.9092808045</v>
      </c>
      <c r="F203" s="296">
        <v>16305.06483669</v>
      </c>
      <c r="G203" s="298">
        <f t="shared" si="37"/>
        <v>78.303025597780291</v>
      </c>
      <c r="I203" s="299">
        <f t="shared" si="44"/>
        <v>206</v>
      </c>
      <c r="J203" s="293">
        <f t="shared" si="46"/>
        <v>2041</v>
      </c>
      <c r="K203" s="186">
        <f t="shared" si="47"/>
        <v>51806</v>
      </c>
      <c r="M203" s="294"/>
      <c r="V203" s="275" t="str">
        <f t="shared" si="42"/>
        <v>Winter</v>
      </c>
      <c r="Z203" s="294">
        <f t="shared" si="38"/>
        <v>2.2200000000000001E-2</v>
      </c>
      <c r="AA203" s="295">
        <f t="shared" si="43"/>
        <v>0</v>
      </c>
      <c r="AD203" s="347">
        <v>1186418.0869994599</v>
      </c>
    </row>
    <row r="204" spans="2:30" ht="17.45" hidden="1" customHeight="1" outlineLevel="1">
      <c r="B204" s="187">
        <f t="shared" si="39"/>
        <v>51836</v>
      </c>
      <c r="C204" s="303">
        <v>564357.74607148685</v>
      </c>
      <c r="D204" s="304">
        <f>IF(ISNUMBER($F204),VLOOKUP($J204,'Table 1'!$B$13:$C$41,2,FALSE)/12*1000*Study_MW,"")</f>
        <v>303806.22222222219</v>
      </c>
      <c r="E204" s="304">
        <f t="shared" si="40"/>
        <v>868163.96829370898</v>
      </c>
      <c r="F204" s="303">
        <v>12741.417520637669</v>
      </c>
      <c r="G204" s="305">
        <f t="shared" si="37"/>
        <v>68.137157179530206</v>
      </c>
      <c r="I204" s="306">
        <f t="shared" si="44"/>
        <v>207</v>
      </c>
      <c r="J204" s="293">
        <f t="shared" si="46"/>
        <v>2041</v>
      </c>
      <c r="K204" s="187">
        <f t="shared" si="47"/>
        <v>51836</v>
      </c>
      <c r="M204" s="294"/>
      <c r="V204" s="275" t="str">
        <f t="shared" si="42"/>
        <v>Winter</v>
      </c>
      <c r="Z204" s="294">
        <f t="shared" si="38"/>
        <v>2.2200000000000001E-2</v>
      </c>
      <c r="AA204" s="295">
        <f t="shared" si="43"/>
        <v>0</v>
      </c>
      <c r="AD204" s="347">
        <v>890464.9175120017</v>
      </c>
    </row>
    <row r="205" spans="2:30" ht="17.45" hidden="1" customHeight="1" outlineLevel="1">
      <c r="B205" s="185">
        <f t="shared" si="39"/>
        <v>51867</v>
      </c>
      <c r="C205" s="287">
        <v>919904.59793971968</v>
      </c>
      <c r="D205" s="288">
        <f>IF(ISNUMBER($F205),VLOOKUP($J205,'Table 1'!$B$13:$C$41,2,FALSE)/12*1000*Study_MW,"")</f>
        <v>310551.11111111112</v>
      </c>
      <c r="E205" s="289">
        <f t="shared" si="40"/>
        <v>1230455.7090508309</v>
      </c>
      <c r="F205" s="290">
        <v>16962.172302200001</v>
      </c>
      <c r="G205" s="291">
        <f t="shared" ref="G205" si="48">IF(ISNUMBER($F205),E205/$F205,"")</f>
        <v>72.54116319118161</v>
      </c>
      <c r="I205" s="307">
        <f t="shared" si="44"/>
        <v>209</v>
      </c>
      <c r="J205" s="293">
        <f t="shared" si="46"/>
        <v>2042</v>
      </c>
      <c r="K205" s="185">
        <f t="shared" si="47"/>
        <v>51867</v>
      </c>
      <c r="M205" s="294"/>
      <c r="N205" s="308">
        <f t="shared" ref="N205:P220" si="49">E205/E193-1</f>
        <v>-0.15405015291230872</v>
      </c>
      <c r="O205" s="308">
        <f t="shared" si="49"/>
        <v>-0.21911318114745482</v>
      </c>
      <c r="P205" s="308">
        <f t="shared" si="49"/>
        <v>8.3319408990346844E-2</v>
      </c>
      <c r="V205" s="275" t="str">
        <f t="shared" si="42"/>
        <v>Winter</v>
      </c>
      <c r="Z205" s="294">
        <f t="shared" ref="Z205:Z268" si="50">Inflation</f>
        <v>2.2200000000000001E-2</v>
      </c>
      <c r="AA205" s="295">
        <f t="shared" si="43"/>
        <v>0</v>
      </c>
      <c r="AD205" s="347">
        <v>1272715.8951210997</v>
      </c>
    </row>
    <row r="206" spans="2:30" ht="17.45" hidden="1" customHeight="1" outlineLevel="1">
      <c r="B206" s="186">
        <f t="shared" ref="B206:B252" si="51">EDATE(B205,1)</f>
        <v>51898</v>
      </c>
      <c r="C206" s="296">
        <v>1195141.5322818502</v>
      </c>
      <c r="D206" s="297">
        <f>IF(ISNUMBER($F206),VLOOKUP($J206,'Table 1'!$B$13:$C$41,2,FALSE)/12*1000*Study_MW,"")</f>
        <v>310551.11111111112</v>
      </c>
      <c r="E206" s="297">
        <f t="shared" ref="E206:E269" si="52">IF(ISNUMBER(C206+D206),C206+D206,"")</f>
        <v>1505692.6433929615</v>
      </c>
      <c r="F206" s="296">
        <v>20624.67032782</v>
      </c>
      <c r="G206" s="298">
        <f t="shared" ref="G206" si="53">IF(ISNUMBER($F206),E206/$F206,"")</f>
        <v>73.00444659044939</v>
      </c>
      <c r="I206" s="299">
        <f t="shared" si="44"/>
        <v>210</v>
      </c>
      <c r="J206" s="293">
        <f t="shared" si="46"/>
        <v>2042</v>
      </c>
      <c r="K206" s="186">
        <f t="shared" si="47"/>
        <v>51898</v>
      </c>
      <c r="M206" s="294"/>
      <c r="N206" s="308">
        <f t="shared" si="49"/>
        <v>0.29444300508234411</v>
      </c>
      <c r="O206" s="308">
        <f t="shared" si="49"/>
        <v>0.205129989462143</v>
      </c>
      <c r="P206" s="308">
        <f t="shared" si="49"/>
        <v>7.4110690465899243E-2</v>
      </c>
      <c r="V206" s="275" t="str">
        <f t="shared" ref="V206:V269" si="54">IFERROR(IF(AND(MONTH(K206)&gt;=6,MONTH(K206)&lt;=9),"Summer","Winter"),"-")</f>
        <v>Winter</v>
      </c>
      <c r="Z206" s="294">
        <f t="shared" si="50"/>
        <v>2.2200000000000001E-2</v>
      </c>
      <c r="AA206" s="295">
        <f t="shared" ref="AA206:AA269" si="55">IF($AA$8="Solar",IFERROR(IF(J206&gt;$AC$1,-0.005,0),AA194),0)</f>
        <v>0</v>
      </c>
      <c r="AD206" s="347">
        <v>1494617.8830665699</v>
      </c>
    </row>
    <row r="207" spans="2:30" ht="17.45" hidden="1" customHeight="1" outlineLevel="1">
      <c r="B207" s="186">
        <f t="shared" si="51"/>
        <v>51926</v>
      </c>
      <c r="C207" s="296">
        <v>725928.92675688199</v>
      </c>
      <c r="D207" s="297">
        <f>IF(ISNUMBER($F207),VLOOKUP($J207,'Table 1'!$B$13:$C$41,2,FALSE)/12*1000*Study_MW,"")</f>
        <v>310551.11111111112</v>
      </c>
      <c r="E207" s="297">
        <f t="shared" si="52"/>
        <v>1036480.0378679931</v>
      </c>
      <c r="F207" s="296">
        <v>18952.858266089999</v>
      </c>
      <c r="G207" s="298">
        <f t="shared" ref="G207:G270" si="56">IF(ISNUMBER($F207),E207/$F207,"")</f>
        <v>54.68726792108388</v>
      </c>
      <c r="I207" s="299">
        <f t="shared" si="44"/>
        <v>211</v>
      </c>
      <c r="J207" s="293">
        <f t="shared" si="46"/>
        <v>2042</v>
      </c>
      <c r="K207" s="186">
        <f t="shared" si="47"/>
        <v>51926</v>
      </c>
      <c r="M207" s="294"/>
      <c r="N207" s="308">
        <f t="shared" si="49"/>
        <v>0.16193652999441688</v>
      </c>
      <c r="O207" s="308">
        <f t="shared" si="49"/>
        <v>4.5485972629393245E-2</v>
      </c>
      <c r="P207" s="308">
        <f t="shared" si="49"/>
        <v>0.11138414135978425</v>
      </c>
      <c r="V207" s="275" t="str">
        <f t="shared" si="54"/>
        <v>Winter</v>
      </c>
      <c r="Z207" s="294">
        <f t="shared" si="50"/>
        <v>2.2200000000000001E-2</v>
      </c>
      <c r="AA207" s="295">
        <f t="shared" si="55"/>
        <v>0</v>
      </c>
      <c r="AD207" s="347">
        <v>896861.19618455996</v>
      </c>
    </row>
    <row r="208" spans="2:30" ht="17.45" hidden="1" customHeight="1" outlineLevel="1">
      <c r="B208" s="186">
        <f t="shared" si="51"/>
        <v>51957</v>
      </c>
      <c r="C208" s="296">
        <v>632992.98535312118</v>
      </c>
      <c r="D208" s="297">
        <f>IF(ISNUMBER($F208),VLOOKUP($J208,'Table 1'!$B$13:$C$41,2,FALSE)/12*1000*Study_MW,"")</f>
        <v>310551.11111111112</v>
      </c>
      <c r="E208" s="297">
        <f t="shared" si="52"/>
        <v>943544.09646423231</v>
      </c>
      <c r="F208" s="296">
        <v>19742.419320159999</v>
      </c>
      <c r="G208" s="298">
        <f t="shared" si="56"/>
        <v>47.792729004632726</v>
      </c>
      <c r="I208" s="299">
        <f t="shared" si="44"/>
        <v>212</v>
      </c>
      <c r="J208" s="293">
        <f t="shared" si="46"/>
        <v>2042</v>
      </c>
      <c r="K208" s="186">
        <f t="shared" si="47"/>
        <v>51957</v>
      </c>
      <c r="M208" s="294"/>
      <c r="N208" s="308">
        <f t="shared" si="49"/>
        <v>-0.14512963918642485</v>
      </c>
      <c r="O208" s="308">
        <f t="shared" si="49"/>
        <v>-0.13587451168338893</v>
      </c>
      <c r="P208" s="308">
        <f t="shared" si="49"/>
        <v>-1.071039753851688E-2</v>
      </c>
      <c r="V208" s="275" t="str">
        <f t="shared" si="54"/>
        <v>Winter</v>
      </c>
      <c r="Z208" s="294">
        <f t="shared" si="50"/>
        <v>2.2200000000000001E-2</v>
      </c>
      <c r="AA208" s="295">
        <f t="shared" si="55"/>
        <v>0</v>
      </c>
      <c r="AD208" s="347">
        <v>705859.94592961005</v>
      </c>
    </row>
    <row r="209" spans="2:30" ht="17.45" hidden="1" customHeight="1" outlineLevel="1">
      <c r="B209" s="186">
        <f t="shared" si="51"/>
        <v>51987</v>
      </c>
      <c r="C209" s="296">
        <v>756956.93566573027</v>
      </c>
      <c r="D209" s="297">
        <f>IF(ISNUMBER($F209),VLOOKUP($J209,'Table 1'!$B$13:$C$41,2,FALSE)/12*1000*Study_MW,"")</f>
        <v>310551.11111111112</v>
      </c>
      <c r="E209" s="297">
        <f t="shared" si="52"/>
        <v>1067508.0467768414</v>
      </c>
      <c r="F209" s="296">
        <v>22480.287469800009</v>
      </c>
      <c r="G209" s="298">
        <f t="shared" si="56"/>
        <v>47.486405510202232</v>
      </c>
      <c r="I209" s="299">
        <f t="shared" si="44"/>
        <v>213</v>
      </c>
      <c r="J209" s="293">
        <f t="shared" si="46"/>
        <v>2042</v>
      </c>
      <c r="K209" s="186">
        <f t="shared" si="47"/>
        <v>51987</v>
      </c>
      <c r="M209" s="294"/>
      <c r="N209" s="308">
        <f t="shared" si="49"/>
        <v>3.0542529235834559E-2</v>
      </c>
      <c r="O209" s="308">
        <f t="shared" si="49"/>
        <v>-4.594130407164454E-2</v>
      </c>
      <c r="P209" s="308">
        <f t="shared" si="49"/>
        <v>8.0166800673679539E-2</v>
      </c>
      <c r="V209" s="275" t="str">
        <f t="shared" si="54"/>
        <v>Winter</v>
      </c>
      <c r="Z209" s="294">
        <f t="shared" si="50"/>
        <v>2.2200000000000001E-2</v>
      </c>
      <c r="AA209" s="295">
        <f t="shared" si="55"/>
        <v>0</v>
      </c>
      <c r="AD209" s="347">
        <v>831808.58442610991</v>
      </c>
    </row>
    <row r="210" spans="2:30" ht="17.45" hidden="1" customHeight="1" outlineLevel="1">
      <c r="B210" s="186">
        <f t="shared" si="51"/>
        <v>52018</v>
      </c>
      <c r="C210" s="296">
        <v>892589.13756148831</v>
      </c>
      <c r="D210" s="297">
        <f>IF(ISNUMBER($F210),VLOOKUP($J210,'Table 1'!$B$13:$C$41,2,FALSE)/12*1000*Study_MW,"")</f>
        <v>310551.11111111112</v>
      </c>
      <c r="E210" s="297">
        <f t="shared" si="52"/>
        <v>1203140.2486725994</v>
      </c>
      <c r="F210" s="296">
        <v>21828.513316659995</v>
      </c>
      <c r="G210" s="298">
        <f t="shared" si="56"/>
        <v>55.117828283538515</v>
      </c>
      <c r="I210" s="299">
        <f t="shared" si="44"/>
        <v>214</v>
      </c>
      <c r="J210" s="293">
        <f t="shared" si="46"/>
        <v>2042</v>
      </c>
      <c r="K210" s="186">
        <f t="shared" si="47"/>
        <v>52018</v>
      </c>
      <c r="M210" s="294"/>
      <c r="N210" s="308">
        <f t="shared" si="49"/>
        <v>2.7915437718176284E-2</v>
      </c>
      <c r="O210" s="308">
        <f t="shared" si="49"/>
        <v>5.169184031444507E-2</v>
      </c>
      <c r="P210" s="308">
        <f t="shared" si="49"/>
        <v>-2.2607765587645767E-2</v>
      </c>
      <c r="V210" s="275" t="str">
        <f t="shared" si="54"/>
        <v>Summer</v>
      </c>
      <c r="Z210" s="294">
        <f t="shared" si="50"/>
        <v>2.2200000000000001E-2</v>
      </c>
      <c r="AA210" s="295">
        <f t="shared" si="55"/>
        <v>0</v>
      </c>
      <c r="AD210" s="347">
        <v>982524.34716592019</v>
      </c>
    </row>
    <row r="211" spans="2:30" ht="17.45" hidden="1" customHeight="1" outlineLevel="1">
      <c r="B211" s="186">
        <f t="shared" si="51"/>
        <v>52048</v>
      </c>
      <c r="C211" s="296">
        <v>777599.67345945188</v>
      </c>
      <c r="D211" s="297">
        <f>IF(ISNUMBER($F211),VLOOKUP($J211,'Table 1'!$B$13:$C$41,2,FALSE)/12*1000*Study_MW,"")</f>
        <v>310551.11111111112</v>
      </c>
      <c r="E211" s="297">
        <f t="shared" si="52"/>
        <v>1088150.7845705631</v>
      </c>
      <c r="F211" s="296">
        <v>15662.846689080001</v>
      </c>
      <c r="G211" s="298">
        <f t="shared" si="56"/>
        <v>69.47337263597251</v>
      </c>
      <c r="I211" s="299">
        <f t="shared" si="44"/>
        <v>215</v>
      </c>
      <c r="J211" s="293">
        <f t="shared" si="46"/>
        <v>2042</v>
      </c>
      <c r="K211" s="186">
        <f t="shared" si="47"/>
        <v>52048</v>
      </c>
      <c r="M211" s="294"/>
      <c r="N211" s="308">
        <f t="shared" si="49"/>
        <v>0.37030640304162454</v>
      </c>
      <c r="O211" s="308">
        <f t="shared" si="49"/>
        <v>0.31402593042484139</v>
      </c>
      <c r="P211" s="308">
        <f t="shared" si="49"/>
        <v>4.2830564689531503E-2</v>
      </c>
      <c r="V211" s="275" t="str">
        <f t="shared" si="54"/>
        <v>Summer</v>
      </c>
      <c r="Z211" s="294">
        <f t="shared" si="50"/>
        <v>2.2200000000000001E-2</v>
      </c>
      <c r="AA211" s="295">
        <f t="shared" si="55"/>
        <v>0</v>
      </c>
      <c r="AD211" s="347">
        <v>1001579.5383640197</v>
      </c>
    </row>
    <row r="212" spans="2:30" ht="17.45" hidden="1" customHeight="1" outlineLevel="1">
      <c r="B212" s="186">
        <f t="shared" si="51"/>
        <v>52079</v>
      </c>
      <c r="C212" s="296">
        <v>443093.53329514852</v>
      </c>
      <c r="D212" s="297">
        <f>IF(ISNUMBER($F212),VLOOKUP($J212,'Table 1'!$B$13:$C$41,2,FALSE)/12*1000*Study_MW,"")</f>
        <v>310551.11111111112</v>
      </c>
      <c r="E212" s="297">
        <f t="shared" si="52"/>
        <v>753644.64440625964</v>
      </c>
      <c r="F212" s="296">
        <v>11824.751846509998</v>
      </c>
      <c r="G212" s="298">
        <f t="shared" si="56"/>
        <v>63.734499817744009</v>
      </c>
      <c r="I212" s="299">
        <f t="shared" si="44"/>
        <v>216</v>
      </c>
      <c r="J212" s="293">
        <f t="shared" si="46"/>
        <v>2042</v>
      </c>
      <c r="K212" s="186">
        <f t="shared" si="47"/>
        <v>52079</v>
      </c>
      <c r="M212" s="294"/>
      <c r="N212" s="308">
        <f t="shared" si="49"/>
        <v>-8.8170338583087537E-2</v>
      </c>
      <c r="O212" s="308">
        <f t="shared" si="49"/>
        <v>-0.1175564323740893</v>
      </c>
      <c r="P212" s="308">
        <f t="shared" si="49"/>
        <v>3.3300819303449414E-2</v>
      </c>
      <c r="V212" s="275" t="str">
        <f t="shared" si="54"/>
        <v>Summer</v>
      </c>
      <c r="Z212" s="294">
        <f t="shared" si="50"/>
        <v>2.2200000000000001E-2</v>
      </c>
      <c r="AA212" s="295">
        <f t="shared" si="55"/>
        <v>0</v>
      </c>
      <c r="AD212" s="347">
        <v>839221.44457832002</v>
      </c>
    </row>
    <row r="213" spans="2:30" ht="17.45" hidden="1" customHeight="1" outlineLevel="1">
      <c r="B213" s="186">
        <f t="shared" si="51"/>
        <v>52110</v>
      </c>
      <c r="C213" s="296">
        <v>522673.53935656138</v>
      </c>
      <c r="D213" s="297">
        <f>IF(ISNUMBER($F213),VLOOKUP($J213,'Table 1'!$B$13:$C$41,2,FALSE)/12*1000*Study_MW,"")</f>
        <v>310551.11111111112</v>
      </c>
      <c r="E213" s="297">
        <f t="shared" si="52"/>
        <v>833224.6504676725</v>
      </c>
      <c r="F213" s="296">
        <v>12170.57831556</v>
      </c>
      <c r="G213" s="298">
        <f t="shared" si="56"/>
        <v>68.462206878238533</v>
      </c>
      <c r="I213" s="299">
        <f t="shared" si="44"/>
        <v>217</v>
      </c>
      <c r="J213" s="293">
        <f t="shared" si="46"/>
        <v>2042</v>
      </c>
      <c r="K213" s="186">
        <f t="shared" si="47"/>
        <v>52110</v>
      </c>
      <c r="M213" s="294"/>
      <c r="N213" s="308">
        <f t="shared" si="49"/>
        <v>5.7471772527517784E-2</v>
      </c>
      <c r="O213" s="308">
        <f t="shared" si="49"/>
        <v>7.4477884895272961E-2</v>
      </c>
      <c r="P213" s="308">
        <f t="shared" si="49"/>
        <v>-1.5827326561879573E-2</v>
      </c>
      <c r="V213" s="275" t="str">
        <f t="shared" si="54"/>
        <v>Summer</v>
      </c>
      <c r="Z213" s="294">
        <f t="shared" si="50"/>
        <v>2.2200000000000001E-2</v>
      </c>
      <c r="AA213" s="295">
        <f t="shared" si="55"/>
        <v>0</v>
      </c>
      <c r="AD213" s="347">
        <v>779802.32477453013</v>
      </c>
    </row>
    <row r="214" spans="2:30" ht="17.45" hidden="1" customHeight="1" outlineLevel="1">
      <c r="B214" s="186">
        <f t="shared" si="51"/>
        <v>52140</v>
      </c>
      <c r="C214" s="296">
        <v>1111416.1396519775</v>
      </c>
      <c r="D214" s="297">
        <f>IF(ISNUMBER($F214),VLOOKUP($J214,'Table 1'!$B$13:$C$41,2,FALSE)/12*1000*Study_MW,"")</f>
        <v>310551.11111111112</v>
      </c>
      <c r="E214" s="297">
        <f t="shared" si="52"/>
        <v>1421967.2507630885</v>
      </c>
      <c r="F214" s="296">
        <v>23527.343133190003</v>
      </c>
      <c r="G214" s="298">
        <f t="shared" si="56"/>
        <v>60.43892175641033</v>
      </c>
      <c r="I214" s="299">
        <f t="shared" si="44"/>
        <v>218</v>
      </c>
      <c r="J214" s="293">
        <f t="shared" si="46"/>
        <v>2042</v>
      </c>
      <c r="K214" s="186">
        <f t="shared" si="47"/>
        <v>52140</v>
      </c>
      <c r="M214" s="294"/>
      <c r="N214" s="308">
        <f t="shared" si="49"/>
        <v>5.4165755320870534E-2</v>
      </c>
      <c r="O214" s="308">
        <f t="shared" si="49"/>
        <v>1.9164840350552881E-2</v>
      </c>
      <c r="P214" s="308">
        <f t="shared" si="49"/>
        <v>3.4342741806397736E-2</v>
      </c>
      <c r="V214" s="275" t="str">
        <f t="shared" si="54"/>
        <v>Winter</v>
      </c>
      <c r="Z214" s="294">
        <f t="shared" si="50"/>
        <v>2.2200000000000001E-2</v>
      </c>
      <c r="AA214" s="295">
        <f t="shared" si="55"/>
        <v>0</v>
      </c>
      <c r="AD214" s="347">
        <v>1239592.5008418702</v>
      </c>
    </row>
    <row r="215" spans="2:30" ht="17.45" hidden="1" customHeight="1" outlineLevel="1">
      <c r="B215" s="186">
        <f t="shared" si="51"/>
        <v>52171</v>
      </c>
      <c r="C215" s="296">
        <v>733136.53725231416</v>
      </c>
      <c r="D215" s="297">
        <f>IF(ISNUMBER($F215),VLOOKUP($J215,'Table 1'!$B$13:$C$41,2,FALSE)/12*1000*Study_MW,"")</f>
        <v>310551.11111111112</v>
      </c>
      <c r="E215" s="297">
        <f t="shared" si="52"/>
        <v>1043687.6483634253</v>
      </c>
      <c r="F215" s="296">
        <v>13776.181571250001</v>
      </c>
      <c r="G215" s="298">
        <f t="shared" si="56"/>
        <v>75.760299976122113</v>
      </c>
      <c r="I215" s="299">
        <f t="shared" si="44"/>
        <v>219</v>
      </c>
      <c r="J215" s="293">
        <f t="shared" si="46"/>
        <v>2042</v>
      </c>
      <c r="K215" s="186">
        <f t="shared" si="47"/>
        <v>52171</v>
      </c>
      <c r="M215" s="294"/>
      <c r="N215" s="308">
        <f t="shared" si="49"/>
        <v>-0.18253442957412946</v>
      </c>
      <c r="O215" s="308">
        <f t="shared" si="49"/>
        <v>-0.1550980195889472</v>
      </c>
      <c r="P215" s="308">
        <f t="shared" si="49"/>
        <v>-3.2472891082388267E-2</v>
      </c>
      <c r="V215" s="275" t="str">
        <f t="shared" si="54"/>
        <v>Winter</v>
      </c>
      <c r="Z215" s="294">
        <f t="shared" si="50"/>
        <v>2.2200000000000001E-2</v>
      </c>
      <c r="AA215" s="295">
        <f t="shared" si="55"/>
        <v>0</v>
      </c>
      <c r="AD215" s="347">
        <v>1048643.8151855099</v>
      </c>
    </row>
    <row r="216" spans="2:30" ht="17.45" hidden="1" customHeight="1" outlineLevel="1">
      <c r="B216" s="187">
        <f t="shared" si="51"/>
        <v>52201</v>
      </c>
      <c r="C216" s="303">
        <v>887251.9728862351</v>
      </c>
      <c r="D216" s="304">
        <f>IF(ISNUMBER($F216),VLOOKUP($J216,'Table 1'!$B$13:$C$41,2,FALSE)/12*1000*Study_MW,"")</f>
        <v>310551.11111111112</v>
      </c>
      <c r="E216" s="304">
        <f t="shared" si="52"/>
        <v>1197803.0839973462</v>
      </c>
      <c r="F216" s="303">
        <v>15565.060646275002</v>
      </c>
      <c r="G216" s="305">
        <f t="shared" si="56"/>
        <v>76.954604367956762</v>
      </c>
      <c r="I216" s="306">
        <f t="shared" si="44"/>
        <v>220</v>
      </c>
      <c r="J216" s="293">
        <f t="shared" si="46"/>
        <v>2042</v>
      </c>
      <c r="K216" s="187">
        <f t="shared" si="47"/>
        <v>52201</v>
      </c>
      <c r="M216" s="294"/>
      <c r="N216" s="308">
        <f t="shared" si="49"/>
        <v>0.37969684039238638</v>
      </c>
      <c r="O216" s="308">
        <f t="shared" si="49"/>
        <v>0.22161138044992179</v>
      </c>
      <c r="P216" s="308">
        <f t="shared" si="49"/>
        <v>0.12940732418868062</v>
      </c>
      <c r="V216" s="275" t="str">
        <f t="shared" si="54"/>
        <v>Winter</v>
      </c>
      <c r="Z216" s="294">
        <f t="shared" si="50"/>
        <v>2.2200000000000001E-2</v>
      </c>
      <c r="AA216" s="295">
        <f t="shared" si="55"/>
        <v>0</v>
      </c>
      <c r="AD216" s="347">
        <v>1199681.4791976425</v>
      </c>
    </row>
    <row r="217" spans="2:30" ht="17.45" hidden="1" customHeight="1" outlineLevel="1">
      <c r="B217" s="185">
        <f t="shared" si="51"/>
        <v>52232</v>
      </c>
      <c r="C217" s="287">
        <v>1020786.539996916</v>
      </c>
      <c r="D217" s="288">
        <f>IF(ISNUMBER($F217),VLOOKUP($J217,'Table 1'!$B$13:$C$41,2,FALSE)/12*1000*Study_MW,"")</f>
        <v>317445.33333333331</v>
      </c>
      <c r="E217" s="289">
        <f t="shared" si="52"/>
        <v>1338231.8733302492</v>
      </c>
      <c r="F217" s="290">
        <v>17943.308888460004</v>
      </c>
      <c r="G217" s="291">
        <f t="shared" si="56"/>
        <v>74.581108849489567</v>
      </c>
      <c r="I217" s="307">
        <f t="shared" si="44"/>
        <v>222</v>
      </c>
      <c r="J217" s="293">
        <f t="shared" si="46"/>
        <v>2043</v>
      </c>
      <c r="K217" s="185">
        <f t="shared" si="47"/>
        <v>52232</v>
      </c>
      <c r="M217" s="294"/>
      <c r="N217" s="308">
        <f t="shared" si="49"/>
        <v>8.7590445951570617E-2</v>
      </c>
      <c r="O217" s="308">
        <f t="shared" si="49"/>
        <v>5.7842625860648145E-2</v>
      </c>
      <c r="P217" s="308">
        <f t="shared" si="49"/>
        <v>2.8121215163474877E-2</v>
      </c>
      <c r="V217" s="275" t="str">
        <f t="shared" si="54"/>
        <v>Winter</v>
      </c>
      <c r="Z217" s="294">
        <f t="shared" si="50"/>
        <v>2.2200000000000001E-2</v>
      </c>
      <c r="AA217" s="295">
        <f t="shared" si="55"/>
        <v>0</v>
      </c>
      <c r="AD217" s="347">
        <v>1434377.8627607697</v>
      </c>
    </row>
    <row r="218" spans="2:30" ht="17.45" hidden="1" customHeight="1" outlineLevel="1">
      <c r="B218" s="186">
        <f t="shared" si="51"/>
        <v>52263</v>
      </c>
      <c r="C218" s="296">
        <v>1230765.0606772222</v>
      </c>
      <c r="D218" s="297">
        <f>IF(ISNUMBER($F218),VLOOKUP($J218,'Table 1'!$B$13:$C$41,2,FALSE)/12*1000*Study_MW,"")</f>
        <v>317445.33333333331</v>
      </c>
      <c r="E218" s="297">
        <f t="shared" si="52"/>
        <v>1548210.3940105555</v>
      </c>
      <c r="F218" s="296">
        <v>20134.57358511</v>
      </c>
      <c r="G218" s="298">
        <f t="shared" si="56"/>
        <v>76.893130488519219</v>
      </c>
      <c r="I218" s="299">
        <f t="shared" ref="I218:I324" si="57">I206+13</f>
        <v>223</v>
      </c>
      <c r="J218" s="293">
        <f t="shared" si="46"/>
        <v>2043</v>
      </c>
      <c r="K218" s="186">
        <f t="shared" si="47"/>
        <v>52263</v>
      </c>
      <c r="M218" s="294"/>
      <c r="N218" s="308">
        <f t="shared" si="49"/>
        <v>2.8238001164555993E-2</v>
      </c>
      <c r="O218" s="308">
        <f t="shared" si="49"/>
        <v>-2.3762646137859611E-2</v>
      </c>
      <c r="P218" s="308">
        <f t="shared" si="49"/>
        <v>5.326639786594245E-2</v>
      </c>
      <c r="V218" s="275" t="str">
        <f t="shared" si="54"/>
        <v>Winter</v>
      </c>
      <c r="Z218" s="294">
        <f t="shared" si="50"/>
        <v>2.2200000000000001E-2</v>
      </c>
      <c r="AA218" s="295">
        <f t="shared" si="55"/>
        <v>0</v>
      </c>
      <c r="AD218" s="347">
        <v>1576070.4747019196</v>
      </c>
    </row>
    <row r="219" spans="2:30" ht="17.45" hidden="1" customHeight="1" outlineLevel="1">
      <c r="B219" s="186">
        <f t="shared" si="51"/>
        <v>52291</v>
      </c>
      <c r="C219" s="296">
        <v>715460.50283391378</v>
      </c>
      <c r="D219" s="297">
        <f>IF(ISNUMBER($F219),VLOOKUP($J219,'Table 1'!$B$13:$C$41,2,FALSE)/12*1000*Study_MW,"")</f>
        <v>317445.33333333331</v>
      </c>
      <c r="E219" s="297">
        <f t="shared" si="52"/>
        <v>1032905.836167247</v>
      </c>
      <c r="F219" s="296">
        <v>18349.125429259999</v>
      </c>
      <c r="G219" s="298">
        <f t="shared" si="56"/>
        <v>56.291829283598886</v>
      </c>
      <c r="I219" s="299">
        <f t="shared" si="57"/>
        <v>224</v>
      </c>
      <c r="J219" s="293">
        <f t="shared" si="46"/>
        <v>2043</v>
      </c>
      <c r="K219" s="186">
        <f t="shared" si="47"/>
        <v>52291</v>
      </c>
      <c r="M219" s="294"/>
      <c r="N219" s="308">
        <f t="shared" si="49"/>
        <v>-3.4484037995542449E-3</v>
      </c>
      <c r="O219" s="308">
        <f t="shared" si="49"/>
        <v>-3.1854447933596597E-2</v>
      </c>
      <c r="P219" s="308">
        <f t="shared" si="49"/>
        <v>2.9340675142712547E-2</v>
      </c>
      <c r="V219" s="275" t="str">
        <f t="shared" si="54"/>
        <v>Winter</v>
      </c>
      <c r="Z219" s="294">
        <f t="shared" si="50"/>
        <v>2.2200000000000001E-2</v>
      </c>
      <c r="AA219" s="295">
        <f t="shared" si="55"/>
        <v>0</v>
      </c>
      <c r="AD219" s="347">
        <v>924151.91173824982</v>
      </c>
    </row>
    <row r="220" spans="2:30" ht="17.45" hidden="1" customHeight="1" outlineLevel="1">
      <c r="B220" s="186">
        <f t="shared" si="51"/>
        <v>52322</v>
      </c>
      <c r="C220" s="296">
        <v>744235.49166295561</v>
      </c>
      <c r="D220" s="297">
        <f>IF(ISNUMBER($F220),VLOOKUP($J220,'Table 1'!$B$13:$C$41,2,FALSE)/12*1000*Study_MW,"")</f>
        <v>317445.33333333331</v>
      </c>
      <c r="E220" s="297">
        <f t="shared" si="52"/>
        <v>1061680.8249962889</v>
      </c>
      <c r="F220" s="296">
        <v>20661.518720159998</v>
      </c>
      <c r="G220" s="298">
        <f t="shared" si="56"/>
        <v>51.384452390732456</v>
      </c>
      <c r="I220" s="299">
        <f t="shared" si="57"/>
        <v>225</v>
      </c>
      <c r="J220" s="293">
        <f t="shared" si="46"/>
        <v>2043</v>
      </c>
      <c r="K220" s="186">
        <f t="shared" si="47"/>
        <v>52322</v>
      </c>
      <c r="M220" s="294"/>
      <c r="N220" s="308">
        <f t="shared" si="49"/>
        <v>0.1252053072821433</v>
      </c>
      <c r="O220" s="308">
        <f t="shared" si="49"/>
        <v>4.6554547601035834E-2</v>
      </c>
      <c r="P220" s="308">
        <f t="shared" si="49"/>
        <v>7.515208821307473E-2</v>
      </c>
      <c r="V220" s="275" t="str">
        <f t="shared" si="54"/>
        <v>Winter</v>
      </c>
      <c r="Z220" s="294">
        <f t="shared" si="50"/>
        <v>2.2200000000000001E-2</v>
      </c>
      <c r="AA220" s="295">
        <f t="shared" si="55"/>
        <v>0</v>
      </c>
      <c r="AD220" s="347">
        <v>830707.73814152007</v>
      </c>
    </row>
    <row r="221" spans="2:30" ht="17.45" hidden="1" customHeight="1" outlineLevel="1">
      <c r="B221" s="186">
        <f t="shared" si="51"/>
        <v>52352</v>
      </c>
      <c r="C221" s="296">
        <v>905912.12478280067</v>
      </c>
      <c r="D221" s="297">
        <f>IF(ISNUMBER($F221),VLOOKUP($J221,'Table 1'!$B$13:$C$41,2,FALSE)/12*1000*Study_MW,"")</f>
        <v>317445.33333333331</v>
      </c>
      <c r="E221" s="297">
        <f t="shared" si="52"/>
        <v>1223357.4581161339</v>
      </c>
      <c r="F221" s="296">
        <v>22464.29332414001</v>
      </c>
      <c r="G221" s="298">
        <f t="shared" si="56"/>
        <v>54.457865220337048</v>
      </c>
      <c r="I221" s="299">
        <f t="shared" si="57"/>
        <v>226</v>
      </c>
      <c r="J221" s="293">
        <f t="shared" si="46"/>
        <v>2043</v>
      </c>
      <c r="K221" s="186">
        <f t="shared" si="47"/>
        <v>52352</v>
      </c>
      <c r="M221" s="294"/>
      <c r="N221" s="308">
        <f t="shared" ref="N221:P236" si="58">E221/E209-1</f>
        <v>0.14599366422562654</v>
      </c>
      <c r="O221" s="308">
        <f t="shared" si="58"/>
        <v>-7.1147424967255013E-4</v>
      </c>
      <c r="P221" s="308">
        <f t="shared" si="58"/>
        <v>0.14680958971798841</v>
      </c>
      <c r="V221" s="275" t="str">
        <f t="shared" si="54"/>
        <v>Winter</v>
      </c>
      <c r="Z221" s="294">
        <f t="shared" si="50"/>
        <v>2.2200000000000001E-2</v>
      </c>
      <c r="AA221" s="295">
        <f t="shared" si="55"/>
        <v>0</v>
      </c>
      <c r="AD221" s="347">
        <v>998772.63042752002</v>
      </c>
    </row>
    <row r="222" spans="2:30" ht="17.45" hidden="1" customHeight="1" outlineLevel="1">
      <c r="B222" s="186">
        <f t="shared" si="51"/>
        <v>52383</v>
      </c>
      <c r="C222" s="296">
        <v>972264.9061321863</v>
      </c>
      <c r="D222" s="297">
        <f>IF(ISNUMBER($F222),VLOOKUP($J222,'Table 1'!$B$13:$C$41,2,FALSE)/12*1000*Study_MW,"")</f>
        <v>317445.33333333331</v>
      </c>
      <c r="E222" s="297">
        <f t="shared" si="52"/>
        <v>1289710.2394655196</v>
      </c>
      <c r="F222" s="296">
        <v>21524.017336009998</v>
      </c>
      <c r="G222" s="298">
        <f t="shared" si="56"/>
        <v>59.919587469752464</v>
      </c>
      <c r="I222" s="299">
        <f t="shared" si="57"/>
        <v>227</v>
      </c>
      <c r="J222" s="293">
        <f t="shared" si="46"/>
        <v>2043</v>
      </c>
      <c r="K222" s="186">
        <f t="shared" si="47"/>
        <v>52383</v>
      </c>
      <c r="M222" s="294"/>
      <c r="N222" s="308">
        <f t="shared" si="58"/>
        <v>7.19533661087568E-2</v>
      </c>
      <c r="O222" s="308">
        <f t="shared" si="58"/>
        <v>-1.3949460333498753E-2</v>
      </c>
      <c r="P222" s="308">
        <f t="shared" si="58"/>
        <v>8.7118076596062854E-2</v>
      </c>
      <c r="V222" s="275" t="str">
        <f t="shared" si="54"/>
        <v>Summer</v>
      </c>
      <c r="Z222" s="294">
        <f t="shared" si="50"/>
        <v>2.2200000000000001E-2</v>
      </c>
      <c r="AA222" s="295">
        <f t="shared" si="55"/>
        <v>0</v>
      </c>
      <c r="AD222" s="347">
        <v>1099589.5108007998</v>
      </c>
    </row>
    <row r="223" spans="2:30" ht="17.45" hidden="1" customHeight="1" outlineLevel="1">
      <c r="B223" s="186">
        <f t="shared" si="51"/>
        <v>52413</v>
      </c>
      <c r="C223" s="296">
        <v>710846.13306639949</v>
      </c>
      <c r="D223" s="297">
        <f>IF(ISNUMBER($F223),VLOOKUP($J223,'Table 1'!$B$13:$C$41,2,FALSE)/12*1000*Study_MW,"")</f>
        <v>317445.33333333331</v>
      </c>
      <c r="E223" s="297">
        <f t="shared" si="52"/>
        <v>1028291.4663997327</v>
      </c>
      <c r="F223" s="296">
        <v>15147.51103519</v>
      </c>
      <c r="G223" s="298">
        <f t="shared" si="56"/>
        <v>67.885176911959547</v>
      </c>
      <c r="I223" s="299">
        <f t="shared" si="57"/>
        <v>228</v>
      </c>
      <c r="J223" s="293">
        <f t="shared" si="46"/>
        <v>2043</v>
      </c>
      <c r="K223" s="186">
        <f t="shared" si="47"/>
        <v>52413</v>
      </c>
      <c r="M223" s="294"/>
      <c r="N223" s="308">
        <f t="shared" si="58"/>
        <v>-5.5010131885769642E-2</v>
      </c>
      <c r="O223" s="308">
        <f t="shared" si="58"/>
        <v>-3.2901787530697613E-2</v>
      </c>
      <c r="P223" s="308">
        <f t="shared" si="58"/>
        <v>-2.2860495521569213E-2</v>
      </c>
      <c r="V223" s="275" t="str">
        <f t="shared" si="54"/>
        <v>Summer</v>
      </c>
      <c r="Z223" s="294">
        <f t="shared" si="50"/>
        <v>2.2200000000000001E-2</v>
      </c>
      <c r="AA223" s="295">
        <f t="shared" si="55"/>
        <v>0</v>
      </c>
      <c r="AD223" s="347">
        <v>1013150.1497940399</v>
      </c>
    </row>
    <row r="224" spans="2:30" ht="17.45" hidden="1" customHeight="1" outlineLevel="1">
      <c r="B224" s="186">
        <f t="shared" si="51"/>
        <v>52444</v>
      </c>
      <c r="C224" s="296">
        <v>543505.0557841314</v>
      </c>
      <c r="D224" s="297">
        <f>IF(ISNUMBER($F224),VLOOKUP($J224,'Table 1'!$B$13:$C$41,2,FALSE)/12*1000*Study_MW,"")</f>
        <v>317445.33333333331</v>
      </c>
      <c r="E224" s="297">
        <f t="shared" si="52"/>
        <v>860950.38911746466</v>
      </c>
      <c r="F224" s="296">
        <v>12548.558045939999</v>
      </c>
      <c r="G224" s="298">
        <f t="shared" si="56"/>
        <v>68.609507639486864</v>
      </c>
      <c r="I224" s="299">
        <f t="shared" si="57"/>
        <v>229</v>
      </c>
      <c r="J224" s="293">
        <f t="shared" si="46"/>
        <v>2043</v>
      </c>
      <c r="K224" s="186">
        <f t="shared" si="47"/>
        <v>52444</v>
      </c>
      <c r="M224" s="294"/>
      <c r="N224" s="308">
        <f t="shared" si="58"/>
        <v>0.14238241525054973</v>
      </c>
      <c r="O224" s="308">
        <f t="shared" si="58"/>
        <v>6.1211111135801799E-2</v>
      </c>
      <c r="P224" s="308">
        <f t="shared" si="58"/>
        <v>7.6489308548486123E-2</v>
      </c>
      <c r="V224" s="275" t="str">
        <f t="shared" si="54"/>
        <v>Summer</v>
      </c>
      <c r="Z224" s="294">
        <f t="shared" si="50"/>
        <v>2.2200000000000001E-2</v>
      </c>
      <c r="AA224" s="295">
        <f t="shared" si="55"/>
        <v>0</v>
      </c>
      <c r="AD224" s="347">
        <v>1084483.8175280401</v>
      </c>
    </row>
    <row r="225" spans="2:30" ht="17.45" hidden="1" customHeight="1" outlineLevel="1">
      <c r="B225" s="186">
        <f t="shared" si="51"/>
        <v>52475</v>
      </c>
      <c r="C225" s="296">
        <v>510195.61267411336</v>
      </c>
      <c r="D225" s="297">
        <f>IF(ISNUMBER($F225),VLOOKUP($J225,'Table 1'!$B$13:$C$41,2,FALSE)/12*1000*Study_MW,"")</f>
        <v>317445.33333333331</v>
      </c>
      <c r="E225" s="297">
        <f t="shared" si="52"/>
        <v>827640.94600744662</v>
      </c>
      <c r="F225" s="296">
        <v>12296.434959349997</v>
      </c>
      <c r="G225" s="298">
        <f t="shared" si="56"/>
        <v>67.307390210535999</v>
      </c>
      <c r="I225" s="299">
        <f t="shared" si="57"/>
        <v>230</v>
      </c>
      <c r="J225" s="293">
        <f t="shared" si="46"/>
        <v>2043</v>
      </c>
      <c r="K225" s="186">
        <f t="shared" si="47"/>
        <v>52475</v>
      </c>
      <c r="M225" s="294"/>
      <c r="N225" s="308">
        <f t="shared" si="58"/>
        <v>-6.7013193345778488E-3</v>
      </c>
      <c r="O225" s="308">
        <f t="shared" si="58"/>
        <v>1.0341056975829099E-2</v>
      </c>
      <c r="P225" s="308">
        <f t="shared" si="58"/>
        <v>-1.6867943941047625E-2</v>
      </c>
      <c r="V225" s="275" t="str">
        <f t="shared" si="54"/>
        <v>Summer</v>
      </c>
      <c r="Z225" s="294">
        <f t="shared" si="50"/>
        <v>2.2200000000000001E-2</v>
      </c>
      <c r="AA225" s="295">
        <f t="shared" si="55"/>
        <v>0</v>
      </c>
      <c r="AD225" s="347">
        <v>818811.67241452006</v>
      </c>
    </row>
    <row r="226" spans="2:30" ht="17.45" hidden="1" customHeight="1" outlineLevel="1">
      <c r="B226" s="186">
        <f t="shared" si="51"/>
        <v>52505</v>
      </c>
      <c r="C226" s="296">
        <v>1124420.1756847615</v>
      </c>
      <c r="D226" s="297">
        <f>IF(ISNUMBER($F226),VLOOKUP($J226,'Table 1'!$B$13:$C$41,2,FALSE)/12*1000*Study_MW,"")</f>
        <v>317445.33333333331</v>
      </c>
      <c r="E226" s="297">
        <f t="shared" si="52"/>
        <v>1441865.5090180947</v>
      </c>
      <c r="F226" s="296">
        <v>22788.968736790001</v>
      </c>
      <c r="G226" s="298">
        <f t="shared" si="56"/>
        <v>63.270327221537649</v>
      </c>
      <c r="I226" s="299">
        <f t="shared" si="57"/>
        <v>231</v>
      </c>
      <c r="J226" s="293">
        <f t="shared" si="46"/>
        <v>2043</v>
      </c>
      <c r="K226" s="186">
        <f t="shared" si="47"/>
        <v>52505</v>
      </c>
      <c r="M226" s="294"/>
      <c r="N226" s="308">
        <f t="shared" si="58"/>
        <v>1.399347154045083E-2</v>
      </c>
      <c r="O226" s="308">
        <f t="shared" si="58"/>
        <v>-3.1383671000164037E-2</v>
      </c>
      <c r="P226" s="308">
        <f t="shared" si="58"/>
        <v>4.6847385473534064E-2</v>
      </c>
      <c r="V226" s="275" t="str">
        <f t="shared" si="54"/>
        <v>Winter</v>
      </c>
      <c r="Z226" s="294">
        <f t="shared" si="50"/>
        <v>2.2200000000000001E-2</v>
      </c>
      <c r="AA226" s="295">
        <f t="shared" si="55"/>
        <v>0</v>
      </c>
      <c r="AD226" s="347">
        <v>1247440.5899189101</v>
      </c>
    </row>
    <row r="227" spans="2:30" ht="17.45" hidden="1" customHeight="1" outlineLevel="1">
      <c r="B227" s="186">
        <f t="shared" si="51"/>
        <v>52536</v>
      </c>
      <c r="C227" s="296">
        <v>783089.62497877656</v>
      </c>
      <c r="D227" s="297">
        <f>IF(ISNUMBER($F227),VLOOKUP($J227,'Table 1'!$B$13:$C$41,2,FALSE)/12*1000*Study_MW,"")</f>
        <v>317445.33333333331</v>
      </c>
      <c r="E227" s="297">
        <f t="shared" si="52"/>
        <v>1100534.9583121098</v>
      </c>
      <c r="F227" s="296">
        <v>13895.100906430001</v>
      </c>
      <c r="G227" s="298">
        <f t="shared" si="56"/>
        <v>79.203092206608858</v>
      </c>
      <c r="I227" s="299">
        <f t="shared" si="57"/>
        <v>232</v>
      </c>
      <c r="J227" s="293">
        <f t="shared" si="46"/>
        <v>2043</v>
      </c>
      <c r="K227" s="186">
        <f t="shared" si="47"/>
        <v>52536</v>
      </c>
      <c r="M227" s="294"/>
      <c r="N227" s="308">
        <f t="shared" si="58"/>
        <v>5.446774237275398E-2</v>
      </c>
      <c r="O227" s="308">
        <f t="shared" si="58"/>
        <v>8.6322421467046606E-3</v>
      </c>
      <c r="P227" s="308">
        <f t="shared" si="58"/>
        <v>4.5443223318437642E-2</v>
      </c>
      <c r="V227" s="275" t="str">
        <f t="shared" si="54"/>
        <v>Winter</v>
      </c>
      <c r="Z227" s="294">
        <f t="shared" si="50"/>
        <v>2.2200000000000001E-2</v>
      </c>
      <c r="AA227" s="295">
        <f t="shared" si="55"/>
        <v>0</v>
      </c>
      <c r="AD227" s="347">
        <v>1148962.3633759203</v>
      </c>
    </row>
    <row r="228" spans="2:30" ht="17.45" hidden="1" customHeight="1" outlineLevel="1">
      <c r="B228" s="187">
        <f t="shared" si="51"/>
        <v>52566</v>
      </c>
      <c r="C228" s="303">
        <v>835291.4286785915</v>
      </c>
      <c r="D228" s="304">
        <f>IF(ISNUMBER($F228),VLOOKUP($J228,'Table 1'!$B$13:$C$41,2,FALSE)/12*1000*Study_MW,"")</f>
        <v>317445.33333333331</v>
      </c>
      <c r="E228" s="304">
        <f t="shared" si="52"/>
        <v>1152736.7620119248</v>
      </c>
      <c r="F228" s="303">
        <v>15313.756105619334</v>
      </c>
      <c r="G228" s="305">
        <f t="shared" si="56"/>
        <v>75.274593252071696</v>
      </c>
      <c r="I228" s="306">
        <f t="shared" si="57"/>
        <v>233</v>
      </c>
      <c r="J228" s="293">
        <f t="shared" si="46"/>
        <v>2043</v>
      </c>
      <c r="K228" s="187">
        <f t="shared" si="47"/>
        <v>52566</v>
      </c>
      <c r="M228" s="294"/>
      <c r="N228" s="308">
        <f t="shared" si="58"/>
        <v>-3.7624149234133486E-2</v>
      </c>
      <c r="O228" s="308">
        <f t="shared" si="58"/>
        <v>-1.6145426372997096E-2</v>
      </c>
      <c r="P228" s="308">
        <f t="shared" si="58"/>
        <v>-2.1831196842389433E-2</v>
      </c>
      <c r="V228" s="275" t="str">
        <f t="shared" si="54"/>
        <v>Winter</v>
      </c>
      <c r="Z228" s="294">
        <f t="shared" si="50"/>
        <v>2.2200000000000001E-2</v>
      </c>
      <c r="AA228" s="295">
        <f t="shared" si="55"/>
        <v>0</v>
      </c>
      <c r="AD228" s="347">
        <v>1266934.3316763341</v>
      </c>
    </row>
    <row r="229" spans="2:30" ht="17.45" hidden="1" customHeight="1" outlineLevel="1">
      <c r="B229" s="185">
        <f t="shared" si="51"/>
        <v>52597</v>
      </c>
      <c r="C229" s="287">
        <v>1140818.2843108661</v>
      </c>
      <c r="D229" s="288">
        <f>IF(ISNUMBER($F229),VLOOKUP($J229,'Table 1'!$B$13:$C$41,2,FALSE)/12*1000*Study_MW,"")</f>
        <v>324488.88888888888</v>
      </c>
      <c r="E229" s="289">
        <f t="shared" si="52"/>
        <v>1465307.1731997551</v>
      </c>
      <c r="F229" s="290">
        <v>18859.187018470002</v>
      </c>
      <c r="G229" s="291">
        <f t="shared" si="56"/>
        <v>77.697260850358319</v>
      </c>
      <c r="I229" s="307">
        <f t="shared" si="57"/>
        <v>235</v>
      </c>
      <c r="J229" s="293">
        <f t="shared" si="46"/>
        <v>2044</v>
      </c>
      <c r="K229" s="185">
        <f t="shared" si="47"/>
        <v>52597</v>
      </c>
      <c r="M229" s="294"/>
      <c r="N229" s="308">
        <f t="shared" si="58"/>
        <v>9.4957609665411224E-2</v>
      </c>
      <c r="O229" s="308">
        <f t="shared" si="58"/>
        <v>5.1042878195059815E-2</v>
      </c>
      <c r="P229" s="308">
        <f t="shared" si="58"/>
        <v>4.1782055120116013E-2</v>
      </c>
      <c r="V229" s="275" t="str">
        <f t="shared" si="54"/>
        <v>Winter</v>
      </c>
      <c r="Z229" s="294">
        <f t="shared" si="50"/>
        <v>2.2200000000000001E-2</v>
      </c>
      <c r="AA229" s="295">
        <f t="shared" si="55"/>
        <v>0</v>
      </c>
      <c r="AD229" s="347">
        <v>1630448.3735875101</v>
      </c>
    </row>
    <row r="230" spans="2:30" ht="17.45" hidden="1" customHeight="1" outlineLevel="1">
      <c r="B230" s="186">
        <f t="shared" si="51"/>
        <v>52628</v>
      </c>
      <c r="C230" s="296">
        <v>1138164.7141159046</v>
      </c>
      <c r="D230" s="297">
        <f>IF(ISNUMBER($F230),VLOOKUP($J230,'Table 1'!$B$13:$C$41,2,FALSE)/12*1000*Study_MW,"")</f>
        <v>324488.88888888888</v>
      </c>
      <c r="E230" s="297">
        <f t="shared" si="52"/>
        <v>1462653.6030047936</v>
      </c>
      <c r="F230" s="296">
        <v>19304.138292299998</v>
      </c>
      <c r="G230" s="298">
        <f t="shared" si="56"/>
        <v>75.768914460595965</v>
      </c>
      <c r="I230" s="299">
        <f t="shared" si="57"/>
        <v>236</v>
      </c>
      <c r="J230" s="293">
        <f t="shared" si="46"/>
        <v>2044</v>
      </c>
      <c r="K230" s="186">
        <f t="shared" si="47"/>
        <v>52628</v>
      </c>
      <c r="M230" s="294"/>
      <c r="N230" s="308">
        <f t="shared" si="58"/>
        <v>-5.5261734023198006E-2</v>
      </c>
      <c r="O230" s="308">
        <f t="shared" si="58"/>
        <v>-4.1244245342455521E-2</v>
      </c>
      <c r="P230" s="308">
        <f t="shared" si="58"/>
        <v>-1.4620500177075058E-2</v>
      </c>
      <c r="V230" s="275" t="str">
        <f t="shared" si="54"/>
        <v>Winter</v>
      </c>
      <c r="Z230" s="294">
        <f t="shared" si="50"/>
        <v>2.2200000000000001E-2</v>
      </c>
      <c r="AA230" s="295">
        <f t="shared" si="55"/>
        <v>0</v>
      </c>
      <c r="AD230" s="347">
        <v>1693224.7864493299</v>
      </c>
    </row>
    <row r="231" spans="2:30" ht="17.45" hidden="1" customHeight="1" outlineLevel="1">
      <c r="B231" s="186">
        <f t="shared" si="51"/>
        <v>52657</v>
      </c>
      <c r="C231" s="296">
        <v>673307.86421932862</v>
      </c>
      <c r="D231" s="297">
        <f>IF(ISNUMBER($F231),VLOOKUP($J231,'Table 1'!$B$13:$C$41,2,FALSE)/12*1000*Study_MW,"")</f>
        <v>324488.88888888888</v>
      </c>
      <c r="E231" s="297">
        <f t="shared" si="52"/>
        <v>997796.7531082175</v>
      </c>
      <c r="F231" s="296">
        <v>17956.003675159998</v>
      </c>
      <c r="G231" s="298">
        <f t="shared" si="56"/>
        <v>55.568976881451128</v>
      </c>
      <c r="I231" s="299">
        <f t="shared" si="57"/>
        <v>237</v>
      </c>
      <c r="J231" s="293">
        <f t="shared" si="46"/>
        <v>2044</v>
      </c>
      <c r="K231" s="186">
        <f t="shared" si="47"/>
        <v>52657</v>
      </c>
      <c r="M231" s="294"/>
      <c r="N231" s="308">
        <f t="shared" si="58"/>
        <v>-3.3990594137125907E-2</v>
      </c>
      <c r="O231" s="308">
        <f t="shared" si="58"/>
        <v>-2.1424549939209503E-2</v>
      </c>
      <c r="P231" s="308">
        <f t="shared" si="58"/>
        <v>-1.2841160277560326E-2</v>
      </c>
      <c r="V231" s="275" t="str">
        <f t="shared" si="54"/>
        <v>Winter</v>
      </c>
      <c r="Z231" s="294">
        <f t="shared" si="50"/>
        <v>2.2200000000000001E-2</v>
      </c>
      <c r="AA231" s="295">
        <f t="shared" si="55"/>
        <v>0</v>
      </c>
      <c r="AD231" s="347">
        <v>1171355.44487516</v>
      </c>
    </row>
    <row r="232" spans="2:30" ht="17.45" hidden="1" customHeight="1" outlineLevel="1">
      <c r="B232" s="186">
        <f t="shared" si="51"/>
        <v>52688</v>
      </c>
      <c r="C232" s="296">
        <v>957480.57855991647</v>
      </c>
      <c r="D232" s="297">
        <f>IF(ISNUMBER($F232),VLOOKUP($J232,'Table 1'!$B$13:$C$41,2,FALSE)/12*1000*Study_MW,"")</f>
        <v>324488.88888888888</v>
      </c>
      <c r="E232" s="297">
        <f t="shared" si="52"/>
        <v>1281969.4674488055</v>
      </c>
      <c r="F232" s="296">
        <v>22296.220530250001</v>
      </c>
      <c r="G232" s="298">
        <f t="shared" si="56"/>
        <v>57.497164853994704</v>
      </c>
      <c r="I232" s="299">
        <f t="shared" si="57"/>
        <v>238</v>
      </c>
      <c r="J232" s="293">
        <f t="shared" si="46"/>
        <v>2044</v>
      </c>
      <c r="K232" s="186">
        <f t="shared" si="47"/>
        <v>52688</v>
      </c>
      <c r="M232" s="294"/>
      <c r="N232" s="308">
        <f t="shared" si="58"/>
        <v>0.20749045971823654</v>
      </c>
      <c r="O232" s="308">
        <f t="shared" si="58"/>
        <v>7.9118182561041861E-2</v>
      </c>
      <c r="P232" s="308">
        <f t="shared" si="58"/>
        <v>0.11896035043402975</v>
      </c>
      <c r="V232" s="275" t="str">
        <f t="shared" si="54"/>
        <v>Winter</v>
      </c>
      <c r="Z232" s="294">
        <f t="shared" si="50"/>
        <v>2.2200000000000001E-2</v>
      </c>
      <c r="AA232" s="295">
        <f t="shared" si="55"/>
        <v>0</v>
      </c>
      <c r="AD232" s="347">
        <v>1020465.35732547</v>
      </c>
    </row>
    <row r="233" spans="2:30" ht="17.45" hidden="1" customHeight="1" outlineLevel="1">
      <c r="B233" s="186">
        <f t="shared" si="51"/>
        <v>52718</v>
      </c>
      <c r="C233" s="296">
        <v>879331.69187535532</v>
      </c>
      <c r="D233" s="297">
        <f>IF(ISNUMBER($F233),VLOOKUP($J233,'Table 1'!$B$13:$C$41,2,FALSE)/12*1000*Study_MW,"")</f>
        <v>324488.88888888888</v>
      </c>
      <c r="E233" s="297">
        <f t="shared" si="52"/>
        <v>1203820.5807642443</v>
      </c>
      <c r="F233" s="296">
        <v>22706.788430020009</v>
      </c>
      <c r="G233" s="298">
        <f t="shared" si="56"/>
        <v>53.015889255950739</v>
      </c>
      <c r="I233" s="299">
        <f t="shared" si="57"/>
        <v>239</v>
      </c>
      <c r="J233" s="293">
        <f t="shared" si="46"/>
        <v>2044</v>
      </c>
      <c r="K233" s="186">
        <f t="shared" si="47"/>
        <v>52718</v>
      </c>
      <c r="M233" s="294"/>
      <c r="N233" s="308">
        <f t="shared" si="58"/>
        <v>-1.5969884535608103E-2</v>
      </c>
      <c r="O233" s="308">
        <f t="shared" si="58"/>
        <v>1.0794691040622029E-2</v>
      </c>
      <c r="P233" s="308">
        <f t="shared" si="58"/>
        <v>-2.64787456972847E-2</v>
      </c>
      <c r="V233" s="275" t="str">
        <f t="shared" si="54"/>
        <v>Winter</v>
      </c>
      <c r="Z233" s="294">
        <f t="shared" si="50"/>
        <v>2.2200000000000001E-2</v>
      </c>
      <c r="AA233" s="295">
        <f t="shared" si="55"/>
        <v>0</v>
      </c>
      <c r="AD233" s="347">
        <v>1024877.69486526</v>
      </c>
    </row>
    <row r="234" spans="2:30" ht="17.45" hidden="1" customHeight="1" outlineLevel="1">
      <c r="B234" s="186">
        <f t="shared" si="51"/>
        <v>52749</v>
      </c>
      <c r="C234" s="296">
        <v>1065264.9841359525</v>
      </c>
      <c r="D234" s="297">
        <f>IF(ISNUMBER($F234),VLOOKUP($J234,'Table 1'!$B$13:$C$41,2,FALSE)/12*1000*Study_MW,"")</f>
        <v>324488.88888888888</v>
      </c>
      <c r="E234" s="297">
        <f t="shared" si="52"/>
        <v>1389753.8730248413</v>
      </c>
      <c r="F234" s="296">
        <v>21745.812183619997</v>
      </c>
      <c r="G234" s="298">
        <f t="shared" si="56"/>
        <v>63.9090350495932</v>
      </c>
      <c r="I234" s="299">
        <f t="shared" si="57"/>
        <v>240</v>
      </c>
      <c r="J234" s="293">
        <f t="shared" si="46"/>
        <v>2044</v>
      </c>
      <c r="K234" s="186">
        <f t="shared" si="47"/>
        <v>52749</v>
      </c>
      <c r="M234" s="294"/>
      <c r="N234" s="308">
        <f t="shared" si="58"/>
        <v>7.757062826823935E-2</v>
      </c>
      <c r="O234" s="308">
        <f t="shared" si="58"/>
        <v>1.0304528385550737E-2</v>
      </c>
      <c r="P234" s="308">
        <f t="shared" si="58"/>
        <v>6.6580024134088367E-2</v>
      </c>
      <c r="V234" s="275" t="str">
        <f t="shared" si="54"/>
        <v>Summer</v>
      </c>
      <c r="Z234" s="294">
        <f t="shared" si="50"/>
        <v>2.2200000000000001E-2</v>
      </c>
      <c r="AA234" s="295">
        <f t="shared" si="55"/>
        <v>0</v>
      </c>
      <c r="AD234" s="347">
        <v>1206971.4660619001</v>
      </c>
    </row>
    <row r="235" spans="2:30" ht="17.45" hidden="1" customHeight="1" outlineLevel="1">
      <c r="B235" s="186">
        <f t="shared" si="51"/>
        <v>52779</v>
      </c>
      <c r="C235" s="296">
        <v>656315.54105709074</v>
      </c>
      <c r="D235" s="297">
        <f>IF(ISNUMBER($F235),VLOOKUP($J235,'Table 1'!$B$13:$C$41,2,FALSE)/12*1000*Study_MW,"")</f>
        <v>324488.88888888888</v>
      </c>
      <c r="E235" s="297">
        <f t="shared" si="52"/>
        <v>980804.42994597962</v>
      </c>
      <c r="F235" s="296">
        <v>13611.277785999999</v>
      </c>
      <c r="G235" s="298">
        <f t="shared" si="56"/>
        <v>72.058218586560244</v>
      </c>
      <c r="I235" s="299">
        <f t="shared" si="57"/>
        <v>241</v>
      </c>
      <c r="J235" s="293">
        <f t="shared" si="46"/>
        <v>2044</v>
      </c>
      <c r="K235" s="186">
        <f t="shared" si="47"/>
        <v>52779</v>
      </c>
      <c r="M235" s="294"/>
      <c r="N235" s="308">
        <f t="shared" si="58"/>
        <v>-4.6180521773671157E-2</v>
      </c>
      <c r="O235" s="308">
        <f t="shared" si="58"/>
        <v>-0.10141819640342864</v>
      </c>
      <c r="P235" s="308">
        <f t="shared" si="58"/>
        <v>6.1472060093659797E-2</v>
      </c>
      <c r="V235" s="275" t="str">
        <f t="shared" si="54"/>
        <v>Summer</v>
      </c>
      <c r="Z235" s="294">
        <f t="shared" si="50"/>
        <v>2.2200000000000001E-2</v>
      </c>
      <c r="AA235" s="295">
        <f t="shared" si="55"/>
        <v>0</v>
      </c>
      <c r="AD235" s="347">
        <v>1002524.6634786301</v>
      </c>
    </row>
    <row r="236" spans="2:30" ht="17.45" hidden="1" customHeight="1" outlineLevel="1">
      <c r="B236" s="186">
        <f t="shared" si="51"/>
        <v>52810</v>
      </c>
      <c r="C236" s="296">
        <v>572232.45307907928</v>
      </c>
      <c r="D236" s="297">
        <f>IF(ISNUMBER($F236),VLOOKUP($J236,'Table 1'!$B$13:$C$41,2,FALSE)/12*1000*Study_MW,"")</f>
        <v>324488.88888888888</v>
      </c>
      <c r="E236" s="297">
        <f t="shared" si="52"/>
        <v>896721.34196796815</v>
      </c>
      <c r="F236" s="296">
        <v>13189.19712069</v>
      </c>
      <c r="G236" s="298">
        <f t="shared" si="56"/>
        <v>67.98907725484473</v>
      </c>
      <c r="I236" s="299">
        <f t="shared" si="57"/>
        <v>242</v>
      </c>
      <c r="J236" s="293">
        <f t="shared" si="46"/>
        <v>2044</v>
      </c>
      <c r="K236" s="186">
        <f t="shared" si="47"/>
        <v>52810</v>
      </c>
      <c r="M236" s="294"/>
      <c r="N236" s="308">
        <f t="shared" si="58"/>
        <v>4.1548216137251792E-2</v>
      </c>
      <c r="O236" s="308">
        <f t="shared" si="58"/>
        <v>5.105280402773249E-2</v>
      </c>
      <c r="P236" s="308">
        <f t="shared" si="58"/>
        <v>-9.0429213965829147E-3</v>
      </c>
      <c r="V236" s="275" t="str">
        <f t="shared" si="54"/>
        <v>Summer</v>
      </c>
      <c r="Z236" s="294">
        <f t="shared" si="50"/>
        <v>2.2200000000000001E-2</v>
      </c>
      <c r="AA236" s="295">
        <f t="shared" si="55"/>
        <v>0</v>
      </c>
      <c r="AD236" s="347">
        <v>1258045.5482943701</v>
      </c>
    </row>
    <row r="237" spans="2:30" ht="17.45" hidden="1" customHeight="1" outlineLevel="1">
      <c r="B237" s="186">
        <f t="shared" si="51"/>
        <v>52841</v>
      </c>
      <c r="C237" s="296">
        <v>497046.50323576061</v>
      </c>
      <c r="D237" s="297">
        <f>IF(ISNUMBER($F237),VLOOKUP($J237,'Table 1'!$B$13:$C$41,2,FALSE)/12*1000*Study_MW,"")</f>
        <v>324488.88888888888</v>
      </c>
      <c r="E237" s="297">
        <f t="shared" si="52"/>
        <v>821535.39212464949</v>
      </c>
      <c r="F237" s="296">
        <v>11582.931032570001</v>
      </c>
      <c r="G237" s="298">
        <f t="shared" si="56"/>
        <v>70.926382088832014</v>
      </c>
      <c r="I237" s="299">
        <f t="shared" si="57"/>
        <v>243</v>
      </c>
      <c r="J237" s="293">
        <f t="shared" si="46"/>
        <v>2044</v>
      </c>
      <c r="K237" s="186">
        <f t="shared" si="47"/>
        <v>52841</v>
      </c>
      <c r="M237" s="294"/>
      <c r="N237" s="308">
        <f t="shared" ref="N237:P240" si="59">E237/E225-1</f>
        <v>-7.3770563337283157E-3</v>
      </c>
      <c r="O237" s="308">
        <f t="shared" si="59"/>
        <v>-5.802526741602132E-2</v>
      </c>
      <c r="P237" s="308">
        <f t="shared" si="59"/>
        <v>5.3768120662172292E-2</v>
      </c>
      <c r="V237" s="275" t="str">
        <f t="shared" si="54"/>
        <v>Summer</v>
      </c>
      <c r="Z237" s="294">
        <f t="shared" si="50"/>
        <v>2.2200000000000001E-2</v>
      </c>
      <c r="AA237" s="295">
        <f t="shared" si="55"/>
        <v>0</v>
      </c>
      <c r="AD237" s="347">
        <v>858440.70473009988</v>
      </c>
    </row>
    <row r="238" spans="2:30" ht="17.45" hidden="1" customHeight="1" outlineLevel="1">
      <c r="B238" s="186">
        <f t="shared" si="51"/>
        <v>52871</v>
      </c>
      <c r="C238" s="296">
        <v>1183108.8399322471</v>
      </c>
      <c r="D238" s="297">
        <f>IF(ISNUMBER($F238),VLOOKUP($J238,'Table 1'!$B$13:$C$41,2,FALSE)/12*1000*Study_MW,"")</f>
        <v>324488.88888888888</v>
      </c>
      <c r="E238" s="297">
        <f t="shared" si="52"/>
        <v>1507597.7288211361</v>
      </c>
      <c r="F238" s="296">
        <v>23195.825556000003</v>
      </c>
      <c r="G238" s="298">
        <f t="shared" si="56"/>
        <v>64.994355349907764</v>
      </c>
      <c r="I238" s="299">
        <f t="shared" si="57"/>
        <v>244</v>
      </c>
      <c r="J238" s="293">
        <f t="shared" si="46"/>
        <v>2044</v>
      </c>
      <c r="K238" s="186">
        <f t="shared" si="47"/>
        <v>52871</v>
      </c>
      <c r="M238" s="294"/>
      <c r="N238" s="308">
        <f t="shared" si="59"/>
        <v>4.5588315548101832E-2</v>
      </c>
      <c r="O238" s="308">
        <f t="shared" si="59"/>
        <v>1.7853235216966246E-2</v>
      </c>
      <c r="P238" s="308">
        <f t="shared" si="59"/>
        <v>2.724860458416023E-2</v>
      </c>
      <c r="V238" s="275" t="str">
        <f t="shared" si="54"/>
        <v>Winter</v>
      </c>
      <c r="Z238" s="294">
        <f t="shared" si="50"/>
        <v>2.2200000000000001E-2</v>
      </c>
      <c r="AA238" s="295">
        <f t="shared" si="55"/>
        <v>0</v>
      </c>
      <c r="AD238" s="347">
        <v>1320851.4956077198</v>
      </c>
    </row>
    <row r="239" spans="2:30" ht="17.45" hidden="1" customHeight="1" outlineLevel="1">
      <c r="B239" s="186">
        <f t="shared" si="51"/>
        <v>52902</v>
      </c>
      <c r="C239" s="296">
        <v>834883.24982172344</v>
      </c>
      <c r="D239" s="297">
        <f>IF(ISNUMBER($F239),VLOOKUP($J239,'Table 1'!$B$13:$C$41,2,FALSE)/12*1000*Study_MW,"")</f>
        <v>324488.88888888888</v>
      </c>
      <c r="E239" s="297">
        <f t="shared" si="52"/>
        <v>1159372.1387106124</v>
      </c>
      <c r="F239" s="296">
        <v>14022.606174700002</v>
      </c>
      <c r="G239" s="298">
        <f t="shared" si="56"/>
        <v>82.678791963963562</v>
      </c>
      <c r="I239" s="299">
        <f t="shared" si="57"/>
        <v>245</v>
      </c>
      <c r="J239" s="293">
        <f t="shared" si="46"/>
        <v>2044</v>
      </c>
      <c r="K239" s="186">
        <f t="shared" si="47"/>
        <v>52902</v>
      </c>
      <c r="M239" s="294"/>
      <c r="N239" s="308">
        <f t="shared" si="59"/>
        <v>5.3462345702076641E-2</v>
      </c>
      <c r="O239" s="308">
        <f t="shared" si="59"/>
        <v>9.1762750863506604E-3</v>
      </c>
      <c r="P239" s="308">
        <f t="shared" si="59"/>
        <v>4.3883384606853593E-2</v>
      </c>
      <c r="V239" s="275" t="str">
        <f t="shared" si="54"/>
        <v>Winter</v>
      </c>
      <c r="Z239" s="294">
        <f t="shared" si="50"/>
        <v>2.2200000000000001E-2</v>
      </c>
      <c r="AA239" s="295">
        <f t="shared" si="55"/>
        <v>0</v>
      </c>
      <c r="AD239" s="347">
        <v>1284166.8641770198</v>
      </c>
    </row>
    <row r="240" spans="2:30" ht="17.45" hidden="1" customHeight="1" outlineLevel="1">
      <c r="B240" s="187">
        <f t="shared" si="51"/>
        <v>52932</v>
      </c>
      <c r="C240" s="303">
        <v>756693.99870383344</v>
      </c>
      <c r="D240" s="304">
        <f>IF(ISNUMBER($F240),VLOOKUP($J240,'Table 1'!$B$13:$C$41,2,FALSE)/12*1000*Study_MW,"")</f>
        <v>324488.88888888888</v>
      </c>
      <c r="E240" s="304">
        <f t="shared" si="52"/>
        <v>1081182.8875927222</v>
      </c>
      <c r="F240" s="303">
        <v>14720.04135224138</v>
      </c>
      <c r="G240" s="305">
        <f t="shared" si="56"/>
        <v>73.449718089826803</v>
      </c>
      <c r="I240" s="306">
        <f t="shared" si="57"/>
        <v>246</v>
      </c>
      <c r="J240" s="293">
        <f t="shared" si="46"/>
        <v>2044</v>
      </c>
      <c r="K240" s="187">
        <f t="shared" si="47"/>
        <v>52932</v>
      </c>
      <c r="M240" s="294"/>
      <c r="N240" s="308">
        <f t="shared" si="59"/>
        <v>-6.2073039376584371E-2</v>
      </c>
      <c r="O240" s="308">
        <f t="shared" si="59"/>
        <v>-3.8770028024678549E-2</v>
      </c>
      <c r="P240" s="308">
        <f t="shared" si="59"/>
        <v>-2.4242909637969601E-2</v>
      </c>
      <c r="V240" s="275" t="str">
        <f t="shared" si="54"/>
        <v>Winter</v>
      </c>
      <c r="Z240" s="294">
        <f t="shared" si="50"/>
        <v>2.2200000000000001E-2</v>
      </c>
      <c r="AA240" s="295">
        <f t="shared" si="55"/>
        <v>0</v>
      </c>
      <c r="AD240" s="347">
        <v>1279725.663898102</v>
      </c>
    </row>
    <row r="241" spans="2:30" ht="17.45" customHeight="1" collapsed="1">
      <c r="B241" s="185">
        <f t="shared" si="51"/>
        <v>52963</v>
      </c>
      <c r="C241" s="287">
        <v>1317759.2998023611</v>
      </c>
      <c r="D241" s="288">
        <f>IF(ISNUMBER($F241),VLOOKUP($J241,'Table 1'!$B$13:$C$41,2,FALSE)/12*1000*Study_MW,"")</f>
        <v>331694.22222222225</v>
      </c>
      <c r="E241" s="289">
        <f t="shared" si="52"/>
        <v>1649453.5220245833</v>
      </c>
      <c r="F241" s="290">
        <v>20415.319112959998</v>
      </c>
      <c r="G241" s="291">
        <f t="shared" si="56"/>
        <v>80.794892937895924</v>
      </c>
      <c r="I241" s="307">
        <f t="shared" si="57"/>
        <v>248</v>
      </c>
      <c r="J241" s="293">
        <f t="shared" ref="J241:J252" si="60">YEAR(B241)</f>
        <v>2045</v>
      </c>
      <c r="K241" s="185">
        <f t="shared" ref="K241:K252" si="61">IF(ISNUMBER(F241),IF(F241&lt;&gt;0,B241,""),"")</f>
        <v>52963</v>
      </c>
      <c r="M241" s="294"/>
      <c r="N241" s="308"/>
      <c r="O241" s="308"/>
      <c r="P241" s="308"/>
      <c r="V241" s="275" t="str">
        <f t="shared" si="54"/>
        <v>Winter</v>
      </c>
      <c r="Z241" s="294">
        <f t="shared" si="50"/>
        <v>2.2200000000000001E-2</v>
      </c>
      <c r="AA241" s="295">
        <f t="shared" si="55"/>
        <v>0</v>
      </c>
      <c r="AD241" s="347">
        <v>1753240.2175169601</v>
      </c>
    </row>
    <row r="242" spans="2:30" ht="17.45" customHeight="1">
      <c r="B242" s="186">
        <f t="shared" si="51"/>
        <v>52994</v>
      </c>
      <c r="C242" s="296">
        <v>1118455.7012410951</v>
      </c>
      <c r="D242" s="297">
        <f>IF(ISNUMBER($F242),VLOOKUP($J242,'Table 1'!$B$13:$C$41,2,FALSE)/12*1000*Study_MW,"")</f>
        <v>331694.22222222225</v>
      </c>
      <c r="E242" s="297">
        <f t="shared" si="52"/>
        <v>1450149.9234633173</v>
      </c>
      <c r="F242" s="296">
        <v>18180.393904599998</v>
      </c>
      <c r="G242" s="298">
        <f t="shared" si="56"/>
        <v>79.764494161834463</v>
      </c>
      <c r="I242" s="299">
        <f t="shared" si="57"/>
        <v>249</v>
      </c>
      <c r="J242" s="293">
        <f t="shared" si="60"/>
        <v>2045</v>
      </c>
      <c r="K242" s="186">
        <f t="shared" si="61"/>
        <v>52994</v>
      </c>
      <c r="M242" s="294"/>
      <c r="N242" s="308"/>
      <c r="O242" s="308"/>
      <c r="P242" s="308"/>
      <c r="V242" s="275" t="str">
        <f t="shared" si="54"/>
        <v>Winter</v>
      </c>
      <c r="Z242" s="294">
        <f t="shared" si="50"/>
        <v>2.2200000000000001E-2</v>
      </c>
      <c r="AA242" s="295">
        <f t="shared" si="55"/>
        <v>0</v>
      </c>
      <c r="AD242" s="347">
        <v>1844633.8113286002</v>
      </c>
    </row>
    <row r="243" spans="2:30" ht="17.45" customHeight="1">
      <c r="B243" s="186">
        <f t="shared" si="51"/>
        <v>53022</v>
      </c>
      <c r="C243" s="296">
        <v>677732.76264159358</v>
      </c>
      <c r="D243" s="297">
        <f>IF(ISNUMBER($F243),VLOOKUP($J243,'Table 1'!$B$13:$C$41,2,FALSE)/12*1000*Study_MW,"")</f>
        <v>331694.22222222225</v>
      </c>
      <c r="E243" s="297">
        <f t="shared" si="52"/>
        <v>1009426.9848638158</v>
      </c>
      <c r="F243" s="296">
        <v>17408.180495410001</v>
      </c>
      <c r="G243" s="298">
        <f t="shared" si="56"/>
        <v>57.985783472889111</v>
      </c>
      <c r="I243" s="299">
        <f t="shared" si="57"/>
        <v>250</v>
      </c>
      <c r="J243" s="293">
        <f t="shared" si="60"/>
        <v>2045</v>
      </c>
      <c r="K243" s="186">
        <f t="shared" si="61"/>
        <v>53022</v>
      </c>
      <c r="M243" s="294"/>
      <c r="N243" s="308"/>
      <c r="O243" s="308"/>
      <c r="P243" s="308"/>
      <c r="V243" s="275" t="str">
        <f t="shared" si="54"/>
        <v>Winter</v>
      </c>
      <c r="Z243" s="294">
        <f t="shared" si="50"/>
        <v>2.2200000000000001E-2</v>
      </c>
      <c r="AA243" s="295">
        <f t="shared" si="55"/>
        <v>0</v>
      </c>
      <c r="AD243" s="347">
        <v>880178.69414331997</v>
      </c>
    </row>
    <row r="244" spans="2:30" ht="17.45" customHeight="1">
      <c r="B244" s="186">
        <f t="shared" si="51"/>
        <v>53053</v>
      </c>
      <c r="C244" s="296">
        <v>1032117.9604487843</v>
      </c>
      <c r="D244" s="297">
        <f>IF(ISNUMBER($F244),VLOOKUP($J244,'Table 1'!$B$13:$C$41,2,FALSE)/12*1000*Study_MW,"")</f>
        <v>331694.22222222225</v>
      </c>
      <c r="E244" s="297">
        <f t="shared" si="52"/>
        <v>1363812.1826710065</v>
      </c>
      <c r="F244" s="296">
        <v>23588.34631157</v>
      </c>
      <c r="G244" s="298">
        <f t="shared" si="56"/>
        <v>57.817201963075362</v>
      </c>
      <c r="I244" s="299">
        <f t="shared" si="57"/>
        <v>251</v>
      </c>
      <c r="J244" s="293">
        <f t="shared" si="60"/>
        <v>2045</v>
      </c>
      <c r="K244" s="186">
        <f t="shared" si="61"/>
        <v>53053</v>
      </c>
      <c r="M244" s="294"/>
      <c r="N244" s="308"/>
      <c r="O244" s="308"/>
      <c r="P244" s="308"/>
      <c r="V244" s="275" t="str">
        <f t="shared" si="54"/>
        <v>Winter</v>
      </c>
      <c r="Z244" s="294">
        <f t="shared" si="50"/>
        <v>2.2200000000000001E-2</v>
      </c>
      <c r="AA244" s="295">
        <f t="shared" si="55"/>
        <v>0</v>
      </c>
      <c r="AD244" s="347">
        <v>1097326.9651049902</v>
      </c>
    </row>
    <row r="245" spans="2:30" ht="17.45" customHeight="1">
      <c r="B245" s="186">
        <f t="shared" si="51"/>
        <v>53083</v>
      </c>
      <c r="C245" s="296">
        <v>881289.40108351526</v>
      </c>
      <c r="D245" s="297">
        <f>IF(ISNUMBER($F245),VLOOKUP($J245,'Table 1'!$B$13:$C$41,2,FALSE)/12*1000*Study_MW,"")</f>
        <v>331694.22222222225</v>
      </c>
      <c r="E245" s="297">
        <f t="shared" si="52"/>
        <v>1212983.6233057375</v>
      </c>
      <c r="F245" s="296">
        <v>21850.675363670001</v>
      </c>
      <c r="G245" s="298">
        <f t="shared" si="56"/>
        <v>55.512408798242603</v>
      </c>
      <c r="I245" s="299">
        <f t="shared" si="57"/>
        <v>252</v>
      </c>
      <c r="J245" s="293">
        <f t="shared" si="60"/>
        <v>2045</v>
      </c>
      <c r="K245" s="186">
        <f t="shared" si="61"/>
        <v>53083</v>
      </c>
      <c r="M245" s="294"/>
      <c r="N245" s="308"/>
      <c r="O245" s="308"/>
      <c r="P245" s="308"/>
      <c r="V245" s="275" t="str">
        <f t="shared" si="54"/>
        <v>Winter</v>
      </c>
      <c r="Z245" s="294">
        <f t="shared" si="50"/>
        <v>2.2200000000000001E-2</v>
      </c>
      <c r="AA245" s="295">
        <f t="shared" si="55"/>
        <v>0</v>
      </c>
      <c r="AD245" s="347">
        <v>965887.63795075996</v>
      </c>
    </row>
    <row r="246" spans="2:30" ht="17.45" customHeight="1">
      <c r="B246" s="186">
        <f t="shared" si="51"/>
        <v>53114</v>
      </c>
      <c r="C246" s="296">
        <v>1108556.1263908166</v>
      </c>
      <c r="D246" s="297">
        <f>IF(ISNUMBER($F246),VLOOKUP($J246,'Table 1'!$B$13:$C$41,2,FALSE)/12*1000*Study_MW,"")</f>
        <v>331694.22222222225</v>
      </c>
      <c r="E246" s="297">
        <f t="shared" si="52"/>
        <v>1440250.3486130389</v>
      </c>
      <c r="F246" s="296">
        <v>21727.221439299999</v>
      </c>
      <c r="G246" s="298">
        <f t="shared" si="56"/>
        <v>66.287829423412944</v>
      </c>
      <c r="I246" s="299">
        <f t="shared" si="57"/>
        <v>253</v>
      </c>
      <c r="J246" s="293">
        <f t="shared" si="60"/>
        <v>2045</v>
      </c>
      <c r="K246" s="186">
        <f t="shared" si="61"/>
        <v>53114</v>
      </c>
      <c r="M246" s="294"/>
      <c r="N246" s="308"/>
      <c r="O246" s="308"/>
      <c r="P246" s="308"/>
      <c r="V246" s="275" t="str">
        <f t="shared" si="54"/>
        <v>Summer</v>
      </c>
      <c r="Z246" s="294">
        <f t="shared" si="50"/>
        <v>2.2200000000000001E-2</v>
      </c>
      <c r="AA246" s="295">
        <f t="shared" si="55"/>
        <v>0</v>
      </c>
      <c r="AD246" s="347">
        <v>1249455.79678895</v>
      </c>
    </row>
    <row r="247" spans="2:30" ht="17.45" customHeight="1">
      <c r="B247" s="186">
        <f t="shared" si="51"/>
        <v>53144</v>
      </c>
      <c r="C247" s="296">
        <v>634962.19288208522</v>
      </c>
      <c r="D247" s="297">
        <f>IF(ISNUMBER($F247),VLOOKUP($J247,'Table 1'!$B$13:$C$41,2,FALSE)/12*1000*Study_MW,"")</f>
        <v>331694.22222222225</v>
      </c>
      <c r="E247" s="297">
        <f t="shared" si="52"/>
        <v>966656.41510430747</v>
      </c>
      <c r="F247" s="296">
        <v>13087.66273665</v>
      </c>
      <c r="G247" s="298">
        <f t="shared" si="56"/>
        <v>73.860125719570533</v>
      </c>
      <c r="I247" s="299">
        <f t="shared" si="57"/>
        <v>254</v>
      </c>
      <c r="J247" s="293">
        <f t="shared" si="60"/>
        <v>2045</v>
      </c>
      <c r="K247" s="186">
        <f t="shared" si="61"/>
        <v>53144</v>
      </c>
      <c r="M247" s="294"/>
      <c r="N247" s="308"/>
      <c r="O247" s="308"/>
      <c r="P247" s="308"/>
      <c r="V247" s="275" t="str">
        <f t="shared" si="54"/>
        <v>Summer</v>
      </c>
      <c r="Z247" s="294">
        <f t="shared" si="50"/>
        <v>2.2200000000000001E-2</v>
      </c>
      <c r="AA247" s="295">
        <f t="shared" si="55"/>
        <v>0</v>
      </c>
      <c r="AD247" s="347">
        <v>982308.06632353016</v>
      </c>
    </row>
    <row r="248" spans="2:30" ht="17.45" customHeight="1">
      <c r="B248" s="186">
        <f t="shared" si="51"/>
        <v>53175</v>
      </c>
      <c r="C248" s="296">
        <v>648540.75715458021</v>
      </c>
      <c r="D248" s="297">
        <f>IF(ISNUMBER($F248),VLOOKUP($J248,'Table 1'!$B$13:$C$41,2,FALSE)/12*1000*Study_MW,"")</f>
        <v>331694.22222222225</v>
      </c>
      <c r="E248" s="297">
        <f t="shared" si="52"/>
        <v>980234.97937680245</v>
      </c>
      <c r="F248" s="296">
        <v>13352.837596360001</v>
      </c>
      <c r="G248" s="298">
        <f t="shared" si="56"/>
        <v>73.410237509667283</v>
      </c>
      <c r="I248" s="299">
        <f t="shared" si="57"/>
        <v>255</v>
      </c>
      <c r="J248" s="293">
        <f t="shared" si="60"/>
        <v>2045</v>
      </c>
      <c r="K248" s="186">
        <f t="shared" si="61"/>
        <v>53175</v>
      </c>
      <c r="M248" s="294"/>
      <c r="N248" s="308"/>
      <c r="O248" s="308"/>
      <c r="P248" s="308"/>
      <c r="V248" s="275" t="str">
        <f t="shared" si="54"/>
        <v>Summer</v>
      </c>
      <c r="Z248" s="294">
        <f t="shared" si="50"/>
        <v>2.2200000000000001E-2</v>
      </c>
      <c r="AA248" s="295">
        <f t="shared" si="55"/>
        <v>0</v>
      </c>
      <c r="AD248" s="347">
        <v>1249283.9622372699</v>
      </c>
    </row>
    <row r="249" spans="2:30" ht="17.45" customHeight="1">
      <c r="B249" s="186">
        <f t="shared" si="51"/>
        <v>53206</v>
      </c>
      <c r="C249" s="296">
        <v>542152.64740528073</v>
      </c>
      <c r="D249" s="297">
        <f>IF(ISNUMBER($F249),VLOOKUP($J249,'Table 1'!$B$13:$C$41,2,FALSE)/12*1000*Study_MW,"")</f>
        <v>331694.22222222225</v>
      </c>
      <c r="E249" s="297">
        <f t="shared" si="52"/>
        <v>873846.86962750298</v>
      </c>
      <c r="F249" s="296">
        <v>11306.15984007</v>
      </c>
      <c r="G249" s="298">
        <f t="shared" si="56"/>
        <v>77.289449467228891</v>
      </c>
      <c r="I249" s="299">
        <f t="shared" si="57"/>
        <v>256</v>
      </c>
      <c r="J249" s="293">
        <f t="shared" si="60"/>
        <v>2045</v>
      </c>
      <c r="K249" s="186">
        <f t="shared" si="61"/>
        <v>53206</v>
      </c>
      <c r="M249" s="294"/>
      <c r="N249" s="308"/>
      <c r="O249" s="308"/>
      <c r="P249" s="308"/>
      <c r="V249" s="275" t="str">
        <f t="shared" si="54"/>
        <v>Summer</v>
      </c>
      <c r="Z249" s="294">
        <f t="shared" si="50"/>
        <v>2.2200000000000001E-2</v>
      </c>
      <c r="AA249" s="295">
        <f t="shared" si="55"/>
        <v>0</v>
      </c>
      <c r="AD249" s="347">
        <v>844187.89643315994</v>
      </c>
    </row>
    <row r="250" spans="2:30" ht="17.45" customHeight="1">
      <c r="B250" s="186">
        <f t="shared" si="51"/>
        <v>53236</v>
      </c>
      <c r="C250" s="296">
        <v>1216749.4581661304</v>
      </c>
      <c r="D250" s="297">
        <f>IF(ISNUMBER($F250),VLOOKUP($J250,'Table 1'!$B$13:$C$41,2,FALSE)/12*1000*Study_MW,"")</f>
        <v>331694.22222222225</v>
      </c>
      <c r="E250" s="297">
        <f t="shared" si="52"/>
        <v>1548443.6803883526</v>
      </c>
      <c r="F250" s="296">
        <v>23404.872506280004</v>
      </c>
      <c r="G250" s="298">
        <f t="shared" si="56"/>
        <v>66.159030773308999</v>
      </c>
      <c r="I250" s="299">
        <f t="shared" si="57"/>
        <v>257</v>
      </c>
      <c r="J250" s="293">
        <f t="shared" si="60"/>
        <v>2045</v>
      </c>
      <c r="K250" s="186">
        <f t="shared" si="61"/>
        <v>53236</v>
      </c>
      <c r="M250" s="294"/>
      <c r="N250" s="308"/>
      <c r="O250" s="308"/>
      <c r="P250" s="308"/>
      <c r="V250" s="275" t="str">
        <f t="shared" si="54"/>
        <v>Winter</v>
      </c>
      <c r="Z250" s="294">
        <f t="shared" si="50"/>
        <v>2.2200000000000001E-2</v>
      </c>
      <c r="AA250" s="295">
        <f t="shared" si="55"/>
        <v>0</v>
      </c>
      <c r="AD250" s="347">
        <v>1372094.6163836597</v>
      </c>
    </row>
    <row r="251" spans="2:30" ht="17.45" customHeight="1">
      <c r="B251" s="186">
        <f t="shared" si="51"/>
        <v>53267</v>
      </c>
      <c r="C251" s="296">
        <v>964440.09643711615</v>
      </c>
      <c r="D251" s="297">
        <f>IF(ISNUMBER($F251),VLOOKUP($J251,'Table 1'!$B$13:$C$41,2,FALSE)/12*1000*Study_MW,"")</f>
        <v>331694.22222222225</v>
      </c>
      <c r="E251" s="297">
        <f t="shared" si="52"/>
        <v>1296134.3186593384</v>
      </c>
      <c r="F251" s="296">
        <v>14273.345559230002</v>
      </c>
      <c r="G251" s="298">
        <f t="shared" si="56"/>
        <v>90.808024879715759</v>
      </c>
      <c r="I251" s="299">
        <f t="shared" si="57"/>
        <v>258</v>
      </c>
      <c r="J251" s="293">
        <f t="shared" si="60"/>
        <v>2045</v>
      </c>
      <c r="K251" s="186">
        <f t="shared" si="61"/>
        <v>53267</v>
      </c>
      <c r="M251" s="294"/>
      <c r="N251" s="308"/>
      <c r="O251" s="308"/>
      <c r="P251" s="308"/>
      <c r="V251" s="275" t="str">
        <f t="shared" si="54"/>
        <v>Winter</v>
      </c>
      <c r="Z251" s="294">
        <f t="shared" si="50"/>
        <v>2.2200000000000001E-2</v>
      </c>
      <c r="AA251" s="295">
        <f t="shared" si="55"/>
        <v>0</v>
      </c>
      <c r="AD251" s="347">
        <v>1332908.9217684302</v>
      </c>
    </row>
    <row r="252" spans="2:30" ht="17.45" customHeight="1" collapsed="1">
      <c r="B252" s="187">
        <f t="shared" si="51"/>
        <v>53297</v>
      </c>
      <c r="C252" s="303">
        <v>742197.86055220373</v>
      </c>
      <c r="D252" s="304">
        <f>IF(ISNUMBER($F252),VLOOKUP($J252,'Table 1'!$B$13:$C$41,2,FALSE)/12*1000*Study_MW,"")</f>
        <v>331694.22222222225</v>
      </c>
      <c r="E252" s="304">
        <f t="shared" si="52"/>
        <v>1073892.0827744259</v>
      </c>
      <c r="F252" s="303">
        <v>14151.674536572002</v>
      </c>
      <c r="G252" s="305">
        <f t="shared" si="56"/>
        <v>75.884453108300335</v>
      </c>
      <c r="I252" s="306">
        <f t="shared" si="57"/>
        <v>259</v>
      </c>
      <c r="J252" s="293">
        <f t="shared" si="60"/>
        <v>2045</v>
      </c>
      <c r="K252" s="187">
        <f t="shared" si="61"/>
        <v>53297</v>
      </c>
      <c r="M252" s="294"/>
      <c r="N252" s="308"/>
      <c r="O252" s="308"/>
      <c r="P252" s="308"/>
      <c r="V252" s="275" t="str">
        <f t="shared" si="54"/>
        <v>Winter</v>
      </c>
      <c r="Z252" s="294">
        <f t="shared" si="50"/>
        <v>2.2200000000000001E-2</v>
      </c>
      <c r="AA252" s="295">
        <f t="shared" si="55"/>
        <v>0</v>
      </c>
      <c r="AD252" s="347">
        <v>1242358.9082133542</v>
      </c>
    </row>
    <row r="253" spans="2:30" ht="17.45" customHeight="1">
      <c r="B253" s="185">
        <f t="shared" ref="B253:B324" si="62">EDATE(B252,1)</f>
        <v>53328</v>
      </c>
      <c r="C253" s="287">
        <v>1347013.5562579734</v>
      </c>
      <c r="D253" s="288">
        <f>IF(ISNUMBER($F253),VLOOKUP($J253,'Table 1'!$B$13:$C$41,2,FALSE)/12*1000*Study_MW,"")</f>
        <v>339061.33333333331</v>
      </c>
      <c r="E253" s="289">
        <f t="shared" si="52"/>
        <v>1686074.8895913067</v>
      </c>
      <c r="F253" s="290">
        <v>20415.319112959998</v>
      </c>
      <c r="G253" s="291">
        <f t="shared" si="56"/>
        <v>82.588710970525909</v>
      </c>
      <c r="I253" s="307">
        <f t="shared" si="57"/>
        <v>261</v>
      </c>
      <c r="J253" s="293">
        <f t="shared" ref="J253:J276" si="63">YEAR(B253)</f>
        <v>2046</v>
      </c>
      <c r="K253" s="185">
        <f t="shared" ref="K253:K276" si="64">IF(ISNUMBER(F253),IF(F253&lt;&gt;0,B253,""),"")</f>
        <v>53328</v>
      </c>
      <c r="M253" s="294"/>
      <c r="N253" s="308">
        <f>E253/E241-1</f>
        <v>2.2202121537667319E-2</v>
      </c>
      <c r="O253" s="308">
        <f>F253/F241-1</f>
        <v>0</v>
      </c>
      <c r="P253" s="308">
        <f>G253/G241-1</f>
        <v>2.2202121537667319E-2</v>
      </c>
      <c r="V253" s="275" t="str">
        <f t="shared" si="54"/>
        <v>Winter</v>
      </c>
      <c r="Z253" s="294">
        <f t="shared" si="50"/>
        <v>2.2200000000000001E-2</v>
      </c>
      <c r="AA253" s="295">
        <f t="shared" si="55"/>
        <v>0</v>
      </c>
      <c r="AD253" s="347">
        <v>1792162.1503458363</v>
      </c>
    </row>
    <row r="254" spans="2:30" ht="17.45" customHeight="1">
      <c r="B254" s="186">
        <f t="shared" si="62"/>
        <v>53359</v>
      </c>
      <c r="C254" s="296">
        <v>1143285.4178086475</v>
      </c>
      <c r="D254" s="297">
        <f>IF(ISNUMBER($F254),VLOOKUP($J254,'Table 1'!$B$13:$C$41,2,FALSE)/12*1000*Study_MW,"")</f>
        <v>339061.33333333331</v>
      </c>
      <c r="E254" s="297">
        <f t="shared" si="52"/>
        <v>1482346.7511419808</v>
      </c>
      <c r="F254" s="296">
        <v>18180.393904599998</v>
      </c>
      <c r="G254" s="298">
        <f t="shared" si="56"/>
        <v>81.535458413082992</v>
      </c>
      <c r="I254" s="299">
        <f t="shared" si="57"/>
        <v>262</v>
      </c>
      <c r="J254" s="293">
        <f t="shared" si="63"/>
        <v>2046</v>
      </c>
      <c r="K254" s="186">
        <f t="shared" si="64"/>
        <v>53359</v>
      </c>
      <c r="M254" s="294"/>
      <c r="N254" s="308">
        <f t="shared" ref="N254:P269" si="65">E254/E242-1</f>
        <v>2.2202413114479569E-2</v>
      </c>
      <c r="O254" s="308">
        <f t="shared" si="65"/>
        <v>0</v>
      </c>
      <c r="P254" s="308">
        <f t="shared" si="65"/>
        <v>2.2202413114479347E-2</v>
      </c>
      <c r="V254" s="275" t="str">
        <f t="shared" si="54"/>
        <v>Winter</v>
      </c>
      <c r="Z254" s="294">
        <f t="shared" si="50"/>
        <v>2.2200000000000001E-2</v>
      </c>
      <c r="AA254" s="295">
        <f t="shared" si="55"/>
        <v>0</v>
      </c>
      <c r="AD254" s="347">
        <v>1885584.681940095</v>
      </c>
    </row>
    <row r="255" spans="2:30" ht="17.45" customHeight="1">
      <c r="B255" s="186">
        <f t="shared" si="62"/>
        <v>53387</v>
      </c>
      <c r="C255" s="296">
        <v>692778.42997223698</v>
      </c>
      <c r="D255" s="297">
        <f>IF(ISNUMBER($F255),VLOOKUP($J255,'Table 1'!$B$13:$C$41,2,FALSE)/12*1000*Study_MW,"")</f>
        <v>339061.33333333331</v>
      </c>
      <c r="E255" s="297">
        <f t="shared" si="52"/>
        <v>1031839.7633055702</v>
      </c>
      <c r="F255" s="296">
        <v>17408.180495410001</v>
      </c>
      <c r="G255" s="298">
        <f t="shared" si="56"/>
        <v>59.273268885144802</v>
      </c>
      <c r="I255" s="299">
        <f t="shared" si="57"/>
        <v>263</v>
      </c>
      <c r="J255" s="293">
        <f t="shared" si="63"/>
        <v>2046</v>
      </c>
      <c r="K255" s="186">
        <f t="shared" si="64"/>
        <v>53387</v>
      </c>
      <c r="M255" s="294"/>
      <c r="N255" s="308">
        <f t="shared" si="65"/>
        <v>2.2203466697275021E-2</v>
      </c>
      <c r="O255" s="308">
        <f t="shared" si="65"/>
        <v>0</v>
      </c>
      <c r="P255" s="308">
        <f t="shared" si="65"/>
        <v>2.2203466697275021E-2</v>
      </c>
      <c r="V255" s="275" t="str">
        <f t="shared" si="54"/>
        <v>Winter</v>
      </c>
      <c r="Z255" s="294">
        <f t="shared" si="50"/>
        <v>2.2200000000000001E-2</v>
      </c>
      <c r="AA255" s="295">
        <f t="shared" si="55"/>
        <v>0</v>
      </c>
      <c r="AD255" s="347">
        <v>899718.66115330171</v>
      </c>
    </row>
    <row r="256" spans="2:30" ht="17.45" customHeight="1">
      <c r="B256" s="186">
        <f t="shared" si="62"/>
        <v>53418</v>
      </c>
      <c r="C256" s="296">
        <v>1055030.9791707473</v>
      </c>
      <c r="D256" s="297">
        <f>IF(ISNUMBER($F256),VLOOKUP($J256,'Table 1'!$B$13:$C$41,2,FALSE)/12*1000*Study_MW,"")</f>
        <v>339061.33333333331</v>
      </c>
      <c r="E256" s="297">
        <f t="shared" si="52"/>
        <v>1394092.3125040806</v>
      </c>
      <c r="F256" s="296">
        <v>23588.34631157</v>
      </c>
      <c r="G256" s="298">
        <f t="shared" si="56"/>
        <v>59.100892198631293</v>
      </c>
      <c r="I256" s="299">
        <f t="shared" si="57"/>
        <v>264</v>
      </c>
      <c r="J256" s="293">
        <f t="shared" si="63"/>
        <v>2046</v>
      </c>
      <c r="K256" s="186">
        <f t="shared" si="64"/>
        <v>53418</v>
      </c>
      <c r="M256" s="294"/>
      <c r="N256" s="308">
        <f t="shared" si="65"/>
        <v>2.2202565879541281E-2</v>
      </c>
      <c r="O256" s="308">
        <f t="shared" si="65"/>
        <v>0</v>
      </c>
      <c r="P256" s="308">
        <f t="shared" si="65"/>
        <v>2.2202565879541281E-2</v>
      </c>
      <c r="V256" s="275" t="str">
        <f t="shared" si="54"/>
        <v>Winter</v>
      </c>
      <c r="Z256" s="294">
        <f t="shared" si="50"/>
        <v>2.2200000000000001E-2</v>
      </c>
      <c r="AA256" s="295">
        <f t="shared" si="55"/>
        <v>0</v>
      </c>
      <c r="AD256" s="347">
        <v>1121687.6237303209</v>
      </c>
    </row>
    <row r="257" spans="2:30" ht="17.45" customHeight="1">
      <c r="B257" s="186">
        <f t="shared" si="62"/>
        <v>53448</v>
      </c>
      <c r="C257" s="296">
        <v>900854.02578756935</v>
      </c>
      <c r="D257" s="297">
        <f>IF(ISNUMBER($F257),VLOOKUP($J257,'Table 1'!$B$13:$C$41,2,FALSE)/12*1000*Study_MW,"")</f>
        <v>339061.33333333331</v>
      </c>
      <c r="E257" s="297">
        <f t="shared" si="52"/>
        <v>1239915.3591209026</v>
      </c>
      <c r="F257" s="296">
        <v>21850.675363670001</v>
      </c>
      <c r="G257" s="298">
        <f t="shared" si="56"/>
        <v>56.744944423202881</v>
      </c>
      <c r="I257" s="299">
        <f t="shared" si="57"/>
        <v>265</v>
      </c>
      <c r="J257" s="293">
        <f t="shared" si="63"/>
        <v>2046</v>
      </c>
      <c r="K257" s="186">
        <f t="shared" si="64"/>
        <v>53448</v>
      </c>
      <c r="M257" s="294"/>
      <c r="N257" s="308">
        <f t="shared" si="65"/>
        <v>2.2202884934067191E-2</v>
      </c>
      <c r="O257" s="308">
        <f t="shared" si="65"/>
        <v>0</v>
      </c>
      <c r="P257" s="308">
        <f t="shared" si="65"/>
        <v>2.2202884934067191E-2</v>
      </c>
      <c r="V257" s="275" t="str">
        <f t="shared" si="54"/>
        <v>Winter</v>
      </c>
      <c r="Z257" s="294">
        <f t="shared" si="50"/>
        <v>2.2200000000000001E-2</v>
      </c>
      <c r="AA257" s="295">
        <f t="shared" si="55"/>
        <v>0</v>
      </c>
      <c r="AD257" s="347">
        <v>987330.34351326688</v>
      </c>
    </row>
    <row r="258" spans="2:30" ht="17.45" customHeight="1">
      <c r="B258" s="186">
        <f t="shared" si="62"/>
        <v>53479</v>
      </c>
      <c r="C258" s="296">
        <v>1133166.0723966928</v>
      </c>
      <c r="D258" s="297">
        <f>IF(ISNUMBER($F258),VLOOKUP($J258,'Table 1'!$B$13:$C$41,2,FALSE)/12*1000*Study_MW,"")</f>
        <v>339061.33333333331</v>
      </c>
      <c r="E258" s="297">
        <f t="shared" si="52"/>
        <v>1472227.4057300261</v>
      </c>
      <c r="F258" s="296">
        <v>21727.221439299999</v>
      </c>
      <c r="G258" s="298">
        <f t="shared" si="56"/>
        <v>67.759580296221159</v>
      </c>
      <c r="I258" s="299">
        <f t="shared" si="57"/>
        <v>266</v>
      </c>
      <c r="J258" s="293">
        <f t="shared" si="63"/>
        <v>2046</v>
      </c>
      <c r="K258" s="186">
        <f t="shared" si="64"/>
        <v>53479</v>
      </c>
      <c r="M258" s="294"/>
      <c r="N258" s="308">
        <f t="shared" si="65"/>
        <v>2.2202429701045467E-2</v>
      </c>
      <c r="O258" s="308">
        <f t="shared" si="65"/>
        <v>0</v>
      </c>
      <c r="P258" s="308">
        <f t="shared" si="65"/>
        <v>2.2202429701045467E-2</v>
      </c>
      <c r="V258" s="275" t="str">
        <f t="shared" si="54"/>
        <v>Summer</v>
      </c>
      <c r="Z258" s="294">
        <f t="shared" si="50"/>
        <v>2.2200000000000001E-2</v>
      </c>
      <c r="AA258" s="295">
        <f t="shared" si="55"/>
        <v>0</v>
      </c>
      <c r="AD258" s="347">
        <v>1277193.7154776647</v>
      </c>
    </row>
    <row r="259" spans="2:30" ht="17.45" customHeight="1">
      <c r="B259" s="186">
        <f t="shared" si="62"/>
        <v>53509</v>
      </c>
      <c r="C259" s="296">
        <v>649058.35356406751</v>
      </c>
      <c r="D259" s="297">
        <f>IF(ISNUMBER($F259),VLOOKUP($J259,'Table 1'!$B$13:$C$41,2,FALSE)/12*1000*Study_MW,"")</f>
        <v>339061.33333333331</v>
      </c>
      <c r="E259" s="297">
        <f t="shared" si="52"/>
        <v>988119.68689740077</v>
      </c>
      <c r="F259" s="296">
        <v>13087.66273665</v>
      </c>
      <c r="G259" s="298">
        <f t="shared" si="56"/>
        <v>75.500087890431544</v>
      </c>
      <c r="I259" s="299">
        <f t="shared" si="57"/>
        <v>267</v>
      </c>
      <c r="J259" s="293">
        <f t="shared" si="63"/>
        <v>2046</v>
      </c>
      <c r="K259" s="186">
        <f t="shared" si="64"/>
        <v>53509</v>
      </c>
      <c r="M259" s="294"/>
      <c r="N259" s="308">
        <f t="shared" si="65"/>
        <v>2.2203620084368048E-2</v>
      </c>
      <c r="O259" s="308">
        <f t="shared" si="65"/>
        <v>0</v>
      </c>
      <c r="P259" s="308">
        <f t="shared" si="65"/>
        <v>2.2203620084368048E-2</v>
      </c>
      <c r="V259" s="275" t="str">
        <f t="shared" si="54"/>
        <v>Summer</v>
      </c>
      <c r="Z259" s="294">
        <f t="shared" si="50"/>
        <v>2.2200000000000001E-2</v>
      </c>
      <c r="AA259" s="295">
        <f t="shared" si="55"/>
        <v>0</v>
      </c>
      <c r="AD259" s="347">
        <v>1004115.3053959125</v>
      </c>
    </row>
    <row r="260" spans="2:30" ht="17.45" customHeight="1">
      <c r="B260" s="186">
        <f t="shared" si="62"/>
        <v>53540</v>
      </c>
      <c r="C260" s="296">
        <v>662938.36196341191</v>
      </c>
      <c r="D260" s="297">
        <f>IF(ISNUMBER($F260),VLOOKUP($J260,'Table 1'!$B$13:$C$41,2,FALSE)/12*1000*Study_MW,"")</f>
        <v>339061.33333333331</v>
      </c>
      <c r="E260" s="297">
        <f t="shared" si="52"/>
        <v>1001999.6952967453</v>
      </c>
      <c r="F260" s="296">
        <v>13352.837596360001</v>
      </c>
      <c r="G260" s="298">
        <f t="shared" si="56"/>
        <v>75.040206852354103</v>
      </c>
      <c r="I260" s="299">
        <f t="shared" si="57"/>
        <v>268</v>
      </c>
      <c r="J260" s="293">
        <f t="shared" si="63"/>
        <v>2046</v>
      </c>
      <c r="K260" s="186">
        <f t="shared" si="64"/>
        <v>53540</v>
      </c>
      <c r="M260" s="294"/>
      <c r="N260" s="308">
        <f t="shared" si="65"/>
        <v>2.2203569937669476E-2</v>
      </c>
      <c r="O260" s="308">
        <f t="shared" si="65"/>
        <v>0</v>
      </c>
      <c r="P260" s="308">
        <f t="shared" si="65"/>
        <v>2.2203569937669476E-2</v>
      </c>
      <c r="V260" s="275" t="str">
        <f t="shared" si="54"/>
        <v>Summer</v>
      </c>
      <c r="Z260" s="294">
        <f t="shared" si="50"/>
        <v>2.2200000000000001E-2</v>
      </c>
      <c r="AA260" s="295">
        <f t="shared" si="55"/>
        <v>0</v>
      </c>
      <c r="AD260" s="347">
        <v>1277018.0661989371</v>
      </c>
    </row>
    <row r="261" spans="2:30" ht="17.45" customHeight="1">
      <c r="B261" s="186">
        <f t="shared" si="62"/>
        <v>53571</v>
      </c>
      <c r="C261" s="296">
        <v>554188.43617767794</v>
      </c>
      <c r="D261" s="297">
        <f>IF(ISNUMBER($F261),VLOOKUP($J261,'Table 1'!$B$13:$C$41,2,FALSE)/12*1000*Study_MW,"")</f>
        <v>339061.33333333331</v>
      </c>
      <c r="E261" s="297">
        <f t="shared" si="52"/>
        <v>893249.7695110112</v>
      </c>
      <c r="F261" s="296">
        <v>11306.15984007</v>
      </c>
      <c r="G261" s="298">
        <f t="shared" si="56"/>
        <v>79.005584756130673</v>
      </c>
      <c r="I261" s="299">
        <f t="shared" si="57"/>
        <v>269</v>
      </c>
      <c r="J261" s="293">
        <f t="shared" si="63"/>
        <v>2046</v>
      </c>
      <c r="K261" s="186">
        <f t="shared" si="64"/>
        <v>53571</v>
      </c>
      <c r="M261" s="294"/>
      <c r="N261" s="308">
        <f t="shared" si="65"/>
        <v>2.2204004566359625E-2</v>
      </c>
      <c r="O261" s="308">
        <f t="shared" si="65"/>
        <v>0</v>
      </c>
      <c r="P261" s="308">
        <f t="shared" si="65"/>
        <v>2.2204004566359847E-2</v>
      </c>
      <c r="V261" s="275" t="str">
        <f t="shared" si="54"/>
        <v>Summer</v>
      </c>
      <c r="Z261" s="294">
        <f t="shared" si="50"/>
        <v>2.2200000000000001E-2</v>
      </c>
      <c r="AA261" s="295">
        <f t="shared" si="55"/>
        <v>0</v>
      </c>
      <c r="AD261" s="347">
        <v>862928.86773397611</v>
      </c>
    </row>
    <row r="262" spans="2:30" ht="17.45" customHeight="1">
      <c r="B262" s="186">
        <f t="shared" si="62"/>
        <v>53601</v>
      </c>
      <c r="C262" s="296">
        <v>1243761.2961374184</v>
      </c>
      <c r="D262" s="297">
        <f>IF(ISNUMBER($F262),VLOOKUP($J262,'Table 1'!$B$13:$C$41,2,FALSE)/12*1000*Study_MW,"")</f>
        <v>339061.33333333331</v>
      </c>
      <c r="E262" s="297">
        <f t="shared" si="52"/>
        <v>1582822.6294707516</v>
      </c>
      <c r="F262" s="296">
        <v>23404.872506280004</v>
      </c>
      <c r="G262" s="298">
        <f t="shared" si="56"/>
        <v>67.627910771402327</v>
      </c>
      <c r="I262" s="299">
        <f t="shared" si="57"/>
        <v>270</v>
      </c>
      <c r="J262" s="293">
        <f t="shared" si="63"/>
        <v>2046</v>
      </c>
      <c r="K262" s="186">
        <f t="shared" si="64"/>
        <v>53601</v>
      </c>
      <c r="M262" s="294"/>
      <c r="N262" s="308">
        <f t="shared" si="65"/>
        <v>2.2202259932228685E-2</v>
      </c>
      <c r="O262" s="308">
        <f t="shared" si="65"/>
        <v>0</v>
      </c>
      <c r="P262" s="308">
        <f t="shared" si="65"/>
        <v>2.2202259932228685E-2</v>
      </c>
      <c r="V262" s="275" t="str">
        <f t="shared" si="54"/>
        <v>Winter</v>
      </c>
      <c r="Z262" s="294">
        <f t="shared" si="50"/>
        <v>2.2200000000000001E-2</v>
      </c>
      <c r="AA262" s="295">
        <f t="shared" si="55"/>
        <v>0</v>
      </c>
      <c r="AD262" s="347">
        <v>1402555.116867377</v>
      </c>
    </row>
    <row r="263" spans="2:30" ht="17.45" customHeight="1">
      <c r="B263" s="186">
        <f t="shared" si="62"/>
        <v>53632</v>
      </c>
      <c r="C263" s="296">
        <v>985850.66657802009</v>
      </c>
      <c r="D263" s="297">
        <f>IF(ISNUMBER($F263),VLOOKUP($J263,'Table 1'!$B$13:$C$41,2,FALSE)/12*1000*Study_MW,"")</f>
        <v>339061.33333333331</v>
      </c>
      <c r="E263" s="297">
        <f t="shared" si="52"/>
        <v>1324911.9999113535</v>
      </c>
      <c r="F263" s="296">
        <v>14273.345559230002</v>
      </c>
      <c r="G263" s="298">
        <f t="shared" si="56"/>
        <v>92.824208200759628</v>
      </c>
      <c r="I263" s="299">
        <f t="shared" si="57"/>
        <v>271</v>
      </c>
      <c r="J263" s="293">
        <f t="shared" si="63"/>
        <v>2046</v>
      </c>
      <c r="K263" s="186">
        <f t="shared" si="64"/>
        <v>53632</v>
      </c>
      <c r="M263" s="294"/>
      <c r="N263" s="308">
        <f t="shared" si="65"/>
        <v>2.2202699857358343E-2</v>
      </c>
      <c r="O263" s="308">
        <f t="shared" si="65"/>
        <v>0</v>
      </c>
      <c r="P263" s="308">
        <f t="shared" si="65"/>
        <v>2.2202699857358565E-2</v>
      </c>
      <c r="V263" s="275" t="str">
        <f t="shared" si="54"/>
        <v>Winter</v>
      </c>
      <c r="Z263" s="294">
        <f t="shared" si="50"/>
        <v>2.2200000000000001E-2</v>
      </c>
      <c r="AA263" s="295">
        <f t="shared" si="55"/>
        <v>0</v>
      </c>
      <c r="AD263" s="347">
        <v>1362499.4998316893</v>
      </c>
    </row>
    <row r="264" spans="2:30" ht="17.45" customHeight="1">
      <c r="B264" s="187">
        <f t="shared" si="62"/>
        <v>53662</v>
      </c>
      <c r="C264" s="303">
        <v>758674.65305646264</v>
      </c>
      <c r="D264" s="304">
        <f>IF(ISNUMBER($F264),VLOOKUP($J264,'Table 1'!$B$13:$C$41,2,FALSE)/12*1000*Study_MW,"")</f>
        <v>339061.33333333331</v>
      </c>
      <c r="E264" s="304">
        <f t="shared" si="52"/>
        <v>1097735.986389796</v>
      </c>
      <c r="F264" s="303">
        <v>14151.674536572002</v>
      </c>
      <c r="G264" s="305">
        <f t="shared" si="56"/>
        <v>77.569335243891473</v>
      </c>
      <c r="I264" s="306">
        <f t="shared" si="57"/>
        <v>272</v>
      </c>
      <c r="J264" s="293">
        <f t="shared" si="63"/>
        <v>2046</v>
      </c>
      <c r="K264" s="187">
        <f t="shared" si="64"/>
        <v>53662</v>
      </c>
      <c r="M264" s="294"/>
      <c r="N264" s="308">
        <f t="shared" si="65"/>
        <v>2.2203258593516129E-2</v>
      </c>
      <c r="O264" s="308">
        <f t="shared" si="65"/>
        <v>0</v>
      </c>
      <c r="P264" s="308">
        <f t="shared" si="65"/>
        <v>2.2203258593516129E-2</v>
      </c>
      <c r="V264" s="275" t="str">
        <f t="shared" si="54"/>
        <v>Winter</v>
      </c>
      <c r="Z264" s="294">
        <f t="shared" si="50"/>
        <v>2.2200000000000001E-2</v>
      </c>
      <c r="AA264" s="295">
        <f t="shared" si="55"/>
        <v>0</v>
      </c>
      <c r="AD264" s="347">
        <v>1269939.2759756907</v>
      </c>
    </row>
    <row r="265" spans="2:30" ht="17.45" customHeight="1">
      <c r="B265" s="185">
        <f t="shared" si="62"/>
        <v>53693</v>
      </c>
      <c r="C265" s="287">
        <v>1376917.2572069005</v>
      </c>
      <c r="D265" s="288">
        <f>IF(ISNUMBER($F265),VLOOKUP($J265,'Table 1'!$B$13:$C$41,2,FALSE)/12*1000*Study_MW,"")</f>
        <v>346590.22222222225</v>
      </c>
      <c r="E265" s="289">
        <f t="shared" si="52"/>
        <v>1723507.4794291228</v>
      </c>
      <c r="F265" s="290">
        <v>20415.319112959998</v>
      </c>
      <c r="G265" s="291">
        <f t="shared" si="56"/>
        <v>84.422264961560671</v>
      </c>
      <c r="I265" s="307">
        <f t="shared" si="57"/>
        <v>274</v>
      </c>
      <c r="J265" s="293">
        <f t="shared" si="63"/>
        <v>2047</v>
      </c>
      <c r="K265" s="185">
        <f t="shared" si="64"/>
        <v>53693</v>
      </c>
      <c r="M265" s="294"/>
      <c r="N265" s="308">
        <f t="shared" si="65"/>
        <v>2.2201024443753825E-2</v>
      </c>
      <c r="O265" s="308">
        <f t="shared" si="65"/>
        <v>0</v>
      </c>
      <c r="P265" s="308">
        <f t="shared" si="65"/>
        <v>2.2201024443753825E-2</v>
      </c>
      <c r="V265" s="275" t="str">
        <f t="shared" si="54"/>
        <v>Winter</v>
      </c>
      <c r="Z265" s="294">
        <f t="shared" si="50"/>
        <v>2.2200000000000001E-2</v>
      </c>
      <c r="AA265" s="295">
        <f t="shared" si="55"/>
        <v>0</v>
      </c>
      <c r="AD265" s="347">
        <v>1831948.1500835142</v>
      </c>
    </row>
    <row r="266" spans="2:30" ht="17.45" customHeight="1">
      <c r="B266" s="186">
        <f t="shared" si="62"/>
        <v>53724</v>
      </c>
      <c r="C266" s="296">
        <v>1168666.3540839995</v>
      </c>
      <c r="D266" s="297">
        <f>IF(ISNUMBER($F266),VLOOKUP($J266,'Table 1'!$B$13:$C$41,2,FALSE)/12*1000*Study_MW,"")</f>
        <v>346590.22222222225</v>
      </c>
      <c r="E266" s="297">
        <f t="shared" si="52"/>
        <v>1515256.5763062218</v>
      </c>
      <c r="F266" s="296">
        <v>18180.393904599998</v>
      </c>
      <c r="G266" s="298">
        <f t="shared" si="56"/>
        <v>83.345640598184843</v>
      </c>
      <c r="I266" s="299">
        <f t="shared" si="57"/>
        <v>275</v>
      </c>
      <c r="J266" s="293">
        <f t="shared" si="63"/>
        <v>2047</v>
      </c>
      <c r="K266" s="186">
        <f t="shared" si="64"/>
        <v>53724</v>
      </c>
      <c r="M266" s="294"/>
      <c r="N266" s="308">
        <f t="shared" si="65"/>
        <v>2.2201165239433829E-2</v>
      </c>
      <c r="O266" s="308">
        <f t="shared" si="65"/>
        <v>0</v>
      </c>
      <c r="P266" s="308">
        <f t="shared" si="65"/>
        <v>2.2201165239434051E-2</v>
      </c>
      <c r="V266" s="275" t="str">
        <f t="shared" si="54"/>
        <v>Winter</v>
      </c>
      <c r="Z266" s="294">
        <f t="shared" si="50"/>
        <v>2.2200000000000001E-2</v>
      </c>
      <c r="AA266" s="295">
        <f t="shared" si="55"/>
        <v>0</v>
      </c>
      <c r="AD266" s="347">
        <v>1927444.6618791651</v>
      </c>
    </row>
    <row r="267" spans="2:30" ht="17.45" customHeight="1">
      <c r="B267" s="186">
        <f t="shared" si="62"/>
        <v>53752</v>
      </c>
      <c r="C267" s="296">
        <v>708158.1111176206</v>
      </c>
      <c r="D267" s="297">
        <f>IF(ISNUMBER($F267),VLOOKUP($J267,'Table 1'!$B$13:$C$41,2,FALSE)/12*1000*Study_MW,"")</f>
        <v>346590.22222222225</v>
      </c>
      <c r="E267" s="297">
        <f t="shared" si="52"/>
        <v>1054748.333339843</v>
      </c>
      <c r="F267" s="296">
        <v>17408.180495410001</v>
      </c>
      <c r="G267" s="298">
        <f t="shared" si="56"/>
        <v>60.589234677222443</v>
      </c>
      <c r="I267" s="299">
        <f t="shared" si="57"/>
        <v>276</v>
      </c>
      <c r="J267" s="293">
        <f t="shared" si="63"/>
        <v>2047</v>
      </c>
      <c r="K267" s="186">
        <f t="shared" si="64"/>
        <v>53752</v>
      </c>
      <c r="M267" s="294"/>
      <c r="N267" s="308">
        <f t="shared" si="65"/>
        <v>2.2201673989460824E-2</v>
      </c>
      <c r="O267" s="308">
        <f t="shared" si="65"/>
        <v>0</v>
      </c>
      <c r="P267" s="308">
        <f t="shared" si="65"/>
        <v>2.2201673989460824E-2</v>
      </c>
      <c r="V267" s="275" t="str">
        <f t="shared" si="54"/>
        <v>Winter</v>
      </c>
      <c r="Z267" s="294">
        <f t="shared" si="50"/>
        <v>2.2200000000000001E-2</v>
      </c>
      <c r="AA267" s="295">
        <f t="shared" si="55"/>
        <v>0</v>
      </c>
      <c r="AD267" s="347">
        <v>919692.41543090506</v>
      </c>
    </row>
    <row r="268" spans="2:30" ht="17.45" customHeight="1">
      <c r="B268" s="186">
        <f t="shared" si="62"/>
        <v>53783</v>
      </c>
      <c r="C268" s="296">
        <v>1078452.666908338</v>
      </c>
      <c r="D268" s="297">
        <f>IF(ISNUMBER($F268),VLOOKUP($J268,'Table 1'!$B$13:$C$41,2,FALSE)/12*1000*Study_MW,"")</f>
        <v>346590.22222222225</v>
      </c>
      <c r="E268" s="297">
        <f t="shared" si="52"/>
        <v>1425042.8891305602</v>
      </c>
      <c r="F268" s="296">
        <v>23588.34631157</v>
      </c>
      <c r="G268" s="298">
        <f t="shared" si="56"/>
        <v>60.413005231807276</v>
      </c>
      <c r="I268" s="299">
        <f t="shared" si="57"/>
        <v>277</v>
      </c>
      <c r="J268" s="293">
        <f t="shared" si="63"/>
        <v>2047</v>
      </c>
      <c r="K268" s="186">
        <f t="shared" si="64"/>
        <v>53783</v>
      </c>
      <c r="M268" s="294"/>
      <c r="N268" s="308">
        <f t="shared" si="65"/>
        <v>2.2201239006107043E-2</v>
      </c>
      <c r="O268" s="308">
        <f t="shared" si="65"/>
        <v>0</v>
      </c>
      <c r="P268" s="308">
        <f t="shared" si="65"/>
        <v>2.2201239006107043E-2</v>
      </c>
      <c r="V268" s="275" t="str">
        <f t="shared" si="54"/>
        <v>Winter</v>
      </c>
      <c r="Z268" s="294">
        <f t="shared" si="50"/>
        <v>2.2200000000000001E-2</v>
      </c>
      <c r="AA268" s="295">
        <f t="shared" si="55"/>
        <v>0</v>
      </c>
      <c r="AD268" s="347">
        <v>1146589.0889771341</v>
      </c>
    </row>
    <row r="269" spans="2:30" ht="17.45" customHeight="1">
      <c r="B269" s="186">
        <f t="shared" si="62"/>
        <v>53813</v>
      </c>
      <c r="C269" s="296">
        <v>920852.98516005336</v>
      </c>
      <c r="D269" s="297">
        <f>IF(ISNUMBER($F269),VLOOKUP($J269,'Table 1'!$B$13:$C$41,2,FALSE)/12*1000*Study_MW,"")</f>
        <v>346590.22222222225</v>
      </c>
      <c r="E269" s="297">
        <f t="shared" si="52"/>
        <v>1267443.2073822757</v>
      </c>
      <c r="F269" s="296">
        <v>21850.675363670001</v>
      </c>
      <c r="G269" s="298">
        <f t="shared" si="56"/>
        <v>58.004761239077702</v>
      </c>
      <c r="I269" s="299">
        <f t="shared" si="57"/>
        <v>278</v>
      </c>
      <c r="J269" s="293">
        <f t="shared" si="63"/>
        <v>2047</v>
      </c>
      <c r="K269" s="186">
        <f t="shared" si="64"/>
        <v>53813</v>
      </c>
      <c r="M269" s="294"/>
      <c r="N269" s="308">
        <f t="shared" si="65"/>
        <v>2.2201393069999797E-2</v>
      </c>
      <c r="O269" s="308">
        <f t="shared" si="65"/>
        <v>0</v>
      </c>
      <c r="P269" s="308">
        <f t="shared" si="65"/>
        <v>2.2201393069999797E-2</v>
      </c>
      <c r="V269" s="275" t="str">
        <f t="shared" si="54"/>
        <v>Winter</v>
      </c>
      <c r="Z269" s="294">
        <f t="shared" ref="Z269:Z332" si="66">Inflation</f>
        <v>2.2200000000000001E-2</v>
      </c>
      <c r="AA269" s="295">
        <f t="shared" si="55"/>
        <v>0</v>
      </c>
      <c r="AD269" s="347">
        <v>1009249.0771392614</v>
      </c>
    </row>
    <row r="270" spans="2:30" ht="17.45" customHeight="1">
      <c r="B270" s="186">
        <f t="shared" si="62"/>
        <v>53844</v>
      </c>
      <c r="C270" s="296">
        <v>1158322.3592038995</v>
      </c>
      <c r="D270" s="297">
        <f>IF(ISNUMBER($F270),VLOOKUP($J270,'Table 1'!$B$13:$C$41,2,FALSE)/12*1000*Study_MW,"")</f>
        <v>346590.22222222225</v>
      </c>
      <c r="E270" s="297">
        <f t="shared" ref="E270:E281" si="67">IF(ISNUMBER(C270+D270),C270+D270,"")</f>
        <v>1504912.5814261218</v>
      </c>
      <c r="F270" s="296">
        <v>21727.221439299999</v>
      </c>
      <c r="G270" s="298">
        <f t="shared" si="56"/>
        <v>69.263922477636726</v>
      </c>
      <c r="I270" s="299">
        <f t="shared" si="57"/>
        <v>279</v>
      </c>
      <c r="J270" s="293">
        <f t="shared" si="63"/>
        <v>2047</v>
      </c>
      <c r="K270" s="186">
        <f t="shared" si="64"/>
        <v>53844</v>
      </c>
      <c r="M270" s="294"/>
      <c r="N270" s="308">
        <f t="shared" ref="N270:P281" si="68">E270/E258-1</f>
        <v>2.2201173248699524E-2</v>
      </c>
      <c r="O270" s="308">
        <f t="shared" si="68"/>
        <v>0</v>
      </c>
      <c r="P270" s="308">
        <f t="shared" si="68"/>
        <v>2.2201173248699524E-2</v>
      </c>
      <c r="V270" s="275" t="str">
        <f t="shared" ref="V270:V324" si="69">IFERROR(IF(AND(MONTH(K270)&gt;=6,MONTH(K270)&lt;=9),"Summer","Winter"),"-")</f>
        <v>Summer</v>
      </c>
      <c r="Z270" s="294">
        <f t="shared" si="66"/>
        <v>2.2200000000000001E-2</v>
      </c>
      <c r="AA270" s="295">
        <f t="shared" ref="AA270:AA333" si="70">IF($AA$8="Solar",IFERROR(IF(J270&gt;$AC$1,-0.005,0),AA258),0)</f>
        <v>0</v>
      </c>
      <c r="AD270" s="347">
        <v>1305547.4159612688</v>
      </c>
    </row>
    <row r="271" spans="2:30" ht="17.45" customHeight="1">
      <c r="B271" s="186">
        <f t="shared" si="62"/>
        <v>53874</v>
      </c>
      <c r="C271" s="296">
        <v>663467.44901318976</v>
      </c>
      <c r="D271" s="297">
        <f>IF(ISNUMBER($F271),VLOOKUP($J271,'Table 1'!$B$13:$C$41,2,FALSE)/12*1000*Study_MW,"")</f>
        <v>346590.22222222225</v>
      </c>
      <c r="E271" s="297">
        <f t="shared" si="67"/>
        <v>1010057.671235412</v>
      </c>
      <c r="F271" s="296">
        <v>13087.66273665</v>
      </c>
      <c r="G271" s="298">
        <f t="shared" ref="G271:G282" si="71">IF(ISNUMBER($F271),E271/$F271,"")</f>
        <v>77.176321820006862</v>
      </c>
      <c r="I271" s="299">
        <f t="shared" si="57"/>
        <v>280</v>
      </c>
      <c r="J271" s="293">
        <f t="shared" si="63"/>
        <v>2047</v>
      </c>
      <c r="K271" s="186">
        <f t="shared" si="64"/>
        <v>53874</v>
      </c>
      <c r="M271" s="294"/>
      <c r="N271" s="308">
        <f t="shared" si="68"/>
        <v>2.2201748056345672E-2</v>
      </c>
      <c r="O271" s="308">
        <f t="shared" si="68"/>
        <v>0</v>
      </c>
      <c r="P271" s="308">
        <f t="shared" si="68"/>
        <v>2.2201748056345672E-2</v>
      </c>
      <c r="V271" s="275" t="str">
        <f t="shared" si="69"/>
        <v>Summer</v>
      </c>
      <c r="Z271" s="294">
        <f t="shared" si="66"/>
        <v>2.2200000000000001E-2</v>
      </c>
      <c r="AA271" s="295">
        <f t="shared" si="70"/>
        <v>0</v>
      </c>
      <c r="AD271" s="347">
        <v>1026406.6651757017</v>
      </c>
    </row>
    <row r="272" spans="2:30" ht="17.45" customHeight="1">
      <c r="B272" s="186">
        <f t="shared" si="62"/>
        <v>53905</v>
      </c>
      <c r="C272" s="296">
        <v>677655.59359899967</v>
      </c>
      <c r="D272" s="297">
        <f>IF(ISNUMBER($F272),VLOOKUP($J272,'Table 1'!$B$13:$C$41,2,FALSE)/12*1000*Study_MW,"")</f>
        <v>346590.22222222225</v>
      </c>
      <c r="E272" s="297">
        <f t="shared" si="67"/>
        <v>1024245.8158212219</v>
      </c>
      <c r="F272" s="296">
        <v>13352.837596360001</v>
      </c>
      <c r="G272" s="298">
        <f t="shared" si="71"/>
        <v>76.706228801916424</v>
      </c>
      <c r="I272" s="299">
        <f t="shared" si="57"/>
        <v>281</v>
      </c>
      <c r="J272" s="293">
        <f t="shared" si="63"/>
        <v>2047</v>
      </c>
      <c r="K272" s="186">
        <f t="shared" si="64"/>
        <v>53905</v>
      </c>
      <c r="M272" s="294"/>
      <c r="N272" s="308">
        <f t="shared" si="68"/>
        <v>2.2201723841730692E-2</v>
      </c>
      <c r="O272" s="308">
        <f t="shared" si="68"/>
        <v>0</v>
      </c>
      <c r="P272" s="308">
        <f t="shared" si="68"/>
        <v>2.2201723841730692E-2</v>
      </c>
      <c r="V272" s="275" t="str">
        <f t="shared" si="69"/>
        <v>Summer</v>
      </c>
      <c r="Z272" s="294">
        <f t="shared" si="66"/>
        <v>2.2200000000000001E-2</v>
      </c>
      <c r="AA272" s="295">
        <f t="shared" si="70"/>
        <v>0</v>
      </c>
      <c r="AD272" s="347">
        <v>1305367.8672685537</v>
      </c>
    </row>
    <row r="273" spans="2:30" ht="17.45" customHeight="1">
      <c r="B273" s="186">
        <f t="shared" si="62"/>
        <v>53936</v>
      </c>
      <c r="C273" s="296">
        <v>566491.41946082236</v>
      </c>
      <c r="D273" s="297">
        <f>IF(ISNUMBER($F273),VLOOKUP($J273,'Table 1'!$B$13:$C$41,2,FALSE)/12*1000*Study_MW,"")</f>
        <v>346590.22222222225</v>
      </c>
      <c r="E273" s="297">
        <f t="shared" si="67"/>
        <v>913081.64168304461</v>
      </c>
      <c r="F273" s="296">
        <v>11306.15984007</v>
      </c>
      <c r="G273" s="298">
        <f t="shared" si="71"/>
        <v>80.759661511860543</v>
      </c>
      <c r="I273" s="299">
        <f t="shared" si="57"/>
        <v>282</v>
      </c>
      <c r="J273" s="293">
        <f t="shared" si="63"/>
        <v>2047</v>
      </c>
      <c r="K273" s="186">
        <f t="shared" si="64"/>
        <v>53936</v>
      </c>
      <c r="M273" s="294"/>
      <c r="N273" s="308">
        <f t="shared" si="68"/>
        <v>2.22019337132211E-2</v>
      </c>
      <c r="O273" s="308">
        <f t="shared" si="68"/>
        <v>0</v>
      </c>
      <c r="P273" s="308">
        <f t="shared" si="68"/>
        <v>2.2201933713220878E-2</v>
      </c>
      <c r="V273" s="275" t="str">
        <f t="shared" si="69"/>
        <v>Summer</v>
      </c>
      <c r="Z273" s="294">
        <f t="shared" si="66"/>
        <v>2.2200000000000001E-2</v>
      </c>
      <c r="AA273" s="295">
        <f t="shared" si="70"/>
        <v>0</v>
      </c>
      <c r="AD273" s="347">
        <v>882085.88859767036</v>
      </c>
    </row>
    <row r="274" spans="2:30" ht="17.45" customHeight="1">
      <c r="B274" s="186">
        <f t="shared" si="62"/>
        <v>53966</v>
      </c>
      <c r="C274" s="296">
        <v>1271372.796911669</v>
      </c>
      <c r="D274" s="297">
        <f>IF(ISNUMBER($F274),VLOOKUP($J274,'Table 1'!$B$13:$C$41,2,FALSE)/12*1000*Study_MW,"")</f>
        <v>346590.22222222225</v>
      </c>
      <c r="E274" s="297">
        <f t="shared" si="67"/>
        <v>1617963.0191338912</v>
      </c>
      <c r="F274" s="296">
        <v>23404.872506280004</v>
      </c>
      <c r="G274" s="298">
        <f t="shared" si="71"/>
        <v>69.12932419092472</v>
      </c>
      <c r="I274" s="299">
        <f t="shared" si="57"/>
        <v>283</v>
      </c>
      <c r="J274" s="293">
        <f t="shared" si="63"/>
        <v>2047</v>
      </c>
      <c r="K274" s="186">
        <f t="shared" si="64"/>
        <v>53966</v>
      </c>
      <c r="M274" s="294"/>
      <c r="N274" s="308">
        <f t="shared" si="68"/>
        <v>2.2201091271287554E-2</v>
      </c>
      <c r="O274" s="308">
        <f t="shared" si="68"/>
        <v>0</v>
      </c>
      <c r="P274" s="308">
        <f t="shared" si="68"/>
        <v>2.2201091271287554E-2</v>
      </c>
      <c r="V274" s="275" t="str">
        <f t="shared" si="69"/>
        <v>Winter</v>
      </c>
      <c r="Z274" s="294">
        <f t="shared" si="66"/>
        <v>2.2200000000000001E-2</v>
      </c>
      <c r="AA274" s="295">
        <f t="shared" si="70"/>
        <v>0</v>
      </c>
      <c r="AD274" s="347">
        <v>1433691.8404618327</v>
      </c>
    </row>
    <row r="275" spans="2:30" ht="17.45" customHeight="1">
      <c r="B275" s="186">
        <f t="shared" si="62"/>
        <v>53997</v>
      </c>
      <c r="C275" s="296">
        <v>1007736.5513760521</v>
      </c>
      <c r="D275" s="297">
        <f>IF(ISNUMBER($F275),VLOOKUP($J275,'Table 1'!$B$13:$C$41,2,FALSE)/12*1000*Study_MW,"")</f>
        <v>346590.22222222225</v>
      </c>
      <c r="E275" s="297">
        <f t="shared" si="67"/>
        <v>1354326.7735982742</v>
      </c>
      <c r="F275" s="296">
        <v>14273.345559230002</v>
      </c>
      <c r="G275" s="298">
        <f t="shared" si="71"/>
        <v>94.885026637814789</v>
      </c>
      <c r="I275" s="299">
        <f t="shared" si="57"/>
        <v>284</v>
      </c>
      <c r="J275" s="293">
        <f t="shared" si="63"/>
        <v>2047</v>
      </c>
      <c r="K275" s="186">
        <f t="shared" si="64"/>
        <v>53997</v>
      </c>
      <c r="M275" s="294"/>
      <c r="N275" s="308">
        <f t="shared" si="68"/>
        <v>2.2201303700841057E-2</v>
      </c>
      <c r="O275" s="308">
        <f t="shared" si="68"/>
        <v>0</v>
      </c>
      <c r="P275" s="308">
        <f t="shared" si="68"/>
        <v>2.2201303700841057E-2</v>
      </c>
      <c r="V275" s="275" t="str">
        <f t="shared" si="69"/>
        <v>Winter</v>
      </c>
      <c r="Z275" s="294">
        <f t="shared" si="66"/>
        <v>2.2200000000000001E-2</v>
      </c>
      <c r="AA275" s="295">
        <f t="shared" si="70"/>
        <v>0</v>
      </c>
      <c r="AD275" s="347">
        <v>1392746.9887279528</v>
      </c>
    </row>
    <row r="276" spans="2:30" ht="17.45" customHeight="1">
      <c r="B276" s="187">
        <f t="shared" si="62"/>
        <v>54027</v>
      </c>
      <c r="C276" s="303">
        <v>775517.23035431607</v>
      </c>
      <c r="D276" s="304">
        <f>IF(ISNUMBER($F276),VLOOKUP($J276,'Table 1'!$B$13:$C$41,2,FALSE)/12*1000*Study_MW,"")</f>
        <v>346590.22222222225</v>
      </c>
      <c r="E276" s="304">
        <f t="shared" si="67"/>
        <v>1122107.4525765383</v>
      </c>
      <c r="F276" s="303">
        <v>14151.674536572002</v>
      </c>
      <c r="G276" s="305">
        <f t="shared" si="71"/>
        <v>79.291496541747733</v>
      </c>
      <c r="I276" s="306">
        <f t="shared" si="57"/>
        <v>285</v>
      </c>
      <c r="J276" s="293">
        <f t="shared" si="63"/>
        <v>2047</v>
      </c>
      <c r="K276" s="187">
        <f t="shared" si="64"/>
        <v>54027</v>
      </c>
      <c r="M276" s="294"/>
      <c r="N276" s="308">
        <f t="shared" si="68"/>
        <v>2.2201573501197336E-2</v>
      </c>
      <c r="O276" s="308">
        <f t="shared" si="68"/>
        <v>0</v>
      </c>
      <c r="P276" s="308">
        <f t="shared" si="68"/>
        <v>2.2201573501197114E-2</v>
      </c>
      <c r="V276" s="275" t="str">
        <f t="shared" si="69"/>
        <v>Winter</v>
      </c>
      <c r="Z276" s="294">
        <f t="shared" si="66"/>
        <v>2.2200000000000001E-2</v>
      </c>
      <c r="AA276" s="295">
        <f t="shared" si="70"/>
        <v>0</v>
      </c>
      <c r="AD276" s="347">
        <v>1298131.9279023511</v>
      </c>
    </row>
    <row r="277" spans="2:30" ht="17.45" customHeight="1">
      <c r="B277" s="185">
        <f t="shared" si="62"/>
        <v>54058</v>
      </c>
      <c r="C277" s="287">
        <v>1407484.8203168937</v>
      </c>
      <c r="D277" s="288">
        <f>IF(ISNUMBER($F277),VLOOKUP($J277,'Table 1'!$B$13:$C$41,2,FALSE)/12*1000*Study_MW,"")</f>
        <v>354280.88888888882</v>
      </c>
      <c r="E277" s="289">
        <f t="shared" si="67"/>
        <v>1761765.7092057825</v>
      </c>
      <c r="F277" s="290">
        <v>20415.319112959998</v>
      </c>
      <c r="G277" s="291">
        <f t="shared" si="71"/>
        <v>86.296261129094134</v>
      </c>
      <c r="I277" s="307">
        <f t="shared" si="57"/>
        <v>287</v>
      </c>
      <c r="J277" s="293">
        <f t="shared" ref="J277:J300" si="72">YEAR(B277)</f>
        <v>2048</v>
      </c>
      <c r="K277" s="185">
        <f t="shared" ref="K277:K300" si="73">IF(ISNUMBER(F277),IF(F277&lt;&gt;0,B277,""),"")</f>
        <v>54058</v>
      </c>
      <c r="M277" s="294"/>
      <c r="N277" s="308">
        <f t="shared" si="68"/>
        <v>2.2197890193857539E-2</v>
      </c>
      <c r="O277" s="308">
        <f t="shared" si="68"/>
        <v>0</v>
      </c>
      <c r="P277" s="308">
        <f t="shared" si="68"/>
        <v>2.2197890193857539E-2</v>
      </c>
      <c r="V277" s="275" t="str">
        <f t="shared" si="69"/>
        <v>Winter</v>
      </c>
      <c r="Z277" s="294">
        <f t="shared" si="66"/>
        <v>2.2200000000000001E-2</v>
      </c>
      <c r="AA277" s="295">
        <f t="shared" si="70"/>
        <v>0</v>
      </c>
      <c r="AD277" s="347">
        <v>1872617.399015368</v>
      </c>
    </row>
    <row r="278" spans="2:30" ht="17.45" customHeight="1">
      <c r="B278" s="186">
        <f t="shared" si="62"/>
        <v>54089</v>
      </c>
      <c r="C278" s="296">
        <v>1237275.4166855454</v>
      </c>
      <c r="D278" s="297">
        <f>IF(ISNUMBER($F278),VLOOKUP($J278,'Table 1'!$B$13:$C$41,2,FALSE)/12*1000*Study_MW,"")</f>
        <v>354280.88888888882</v>
      </c>
      <c r="E278" s="297">
        <f t="shared" si="67"/>
        <v>1591556.3055744341</v>
      </c>
      <c r="F278" s="296">
        <v>18829.693686907143</v>
      </c>
      <c r="G278" s="298">
        <f t="shared" si="71"/>
        <v>84.52374913996033</v>
      </c>
      <c r="I278" s="299">
        <f t="shared" si="57"/>
        <v>288</v>
      </c>
      <c r="J278" s="293">
        <f t="shared" si="72"/>
        <v>2048</v>
      </c>
      <c r="K278" s="186">
        <f t="shared" si="73"/>
        <v>54089</v>
      </c>
      <c r="M278" s="294"/>
      <c r="N278" s="308">
        <f t="shared" si="68"/>
        <v>5.0354329729562997E-2</v>
      </c>
      <c r="O278" s="308">
        <f t="shared" si="68"/>
        <v>3.5714285714285809E-2</v>
      </c>
      <c r="P278" s="308">
        <f t="shared" si="68"/>
        <v>1.4135214911302096E-2</v>
      </c>
      <c r="V278" s="275" t="str">
        <f t="shared" si="69"/>
        <v>Winter</v>
      </c>
      <c r="Z278" s="294">
        <f t="shared" si="66"/>
        <v>2.2200000000000001E-2</v>
      </c>
      <c r="AA278" s="295">
        <f t="shared" si="70"/>
        <v>0</v>
      </c>
      <c r="AD278" s="347">
        <v>2040599.4309933432</v>
      </c>
    </row>
    <row r="279" spans="2:30" ht="17.45" customHeight="1">
      <c r="B279" s="186">
        <f t="shared" si="62"/>
        <v>54118</v>
      </c>
      <c r="C279" s="296">
        <v>723879.22118443181</v>
      </c>
      <c r="D279" s="297">
        <f>IF(ISNUMBER($F279),VLOOKUP($J279,'Table 1'!$B$13:$C$41,2,FALSE)/12*1000*Study_MW,"")</f>
        <v>354280.88888888882</v>
      </c>
      <c r="E279" s="297">
        <f t="shared" si="67"/>
        <v>1078160.1100733206</v>
      </c>
      <c r="F279" s="296">
        <v>17408.180495410001</v>
      </c>
      <c r="G279" s="298">
        <f t="shared" si="71"/>
        <v>61.934106804418654</v>
      </c>
      <c r="I279" s="299">
        <f t="shared" si="57"/>
        <v>289</v>
      </c>
      <c r="J279" s="293">
        <f t="shared" si="72"/>
        <v>2048</v>
      </c>
      <c r="K279" s="186">
        <f t="shared" si="73"/>
        <v>54118</v>
      </c>
      <c r="M279" s="294"/>
      <c r="N279" s="308">
        <f t="shared" si="68"/>
        <v>2.2196552479343268E-2</v>
      </c>
      <c r="O279" s="308">
        <f t="shared" si="68"/>
        <v>0</v>
      </c>
      <c r="P279" s="308">
        <f t="shared" si="68"/>
        <v>2.2196552479343268E-2</v>
      </c>
      <c r="V279" s="275" t="str">
        <f t="shared" si="69"/>
        <v>Winter</v>
      </c>
      <c r="Z279" s="294">
        <f t="shared" si="66"/>
        <v>2.2200000000000001E-2</v>
      </c>
      <c r="AA279" s="295">
        <f t="shared" si="70"/>
        <v>0</v>
      </c>
      <c r="AD279" s="347">
        <v>940109.58705347113</v>
      </c>
    </row>
    <row r="280" spans="2:30" ht="17.45" customHeight="1">
      <c r="B280" s="186">
        <f t="shared" si="62"/>
        <v>54149</v>
      </c>
      <c r="C280" s="296">
        <v>1102394.316113703</v>
      </c>
      <c r="D280" s="297">
        <f>IF(ISNUMBER($F280),VLOOKUP($J280,'Table 1'!$B$13:$C$41,2,FALSE)/12*1000*Study_MW,"")</f>
        <v>354280.88888888882</v>
      </c>
      <c r="E280" s="297">
        <f t="shared" si="67"/>
        <v>1456675.2050025917</v>
      </c>
      <c r="F280" s="296">
        <v>23588.34631157</v>
      </c>
      <c r="G280" s="298">
        <f t="shared" si="71"/>
        <v>61.754019792735434</v>
      </c>
      <c r="I280" s="299">
        <f t="shared" si="57"/>
        <v>290</v>
      </c>
      <c r="J280" s="293">
        <f t="shared" si="72"/>
        <v>2048</v>
      </c>
      <c r="K280" s="186">
        <f t="shared" si="73"/>
        <v>54149</v>
      </c>
      <c r="M280" s="294"/>
      <c r="N280" s="308">
        <f t="shared" si="68"/>
        <v>2.2197448310717682E-2</v>
      </c>
      <c r="O280" s="308">
        <f t="shared" si="68"/>
        <v>0</v>
      </c>
      <c r="P280" s="308">
        <f t="shared" si="68"/>
        <v>2.2197448310717682E-2</v>
      </c>
      <c r="V280" s="275" t="str">
        <f t="shared" si="69"/>
        <v>Winter</v>
      </c>
      <c r="Z280" s="294">
        <f t="shared" si="66"/>
        <v>2.2200000000000001E-2</v>
      </c>
      <c r="AA280" s="295">
        <f t="shared" si="70"/>
        <v>0</v>
      </c>
      <c r="AD280" s="347">
        <v>1172043.3667524264</v>
      </c>
    </row>
    <row r="281" spans="2:30" ht="17.45" customHeight="1">
      <c r="B281" s="186">
        <f t="shared" si="62"/>
        <v>54179</v>
      </c>
      <c r="C281" s="296">
        <v>941295.9214306064</v>
      </c>
      <c r="D281" s="297">
        <f>IF(ISNUMBER($F281),VLOOKUP($J281,'Table 1'!$B$13:$C$41,2,FALSE)/12*1000*Study_MW,"")</f>
        <v>354280.88888888882</v>
      </c>
      <c r="E281" s="297">
        <f t="shared" si="67"/>
        <v>1295576.8103194952</v>
      </c>
      <c r="F281" s="296">
        <v>21850.675363670001</v>
      </c>
      <c r="G281" s="298">
        <f t="shared" si="71"/>
        <v>59.292300524201842</v>
      </c>
      <c r="I281" s="299">
        <f t="shared" si="57"/>
        <v>291</v>
      </c>
      <c r="J281" s="293">
        <f t="shared" si="72"/>
        <v>2048</v>
      </c>
      <c r="K281" s="186">
        <f t="shared" si="73"/>
        <v>54179</v>
      </c>
      <c r="M281" s="294"/>
      <c r="N281" s="308">
        <f t="shared" si="68"/>
        <v>2.219713102200882E-2</v>
      </c>
      <c r="O281" s="308">
        <f t="shared" si="68"/>
        <v>0</v>
      </c>
      <c r="P281" s="308">
        <f t="shared" si="68"/>
        <v>2.219713102200882E-2</v>
      </c>
      <c r="V281" s="275" t="str">
        <f t="shared" si="69"/>
        <v>Winter</v>
      </c>
      <c r="Z281" s="294">
        <f t="shared" si="66"/>
        <v>2.2200000000000001E-2</v>
      </c>
      <c r="AA281" s="295">
        <f t="shared" si="70"/>
        <v>0</v>
      </c>
      <c r="AD281" s="347">
        <v>1031654.406651753</v>
      </c>
    </row>
    <row r="282" spans="2:30" ht="17.45" customHeight="1">
      <c r="B282" s="186">
        <f t="shared" si="62"/>
        <v>54210</v>
      </c>
      <c r="C282" s="296">
        <v>1184037.115578226</v>
      </c>
      <c r="D282" s="297">
        <f>IF(ISNUMBER($F282),VLOOKUP($J282,'Table 1'!$B$13:$C$41,2,FALSE)/12*1000*Study_MW,"")</f>
        <v>354280.88888888882</v>
      </c>
      <c r="E282" s="297">
        <f t="shared" ref="E282:E300" si="74">IF(ISNUMBER(C282+D282),C282+D282,"")</f>
        <v>1538318.0044671148</v>
      </c>
      <c r="F282" s="296">
        <v>21727.221439299999</v>
      </c>
      <c r="G282" s="298">
        <f t="shared" si="71"/>
        <v>70.801414196691496</v>
      </c>
      <c r="I282" s="299">
        <f t="shared" si="57"/>
        <v>292</v>
      </c>
      <c r="J282" s="293">
        <f t="shared" si="72"/>
        <v>2048</v>
      </c>
      <c r="K282" s="186">
        <f t="shared" si="73"/>
        <v>54210</v>
      </c>
      <c r="M282" s="294"/>
      <c r="N282" s="308">
        <f t="shared" ref="N282:N300" si="75">E282/E270-1</f>
        <v>2.2197583735619197E-2</v>
      </c>
      <c r="O282" s="308">
        <f t="shared" ref="O282:O300" si="76">F282/F270-1</f>
        <v>0</v>
      </c>
      <c r="P282" s="308">
        <f t="shared" ref="P282:P300" si="77">G282/G270-1</f>
        <v>2.2197583735619197E-2</v>
      </c>
      <c r="V282" s="275" t="str">
        <f t="shared" si="69"/>
        <v>Summer</v>
      </c>
      <c r="Z282" s="294">
        <f t="shared" si="66"/>
        <v>2.2200000000000001E-2</v>
      </c>
      <c r="AA282" s="295">
        <f t="shared" si="70"/>
        <v>0</v>
      </c>
      <c r="AD282" s="347">
        <v>1334530.5685956089</v>
      </c>
    </row>
    <row r="283" spans="2:30" ht="17.45" customHeight="1">
      <c r="B283" s="186">
        <f t="shared" si="62"/>
        <v>54240</v>
      </c>
      <c r="C283" s="296">
        <v>678196.42638128274</v>
      </c>
      <c r="D283" s="297">
        <f>IF(ISNUMBER($F283),VLOOKUP($J283,'Table 1'!$B$13:$C$41,2,FALSE)/12*1000*Study_MW,"")</f>
        <v>354280.88888888882</v>
      </c>
      <c r="E283" s="297">
        <f t="shared" si="74"/>
        <v>1032477.3152701715</v>
      </c>
      <c r="F283" s="296">
        <v>13087.66273665</v>
      </c>
      <c r="G283" s="298">
        <f t="shared" ref="G283:G300" si="78">IF(ISNUMBER($F283),E283/$F283,"")</f>
        <v>78.889358325140563</v>
      </c>
      <c r="I283" s="299">
        <f t="shared" si="57"/>
        <v>293</v>
      </c>
      <c r="J283" s="293">
        <f t="shared" si="72"/>
        <v>2048</v>
      </c>
      <c r="K283" s="186">
        <f t="shared" si="73"/>
        <v>54240</v>
      </c>
      <c r="M283" s="294"/>
      <c r="N283" s="308">
        <f t="shared" si="75"/>
        <v>2.219639994153777E-2</v>
      </c>
      <c r="O283" s="308">
        <f t="shared" si="76"/>
        <v>0</v>
      </c>
      <c r="P283" s="308">
        <f t="shared" si="77"/>
        <v>2.219639994153777E-2</v>
      </c>
      <c r="V283" s="275" t="str">
        <f t="shared" si="69"/>
        <v>Summer</v>
      </c>
      <c r="Z283" s="294">
        <f t="shared" si="66"/>
        <v>2.2200000000000001E-2</v>
      </c>
      <c r="AA283" s="295">
        <f t="shared" si="70"/>
        <v>0</v>
      </c>
      <c r="AD283" s="347">
        <v>1049192.8931426024</v>
      </c>
    </row>
    <row r="284" spans="2:30" ht="17.45" customHeight="1">
      <c r="B284" s="186">
        <f t="shared" si="62"/>
        <v>54271</v>
      </c>
      <c r="C284" s="296">
        <v>692699.54777689744</v>
      </c>
      <c r="D284" s="297">
        <f>IF(ISNUMBER($F284),VLOOKUP($J284,'Table 1'!$B$13:$C$41,2,FALSE)/12*1000*Study_MW,"")</f>
        <v>354280.88888888882</v>
      </c>
      <c r="E284" s="297">
        <f t="shared" si="74"/>
        <v>1046980.4366657862</v>
      </c>
      <c r="F284" s="296">
        <v>13352.837596360001</v>
      </c>
      <c r="G284" s="298">
        <f t="shared" si="78"/>
        <v>78.408834759676424</v>
      </c>
      <c r="I284" s="299">
        <f t="shared" si="57"/>
        <v>294</v>
      </c>
      <c r="J284" s="293">
        <f t="shared" si="72"/>
        <v>2048</v>
      </c>
      <c r="K284" s="186">
        <f t="shared" si="73"/>
        <v>54271</v>
      </c>
      <c r="M284" s="294"/>
      <c r="N284" s="308">
        <f t="shared" si="75"/>
        <v>2.2196449810572227E-2</v>
      </c>
      <c r="O284" s="308">
        <f t="shared" si="76"/>
        <v>0</v>
      </c>
      <c r="P284" s="308">
        <f t="shared" si="77"/>
        <v>2.2196449810572227E-2</v>
      </c>
      <c r="V284" s="275" t="str">
        <f t="shared" si="69"/>
        <v>Summer</v>
      </c>
      <c r="Z284" s="294">
        <f t="shared" si="66"/>
        <v>2.2200000000000001E-2</v>
      </c>
      <c r="AA284" s="295">
        <f t="shared" si="70"/>
        <v>0</v>
      </c>
      <c r="AD284" s="347">
        <v>1334347.0339219156</v>
      </c>
    </row>
    <row r="285" spans="2:30" ht="17.45" customHeight="1">
      <c r="B285" s="186">
        <f t="shared" si="62"/>
        <v>54302</v>
      </c>
      <c r="C285" s="296">
        <v>579067.52897285263</v>
      </c>
      <c r="D285" s="297">
        <f>IF(ISNUMBER($F285),VLOOKUP($J285,'Table 1'!$B$13:$C$41,2,FALSE)/12*1000*Study_MW,"")</f>
        <v>354280.88888888882</v>
      </c>
      <c r="E285" s="297">
        <f t="shared" si="74"/>
        <v>933348.4178617415</v>
      </c>
      <c r="F285" s="296">
        <v>11306.15984007</v>
      </c>
      <c r="G285" s="298">
        <f t="shared" si="78"/>
        <v>82.552204379233572</v>
      </c>
      <c r="I285" s="299">
        <f t="shared" si="57"/>
        <v>295</v>
      </c>
      <c r="J285" s="293">
        <f t="shared" si="72"/>
        <v>2048</v>
      </c>
      <c r="K285" s="186">
        <f t="shared" si="73"/>
        <v>54302</v>
      </c>
      <c r="M285" s="294"/>
      <c r="N285" s="308">
        <f t="shared" si="75"/>
        <v>2.2196017588679062E-2</v>
      </c>
      <c r="O285" s="308">
        <f t="shared" si="76"/>
        <v>0</v>
      </c>
      <c r="P285" s="308">
        <f t="shared" si="77"/>
        <v>2.2196017588679062E-2</v>
      </c>
      <c r="V285" s="275" t="str">
        <f t="shared" si="69"/>
        <v>Summer</v>
      </c>
      <c r="Z285" s="294">
        <f t="shared" si="66"/>
        <v>2.2200000000000001E-2</v>
      </c>
      <c r="AA285" s="295">
        <f t="shared" si="70"/>
        <v>0</v>
      </c>
      <c r="AD285" s="347">
        <v>901668.19532453862</v>
      </c>
    </row>
    <row r="286" spans="2:30" ht="17.45" customHeight="1">
      <c r="B286" s="186">
        <f t="shared" si="62"/>
        <v>54332</v>
      </c>
      <c r="C286" s="296">
        <v>1299597.2730031081</v>
      </c>
      <c r="D286" s="297">
        <f>IF(ISNUMBER($F286),VLOOKUP($J286,'Table 1'!$B$13:$C$41,2,FALSE)/12*1000*Study_MW,"")</f>
        <v>354280.88888888882</v>
      </c>
      <c r="E286" s="297">
        <f t="shared" si="74"/>
        <v>1653878.1618919969</v>
      </c>
      <c r="F286" s="296">
        <v>23404.872506280004</v>
      </c>
      <c r="G286" s="298">
        <f t="shared" si="78"/>
        <v>70.663839824302727</v>
      </c>
      <c r="I286" s="299">
        <f t="shared" si="57"/>
        <v>296</v>
      </c>
      <c r="J286" s="293">
        <f t="shared" si="72"/>
        <v>2048</v>
      </c>
      <c r="K286" s="186">
        <f t="shared" si="73"/>
        <v>54332</v>
      </c>
      <c r="M286" s="294"/>
      <c r="N286" s="308">
        <f t="shared" si="75"/>
        <v>2.2197752565031648E-2</v>
      </c>
      <c r="O286" s="308">
        <f t="shared" si="76"/>
        <v>0</v>
      </c>
      <c r="P286" s="308">
        <f t="shared" si="77"/>
        <v>2.2197752565031648E-2</v>
      </c>
      <c r="V286" s="275" t="str">
        <f t="shared" si="69"/>
        <v>Winter</v>
      </c>
      <c r="Z286" s="294">
        <f t="shared" si="66"/>
        <v>2.2200000000000001E-2</v>
      </c>
      <c r="AA286" s="295">
        <f t="shared" si="70"/>
        <v>0</v>
      </c>
      <c r="AD286" s="347">
        <v>1465519.7993200854</v>
      </c>
    </row>
    <row r="287" spans="2:30" ht="17.45" customHeight="1">
      <c r="B287" s="186">
        <f t="shared" si="62"/>
        <v>54363</v>
      </c>
      <c r="C287" s="296">
        <v>1030108.3028166004</v>
      </c>
      <c r="D287" s="297">
        <f>IF(ISNUMBER($F287),VLOOKUP($J287,'Table 1'!$B$13:$C$41,2,FALSE)/12*1000*Study_MW,"")</f>
        <v>354280.88888888882</v>
      </c>
      <c r="E287" s="297">
        <f t="shared" si="74"/>
        <v>1384389.1917054893</v>
      </c>
      <c r="F287" s="296">
        <v>14273.345559230002</v>
      </c>
      <c r="G287" s="298">
        <f t="shared" si="78"/>
        <v>96.991219469934308</v>
      </c>
      <c r="I287" s="299">
        <f t="shared" si="57"/>
        <v>297</v>
      </c>
      <c r="J287" s="293">
        <f t="shared" si="72"/>
        <v>2048</v>
      </c>
      <c r="K287" s="186">
        <f t="shared" si="73"/>
        <v>54363</v>
      </c>
      <c r="M287" s="294"/>
      <c r="N287" s="308">
        <f t="shared" si="75"/>
        <v>2.2197315074369506E-2</v>
      </c>
      <c r="O287" s="308">
        <f t="shared" si="76"/>
        <v>0</v>
      </c>
      <c r="P287" s="308">
        <f t="shared" si="77"/>
        <v>2.2197315074369506E-2</v>
      </c>
      <c r="V287" s="275" t="str">
        <f t="shared" si="69"/>
        <v>Winter</v>
      </c>
      <c r="Z287" s="294">
        <f t="shared" si="66"/>
        <v>2.2200000000000001E-2</v>
      </c>
      <c r="AA287" s="295">
        <f t="shared" si="70"/>
        <v>0</v>
      </c>
      <c r="AD287" s="347">
        <v>1423665.9718777135</v>
      </c>
    </row>
    <row r="288" spans="2:30" ht="17.45" customHeight="1">
      <c r="B288" s="187">
        <f t="shared" si="62"/>
        <v>54393</v>
      </c>
      <c r="C288" s="303">
        <v>792733.71286818187</v>
      </c>
      <c r="D288" s="304">
        <f>IF(ISNUMBER($F288),VLOOKUP($J288,'Table 1'!$B$13:$C$41,2,FALSE)/12*1000*Study_MW,"")</f>
        <v>354280.88888888882</v>
      </c>
      <c r="E288" s="304">
        <f t="shared" si="74"/>
        <v>1147014.6017570707</v>
      </c>
      <c r="F288" s="303">
        <v>14151.674536572002</v>
      </c>
      <c r="G288" s="305">
        <f t="shared" si="78"/>
        <v>81.051510815405962</v>
      </c>
      <c r="I288" s="306">
        <f t="shared" si="57"/>
        <v>298</v>
      </c>
      <c r="J288" s="293">
        <f t="shared" si="72"/>
        <v>2048</v>
      </c>
      <c r="K288" s="187">
        <f t="shared" si="73"/>
        <v>54393</v>
      </c>
      <c r="M288" s="294"/>
      <c r="N288" s="308">
        <f t="shared" si="75"/>
        <v>2.2196759430963331E-2</v>
      </c>
      <c r="O288" s="308">
        <f t="shared" si="76"/>
        <v>0</v>
      </c>
      <c r="P288" s="308">
        <f t="shared" si="77"/>
        <v>2.2196759430963331E-2</v>
      </c>
      <c r="V288" s="275" t="str">
        <f t="shared" si="69"/>
        <v>Winter</v>
      </c>
      <c r="Z288" s="294">
        <f t="shared" si="66"/>
        <v>2.2200000000000001E-2</v>
      </c>
      <c r="AA288" s="295">
        <f t="shared" si="70"/>
        <v>0</v>
      </c>
      <c r="AD288" s="347">
        <v>1326950.4567017832</v>
      </c>
    </row>
    <row r="289" spans="2:30" ht="17.45" customHeight="1">
      <c r="B289" s="185">
        <f t="shared" si="62"/>
        <v>54424</v>
      </c>
      <c r="C289" s="287">
        <v>1438730.9833279287</v>
      </c>
      <c r="D289" s="288">
        <f>IF(ISNUMBER($F289),VLOOKUP($J289,'Table 1'!$B$13:$C$41,2,FALSE)/12*1000*Study_MW,"")</f>
        <v>362145.77777777775</v>
      </c>
      <c r="E289" s="289">
        <f t="shared" si="74"/>
        <v>1800876.7611057064</v>
      </c>
      <c r="F289" s="290">
        <v>20415.319112959998</v>
      </c>
      <c r="G289" s="291">
        <f t="shared" si="78"/>
        <v>88.212030933304334</v>
      </c>
      <c r="I289" s="307">
        <f t="shared" si="57"/>
        <v>300</v>
      </c>
      <c r="J289" s="293">
        <f t="shared" si="72"/>
        <v>2049</v>
      </c>
      <c r="K289" s="185">
        <f t="shared" si="73"/>
        <v>54424</v>
      </c>
      <c r="M289" s="294"/>
      <c r="N289" s="308">
        <f t="shared" si="75"/>
        <v>2.2199916649277673E-2</v>
      </c>
      <c r="O289" s="308">
        <f t="shared" si="76"/>
        <v>0</v>
      </c>
      <c r="P289" s="308">
        <f t="shared" si="77"/>
        <v>2.2199916649277673E-2</v>
      </c>
      <c r="V289" s="275" t="str">
        <f t="shared" si="69"/>
        <v>Winter</v>
      </c>
      <c r="Z289" s="294">
        <f t="shared" si="66"/>
        <v>2.2200000000000001E-2</v>
      </c>
      <c r="AA289" s="295">
        <f t="shared" si="70"/>
        <v>0</v>
      </c>
      <c r="AD289" s="347">
        <v>1914189.5052735091</v>
      </c>
    </row>
    <row r="290" spans="2:30" ht="17.45" customHeight="1">
      <c r="B290" s="186">
        <f t="shared" si="62"/>
        <v>54455</v>
      </c>
      <c r="C290" s="296">
        <v>1221131.1057312761</v>
      </c>
      <c r="D290" s="297">
        <f>IF(ISNUMBER($F290),VLOOKUP($J290,'Table 1'!$B$13:$C$41,2,FALSE)/12*1000*Study_MW,"")</f>
        <v>362145.77777777775</v>
      </c>
      <c r="E290" s="297">
        <f t="shared" si="74"/>
        <v>1583276.8835090538</v>
      </c>
      <c r="F290" s="296">
        <v>18180.393904600001</v>
      </c>
      <c r="G290" s="298">
        <f t="shared" si="78"/>
        <v>87.087050578615532</v>
      </c>
      <c r="I290" s="299">
        <f t="shared" si="57"/>
        <v>301</v>
      </c>
      <c r="J290" s="293">
        <f t="shared" si="72"/>
        <v>2049</v>
      </c>
      <c r="K290" s="186">
        <f t="shared" si="73"/>
        <v>54455</v>
      </c>
      <c r="M290" s="294"/>
      <c r="N290" s="308">
        <f t="shared" si="75"/>
        <v>-5.2020918370161429E-3</v>
      </c>
      <c r="O290" s="308">
        <f t="shared" si="76"/>
        <v>-3.4482758620689613E-2</v>
      </c>
      <c r="P290" s="308">
        <f t="shared" si="77"/>
        <v>3.0326404883090463E-2</v>
      </c>
      <c r="V290" s="275" t="str">
        <f t="shared" si="69"/>
        <v>Winter</v>
      </c>
      <c r="Z290" s="294">
        <f t="shared" si="66"/>
        <v>2.2200000000000001E-2</v>
      </c>
      <c r="AA290" s="295">
        <f t="shared" si="70"/>
        <v>0</v>
      </c>
      <c r="AD290" s="347">
        <v>2013973.126693761</v>
      </c>
    </row>
    <row r="291" spans="2:30" ht="17.45" customHeight="1">
      <c r="B291" s="186">
        <f t="shared" si="62"/>
        <v>54483</v>
      </c>
      <c r="C291" s="296">
        <v>739949.33989472617</v>
      </c>
      <c r="D291" s="297">
        <f>IF(ISNUMBER($F291),VLOOKUP($J291,'Table 1'!$B$13:$C$41,2,FALSE)/12*1000*Study_MW,"")</f>
        <v>362145.77777777775</v>
      </c>
      <c r="E291" s="297">
        <f t="shared" si="74"/>
        <v>1102095.1176725039</v>
      </c>
      <c r="F291" s="296">
        <v>17408.180495410001</v>
      </c>
      <c r="G291" s="298">
        <f t="shared" si="78"/>
        <v>63.309035540106699</v>
      </c>
      <c r="I291" s="299">
        <f t="shared" si="57"/>
        <v>302</v>
      </c>
      <c r="J291" s="293">
        <f t="shared" si="72"/>
        <v>2049</v>
      </c>
      <c r="K291" s="186">
        <f t="shared" si="73"/>
        <v>54483</v>
      </c>
      <c r="M291" s="294"/>
      <c r="N291" s="308">
        <f t="shared" si="75"/>
        <v>2.2199863800892894E-2</v>
      </c>
      <c r="O291" s="308">
        <f t="shared" si="76"/>
        <v>0</v>
      </c>
      <c r="P291" s="308">
        <f t="shared" si="77"/>
        <v>2.2199863800892894E-2</v>
      </c>
      <c r="V291" s="275" t="str">
        <f t="shared" si="69"/>
        <v>Winter</v>
      </c>
      <c r="Z291" s="294">
        <f t="shared" si="66"/>
        <v>2.2200000000000001E-2</v>
      </c>
      <c r="AA291" s="295">
        <f t="shared" si="70"/>
        <v>0</v>
      </c>
      <c r="AD291" s="347">
        <v>960980.01988605817</v>
      </c>
    </row>
    <row r="292" spans="2:30" ht="17.45" customHeight="1">
      <c r="B292" s="186">
        <f t="shared" si="62"/>
        <v>54514</v>
      </c>
      <c r="C292" s="296">
        <v>1126867.4699314272</v>
      </c>
      <c r="D292" s="297">
        <f>IF(ISNUMBER($F292),VLOOKUP($J292,'Table 1'!$B$13:$C$41,2,FALSE)/12*1000*Study_MW,"")</f>
        <v>362145.77777777775</v>
      </c>
      <c r="E292" s="297">
        <f t="shared" si="74"/>
        <v>1489013.2477092049</v>
      </c>
      <c r="F292" s="296">
        <v>23588.34631157</v>
      </c>
      <c r="G292" s="298">
        <f t="shared" si="78"/>
        <v>63.124952806837889</v>
      </c>
      <c r="I292" s="299">
        <f t="shared" si="57"/>
        <v>303</v>
      </c>
      <c r="J292" s="293">
        <f t="shared" si="72"/>
        <v>2049</v>
      </c>
      <c r="K292" s="186">
        <f t="shared" si="73"/>
        <v>54514</v>
      </c>
      <c r="M292" s="294"/>
      <c r="N292" s="308">
        <f t="shared" si="75"/>
        <v>2.2199899192047789E-2</v>
      </c>
      <c r="O292" s="308">
        <f t="shared" si="76"/>
        <v>0</v>
      </c>
      <c r="P292" s="308">
        <f t="shared" si="77"/>
        <v>2.2199899192047789E-2</v>
      </c>
      <c r="V292" s="275" t="str">
        <f t="shared" si="69"/>
        <v>Winter</v>
      </c>
      <c r="Z292" s="294">
        <f t="shared" si="66"/>
        <v>2.2200000000000001E-2</v>
      </c>
      <c r="AA292" s="295">
        <f t="shared" si="70"/>
        <v>0</v>
      </c>
      <c r="AD292" s="347">
        <v>1198062.7294943302</v>
      </c>
    </row>
    <row r="293" spans="2:30" ht="17.45" customHeight="1">
      <c r="B293" s="186">
        <f t="shared" si="62"/>
        <v>54544</v>
      </c>
      <c r="C293" s="296">
        <v>962192.69088636572</v>
      </c>
      <c r="D293" s="297">
        <f>IF(ISNUMBER($F293),VLOOKUP($J293,'Table 1'!$B$13:$C$41,2,FALSE)/12*1000*Study_MW,"")</f>
        <v>362145.77777777775</v>
      </c>
      <c r="E293" s="297">
        <f t="shared" si="74"/>
        <v>1324338.4686641435</v>
      </c>
      <c r="F293" s="296">
        <v>21850.675363670001</v>
      </c>
      <c r="G293" s="298">
        <f t="shared" si="78"/>
        <v>60.608582875477303</v>
      </c>
      <c r="I293" s="299">
        <f t="shared" si="57"/>
        <v>304</v>
      </c>
      <c r="J293" s="293">
        <f t="shared" si="72"/>
        <v>2049</v>
      </c>
      <c r="K293" s="186">
        <f t="shared" si="73"/>
        <v>54544</v>
      </c>
      <c r="M293" s="294"/>
      <c r="N293" s="308">
        <f t="shared" si="75"/>
        <v>2.2199886657090939E-2</v>
      </c>
      <c r="O293" s="308">
        <f t="shared" si="76"/>
        <v>0</v>
      </c>
      <c r="P293" s="308">
        <f t="shared" si="77"/>
        <v>2.2199886657091161E-2</v>
      </c>
      <c r="V293" s="275" t="str">
        <f t="shared" si="69"/>
        <v>Winter</v>
      </c>
      <c r="Z293" s="294">
        <f t="shared" si="66"/>
        <v>2.2200000000000001E-2</v>
      </c>
      <c r="AA293" s="295">
        <f t="shared" si="70"/>
        <v>0</v>
      </c>
      <c r="AD293" s="347">
        <v>1054557.1344794219</v>
      </c>
    </row>
    <row r="294" spans="2:30" ht="17.45" customHeight="1">
      <c r="B294" s="186">
        <f t="shared" si="62"/>
        <v>54575</v>
      </c>
      <c r="C294" s="296">
        <v>1210322.7395440626</v>
      </c>
      <c r="D294" s="297">
        <f>IF(ISNUMBER($F294),VLOOKUP($J294,'Table 1'!$B$13:$C$41,2,FALSE)/12*1000*Study_MW,"")</f>
        <v>362145.77777777775</v>
      </c>
      <c r="E294" s="297">
        <f t="shared" si="74"/>
        <v>1572468.5173218404</v>
      </c>
      <c r="F294" s="296">
        <v>21727.221439299999</v>
      </c>
      <c r="G294" s="298">
        <f t="shared" si="78"/>
        <v>72.373198833311179</v>
      </c>
      <c r="I294" s="299">
        <f t="shared" si="57"/>
        <v>305</v>
      </c>
      <c r="J294" s="293">
        <f t="shared" si="72"/>
        <v>2049</v>
      </c>
      <c r="K294" s="186">
        <f t="shared" si="73"/>
        <v>54575</v>
      </c>
      <c r="M294" s="294"/>
      <c r="N294" s="308">
        <f t="shared" si="75"/>
        <v>2.2199904542205218E-2</v>
      </c>
      <c r="O294" s="308">
        <f t="shared" si="76"/>
        <v>0</v>
      </c>
      <c r="P294" s="308">
        <f t="shared" si="77"/>
        <v>2.2199904542205218E-2</v>
      </c>
      <c r="V294" s="275" t="str">
        <f t="shared" si="69"/>
        <v>Summer</v>
      </c>
      <c r="Z294" s="294">
        <f t="shared" si="66"/>
        <v>2.2200000000000001E-2</v>
      </c>
      <c r="AA294" s="295">
        <f t="shared" si="70"/>
        <v>0</v>
      </c>
      <c r="AD294" s="347">
        <v>1364157.1472184313</v>
      </c>
    </row>
    <row r="295" spans="2:30" ht="17.45" customHeight="1">
      <c r="B295" s="186">
        <f t="shared" si="62"/>
        <v>54605</v>
      </c>
      <c r="C295" s="296">
        <v>693252.38704694726</v>
      </c>
      <c r="D295" s="297">
        <f>IF(ISNUMBER($F295),VLOOKUP($J295,'Table 1'!$B$13:$C$41,2,FALSE)/12*1000*Study_MW,"")</f>
        <v>362145.77777777775</v>
      </c>
      <c r="E295" s="297">
        <f t="shared" si="74"/>
        <v>1055398.1648247251</v>
      </c>
      <c r="F295" s="296">
        <v>13087.66273665</v>
      </c>
      <c r="G295" s="298">
        <f t="shared" si="78"/>
        <v>80.640690859892331</v>
      </c>
      <c r="I295" s="299">
        <f t="shared" si="57"/>
        <v>306</v>
      </c>
      <c r="J295" s="293">
        <f t="shared" si="72"/>
        <v>2049</v>
      </c>
      <c r="K295" s="186">
        <f t="shared" si="73"/>
        <v>54605</v>
      </c>
      <c r="M295" s="294"/>
      <c r="N295" s="308">
        <f t="shared" si="75"/>
        <v>2.2199857774653164E-2</v>
      </c>
      <c r="O295" s="308">
        <f t="shared" si="76"/>
        <v>0</v>
      </c>
      <c r="P295" s="308">
        <f t="shared" si="77"/>
        <v>2.2199857774653164E-2</v>
      </c>
      <c r="V295" s="275" t="str">
        <f t="shared" si="69"/>
        <v>Summer</v>
      </c>
      <c r="Z295" s="294">
        <f t="shared" si="66"/>
        <v>2.2200000000000001E-2</v>
      </c>
      <c r="AA295" s="295">
        <f t="shared" si="70"/>
        <v>0</v>
      </c>
      <c r="AD295" s="347">
        <v>1072484.9753703682</v>
      </c>
    </row>
    <row r="296" spans="2:30" ht="17.45" customHeight="1">
      <c r="B296" s="186">
        <f t="shared" si="62"/>
        <v>54636</v>
      </c>
      <c r="C296" s="296">
        <v>708077.47773754457</v>
      </c>
      <c r="D296" s="297">
        <f>IF(ISNUMBER($F296),VLOOKUP($J296,'Table 1'!$B$13:$C$41,2,FALSE)/12*1000*Study_MW,"")</f>
        <v>362145.77777777775</v>
      </c>
      <c r="E296" s="297">
        <f t="shared" si="74"/>
        <v>1070223.2555153223</v>
      </c>
      <c r="F296" s="296">
        <v>13352.837596360001</v>
      </c>
      <c r="G296" s="298">
        <f t="shared" si="78"/>
        <v>80.149499894094902</v>
      </c>
      <c r="I296" s="299">
        <f t="shared" si="57"/>
        <v>307</v>
      </c>
      <c r="J296" s="293">
        <f t="shared" si="72"/>
        <v>2049</v>
      </c>
      <c r="K296" s="186">
        <f t="shared" si="73"/>
        <v>54636</v>
      </c>
      <c r="M296" s="294"/>
      <c r="N296" s="308">
        <f t="shared" si="75"/>
        <v>2.2199859744805872E-2</v>
      </c>
      <c r="O296" s="308">
        <f t="shared" si="76"/>
        <v>0</v>
      </c>
      <c r="P296" s="308">
        <f t="shared" si="77"/>
        <v>2.2199859744805872E-2</v>
      </c>
      <c r="V296" s="275" t="str">
        <f t="shared" si="69"/>
        <v>Summer</v>
      </c>
      <c r="Z296" s="294">
        <f t="shared" si="66"/>
        <v>2.2200000000000001E-2</v>
      </c>
      <c r="AA296" s="295">
        <f t="shared" si="70"/>
        <v>0</v>
      </c>
      <c r="AD296" s="347">
        <v>1363969.5380749821</v>
      </c>
    </row>
    <row r="297" spans="2:30" ht="17.45" customHeight="1">
      <c r="B297" s="186">
        <f t="shared" si="62"/>
        <v>54667</v>
      </c>
      <c r="C297" s="296">
        <v>591922.82811604999</v>
      </c>
      <c r="D297" s="297">
        <f>IF(ISNUMBER($F297),VLOOKUP($J297,'Table 1'!$B$13:$C$41,2,FALSE)/12*1000*Study_MW,"")</f>
        <v>362145.77777777775</v>
      </c>
      <c r="E297" s="297">
        <f t="shared" si="74"/>
        <v>954068.60589382774</v>
      </c>
      <c r="F297" s="296">
        <v>11306.15984007</v>
      </c>
      <c r="G297" s="298">
        <f t="shared" si="78"/>
        <v>84.384850328448991</v>
      </c>
      <c r="I297" s="299">
        <f t="shared" si="57"/>
        <v>308</v>
      </c>
      <c r="J297" s="293">
        <f t="shared" si="72"/>
        <v>2049</v>
      </c>
      <c r="K297" s="186">
        <f t="shared" si="73"/>
        <v>54667</v>
      </c>
      <c r="M297" s="294"/>
      <c r="N297" s="308">
        <f t="shared" si="75"/>
        <v>2.219984266920938E-2</v>
      </c>
      <c r="O297" s="308">
        <f t="shared" si="76"/>
        <v>0</v>
      </c>
      <c r="P297" s="308">
        <f t="shared" si="77"/>
        <v>2.2199842669209602E-2</v>
      </c>
      <c r="V297" s="275" t="str">
        <f t="shared" si="69"/>
        <v>Summer</v>
      </c>
      <c r="Z297" s="294">
        <f t="shared" si="66"/>
        <v>2.2200000000000001E-2</v>
      </c>
      <c r="AA297" s="295">
        <f t="shared" si="70"/>
        <v>0</v>
      </c>
      <c r="AD297" s="347">
        <v>921685.22926074348</v>
      </c>
    </row>
    <row r="298" spans="2:30" ht="17.45" customHeight="1">
      <c r="B298" s="186">
        <f t="shared" si="62"/>
        <v>54697</v>
      </c>
      <c r="C298" s="296">
        <v>1328448.3324637772</v>
      </c>
      <c r="D298" s="297">
        <f>IF(ISNUMBER($F298),VLOOKUP($J298,'Table 1'!$B$13:$C$41,2,FALSE)/12*1000*Study_MW,"")</f>
        <v>362145.77777777775</v>
      </c>
      <c r="E298" s="297">
        <f t="shared" si="74"/>
        <v>1690594.1102415549</v>
      </c>
      <c r="F298" s="296">
        <v>23404.872506280004</v>
      </c>
      <c r="G298" s="298">
        <f t="shared" si="78"/>
        <v>72.232570794305076</v>
      </c>
      <c r="I298" s="299">
        <f t="shared" si="57"/>
        <v>309</v>
      </c>
      <c r="J298" s="293">
        <f t="shared" si="72"/>
        <v>2049</v>
      </c>
      <c r="K298" s="186">
        <f t="shared" si="73"/>
        <v>54697</v>
      </c>
      <c r="M298" s="294"/>
      <c r="N298" s="308">
        <f t="shared" si="75"/>
        <v>2.2199911212054335E-2</v>
      </c>
      <c r="O298" s="308">
        <f t="shared" si="76"/>
        <v>0</v>
      </c>
      <c r="P298" s="308">
        <f t="shared" si="77"/>
        <v>2.2199911212054335E-2</v>
      </c>
      <c r="V298" s="275" t="str">
        <f t="shared" si="69"/>
        <v>Winter</v>
      </c>
      <c r="Z298" s="294">
        <f t="shared" si="66"/>
        <v>2.2200000000000001E-2</v>
      </c>
      <c r="AA298" s="295">
        <f t="shared" si="70"/>
        <v>0</v>
      </c>
      <c r="AD298" s="347">
        <v>1498054.3388649914</v>
      </c>
    </row>
    <row r="299" spans="2:30" ht="17.45" customHeight="1">
      <c r="B299" s="186">
        <f t="shared" si="62"/>
        <v>54728</v>
      </c>
      <c r="C299" s="296">
        <v>1052976.7071391291</v>
      </c>
      <c r="D299" s="297">
        <f>IF(ISNUMBER($F299),VLOOKUP($J299,'Table 1'!$B$13:$C$41,2,FALSE)/12*1000*Study_MW,"")</f>
        <v>362145.77777777775</v>
      </c>
      <c r="E299" s="297">
        <f t="shared" si="74"/>
        <v>1415122.4849169068</v>
      </c>
      <c r="F299" s="296">
        <v>14273.345559230002</v>
      </c>
      <c r="G299" s="298">
        <f t="shared" si="78"/>
        <v>99.144414254148259</v>
      </c>
      <c r="I299" s="299">
        <f t="shared" si="57"/>
        <v>310</v>
      </c>
      <c r="J299" s="293">
        <f t="shared" si="72"/>
        <v>2049</v>
      </c>
      <c r="K299" s="186">
        <f t="shared" si="73"/>
        <v>54728</v>
      </c>
      <c r="M299" s="294"/>
      <c r="N299" s="308">
        <f t="shared" si="75"/>
        <v>2.2199893928350978E-2</v>
      </c>
      <c r="O299" s="308">
        <f t="shared" si="76"/>
        <v>0</v>
      </c>
      <c r="P299" s="308">
        <f t="shared" si="77"/>
        <v>2.2199893928350978E-2</v>
      </c>
      <c r="V299" s="275" t="str">
        <f t="shared" si="69"/>
        <v>Winter</v>
      </c>
      <c r="Z299" s="294">
        <f t="shared" si="66"/>
        <v>2.2200000000000001E-2</v>
      </c>
      <c r="AA299" s="295">
        <f t="shared" si="70"/>
        <v>0</v>
      </c>
      <c r="AD299" s="347">
        <v>1455271.3564533987</v>
      </c>
    </row>
    <row r="300" spans="2:30" ht="17.45" customHeight="1">
      <c r="B300" s="187">
        <f t="shared" si="62"/>
        <v>54758</v>
      </c>
      <c r="C300" s="303">
        <v>810332.40129385551</v>
      </c>
      <c r="D300" s="304">
        <f>IF(ISNUMBER($F300),VLOOKUP($J300,'Table 1'!$B$13:$C$41,2,FALSE)/12*1000*Study_MW,"")</f>
        <v>362145.77777777775</v>
      </c>
      <c r="E300" s="304">
        <f t="shared" si="74"/>
        <v>1172478.1790716331</v>
      </c>
      <c r="F300" s="303">
        <v>14151.674536572002</v>
      </c>
      <c r="G300" s="305">
        <f t="shared" si="78"/>
        <v>82.850843979036682</v>
      </c>
      <c r="I300" s="306">
        <f t="shared" si="57"/>
        <v>311</v>
      </c>
      <c r="J300" s="293">
        <f t="shared" si="72"/>
        <v>2049</v>
      </c>
      <c r="K300" s="187">
        <f t="shared" si="73"/>
        <v>54758</v>
      </c>
      <c r="M300" s="294"/>
      <c r="N300" s="308">
        <f t="shared" si="75"/>
        <v>2.2199871976830599E-2</v>
      </c>
      <c r="O300" s="308">
        <f t="shared" si="76"/>
        <v>0</v>
      </c>
      <c r="P300" s="308">
        <f t="shared" si="77"/>
        <v>2.2199871976830599E-2</v>
      </c>
      <c r="V300" s="275" t="str">
        <f t="shared" si="69"/>
        <v>Winter</v>
      </c>
      <c r="Z300" s="294">
        <f t="shared" si="66"/>
        <v>2.2200000000000001E-2</v>
      </c>
      <c r="AA300" s="295">
        <f t="shared" si="70"/>
        <v>0</v>
      </c>
      <c r="AD300" s="347">
        <v>1356408.7568405627</v>
      </c>
    </row>
    <row r="301" spans="2:30" ht="17.45" customHeight="1">
      <c r="B301" s="185">
        <f t="shared" si="62"/>
        <v>54789</v>
      </c>
      <c r="C301" s="287">
        <v>1470670.8111578086</v>
      </c>
      <c r="D301" s="288">
        <f>IF(ISNUMBER($F301),VLOOKUP($J301,'Table 1'!$B$13:$C$41,2,FALSE)/12*1000*Study_MW,"")</f>
        <v>370184.88888888888</v>
      </c>
      <c r="E301" s="289">
        <f t="shared" ref="E301:E324" si="79">IF(ISNUMBER(C301+D301),C301+D301,"")</f>
        <v>1840855.7000466976</v>
      </c>
      <c r="F301" s="290">
        <v>20415.319112959998</v>
      </c>
      <c r="G301" s="291">
        <f t="shared" ref="G301:G324" si="80">IF(ISNUMBER($F301),E301/$F301,"")</f>
        <v>90.170312296421102</v>
      </c>
      <c r="I301" s="307">
        <f t="shared" si="57"/>
        <v>313</v>
      </c>
      <c r="J301" s="293">
        <f t="shared" ref="J301:J324" si="81">YEAR(B301)</f>
        <v>2050</v>
      </c>
      <c r="K301" s="185">
        <f t="shared" ref="K301:K324" si="82">IF(ISNUMBER(F301),IF(F301&lt;&gt;0,B301,""),"")</f>
        <v>54789</v>
      </c>
      <c r="M301" s="294"/>
      <c r="N301" s="308">
        <f t="shared" ref="N301:N324" si="83">E301/E289-1</f>
        <v>2.2199708388954242E-2</v>
      </c>
      <c r="O301" s="308">
        <f t="shared" ref="O301:O324" si="84">F301/F289-1</f>
        <v>0</v>
      </c>
      <c r="P301" s="308">
        <f t="shared" ref="P301:P324" si="85">G301/G289-1</f>
        <v>2.2199708388954242E-2</v>
      </c>
      <c r="V301" s="275" t="str">
        <f t="shared" si="69"/>
        <v>Winter</v>
      </c>
      <c r="Z301" s="294">
        <f t="shared" si="66"/>
        <v>2.2200000000000001E-2</v>
      </c>
      <c r="AA301" s="295">
        <f t="shared" si="70"/>
        <v>0</v>
      </c>
      <c r="AD301" s="347">
        <v>1956684.5122905807</v>
      </c>
    </row>
    <row r="302" spans="2:30" ht="17.45" customHeight="1">
      <c r="B302" s="186">
        <f t="shared" si="62"/>
        <v>54820</v>
      </c>
      <c r="C302" s="296">
        <v>1248240.2162785104</v>
      </c>
      <c r="D302" s="297">
        <f>IF(ISNUMBER($F302),VLOOKUP($J302,'Table 1'!$B$13:$C$41,2,FALSE)/12*1000*Study_MW,"")</f>
        <v>370184.88888888888</v>
      </c>
      <c r="E302" s="297">
        <f t="shared" si="79"/>
        <v>1618425.1051673992</v>
      </c>
      <c r="F302" s="296">
        <v>18180.393904600001</v>
      </c>
      <c r="G302" s="298">
        <f t="shared" si="80"/>
        <v>89.020354215642456</v>
      </c>
      <c r="I302" s="299">
        <f t="shared" si="57"/>
        <v>314</v>
      </c>
      <c r="J302" s="293">
        <f t="shared" si="81"/>
        <v>2050</v>
      </c>
      <c r="K302" s="186">
        <f t="shared" si="82"/>
        <v>54820</v>
      </c>
      <c r="M302" s="294"/>
      <c r="N302" s="308">
        <f t="shared" si="83"/>
        <v>2.2199668310981302E-2</v>
      </c>
      <c r="O302" s="308">
        <f t="shared" si="84"/>
        <v>0</v>
      </c>
      <c r="P302" s="308">
        <f t="shared" si="85"/>
        <v>2.2199668310981302E-2</v>
      </c>
      <c r="V302" s="275" t="str">
        <f t="shared" si="69"/>
        <v>Winter</v>
      </c>
      <c r="Z302" s="294">
        <f t="shared" si="66"/>
        <v>2.2200000000000001E-2</v>
      </c>
      <c r="AA302" s="295">
        <f t="shared" si="70"/>
        <v>0</v>
      </c>
      <c r="AD302" s="347">
        <v>2058683.3301063625</v>
      </c>
    </row>
    <row r="303" spans="2:30" ht="17.45" customHeight="1">
      <c r="B303" s="186">
        <f t="shared" si="62"/>
        <v>54848</v>
      </c>
      <c r="C303" s="296">
        <v>756376.21524038911</v>
      </c>
      <c r="D303" s="297">
        <f>IF(ISNUMBER($F303),VLOOKUP($J303,'Table 1'!$B$13:$C$41,2,FALSE)/12*1000*Study_MW,"")</f>
        <v>370184.88888888888</v>
      </c>
      <c r="E303" s="297">
        <f t="shared" si="79"/>
        <v>1126561.1041292781</v>
      </c>
      <c r="F303" s="296">
        <v>17408.180495410001</v>
      </c>
      <c r="G303" s="298">
        <f t="shared" si="80"/>
        <v>64.714465961926209</v>
      </c>
      <c r="I303" s="299">
        <f t="shared" si="57"/>
        <v>315</v>
      </c>
      <c r="J303" s="293">
        <f t="shared" si="81"/>
        <v>2050</v>
      </c>
      <c r="K303" s="186">
        <f t="shared" si="82"/>
        <v>54848</v>
      </c>
      <c r="M303" s="294"/>
      <c r="N303" s="308">
        <f t="shared" si="83"/>
        <v>2.2199523493438011E-2</v>
      </c>
      <c r="O303" s="308">
        <f t="shared" si="84"/>
        <v>0</v>
      </c>
      <c r="P303" s="308">
        <f t="shared" si="85"/>
        <v>2.2199523493438234E-2</v>
      </c>
      <c r="V303" s="275" t="str">
        <f t="shared" si="69"/>
        <v>Winter</v>
      </c>
      <c r="Z303" s="294">
        <f t="shared" si="66"/>
        <v>2.2200000000000001E-2</v>
      </c>
      <c r="AA303" s="295">
        <f t="shared" si="70"/>
        <v>0</v>
      </c>
      <c r="AD303" s="347">
        <v>982313.77632752864</v>
      </c>
    </row>
    <row r="304" spans="2:30" ht="17.45" customHeight="1">
      <c r="B304" s="186">
        <f t="shared" si="62"/>
        <v>54879</v>
      </c>
      <c r="C304" s="296">
        <v>1151883.9277639049</v>
      </c>
      <c r="D304" s="297">
        <f>IF(ISNUMBER($F304),VLOOKUP($J304,'Table 1'!$B$13:$C$41,2,FALSE)/12*1000*Study_MW,"")</f>
        <v>370184.88888888888</v>
      </c>
      <c r="E304" s="297">
        <f t="shared" si="79"/>
        <v>1522068.8166527939</v>
      </c>
      <c r="F304" s="296">
        <v>23588.34631157</v>
      </c>
      <c r="G304" s="298">
        <f t="shared" si="80"/>
        <v>64.526304495802009</v>
      </c>
      <c r="I304" s="299">
        <f t="shared" si="57"/>
        <v>316</v>
      </c>
      <c r="J304" s="293">
        <f t="shared" si="81"/>
        <v>2050</v>
      </c>
      <c r="K304" s="186">
        <f t="shared" si="82"/>
        <v>54879</v>
      </c>
      <c r="M304" s="294"/>
      <c r="N304" s="308">
        <f t="shared" si="83"/>
        <v>2.219964731304036E-2</v>
      </c>
      <c r="O304" s="308">
        <f t="shared" si="84"/>
        <v>0</v>
      </c>
      <c r="P304" s="308">
        <f t="shared" si="85"/>
        <v>2.219964731304036E-2</v>
      </c>
      <c r="V304" s="275" t="str">
        <f t="shared" si="69"/>
        <v>Winter</v>
      </c>
      <c r="Z304" s="294">
        <f t="shared" si="66"/>
        <v>2.2200000000000001E-2</v>
      </c>
      <c r="AA304" s="295">
        <f t="shared" si="70"/>
        <v>0</v>
      </c>
      <c r="AD304" s="347">
        <v>1224659.7220891044</v>
      </c>
    </row>
    <row r="305" spans="2:30" ht="17.45" customHeight="1">
      <c r="B305" s="186">
        <f t="shared" si="62"/>
        <v>54909</v>
      </c>
      <c r="C305" s="296">
        <v>983553.36862404307</v>
      </c>
      <c r="D305" s="297">
        <f>IF(ISNUMBER($F305),VLOOKUP($J305,'Table 1'!$B$13:$C$41,2,FALSE)/12*1000*Study_MW,"")</f>
        <v>370184.88888888888</v>
      </c>
      <c r="E305" s="297">
        <f t="shared" si="79"/>
        <v>1353738.2575129319</v>
      </c>
      <c r="F305" s="296">
        <v>21850.675363670001</v>
      </c>
      <c r="G305" s="298">
        <f t="shared" si="80"/>
        <v>61.954069381476565</v>
      </c>
      <c r="I305" s="299">
        <f t="shared" si="57"/>
        <v>317</v>
      </c>
      <c r="J305" s="293">
        <f t="shared" si="81"/>
        <v>2050</v>
      </c>
      <c r="K305" s="186">
        <f t="shared" si="82"/>
        <v>54909</v>
      </c>
      <c r="M305" s="294"/>
      <c r="N305" s="308">
        <f t="shared" si="83"/>
        <v>2.2199603458203487E-2</v>
      </c>
      <c r="O305" s="308">
        <f t="shared" si="84"/>
        <v>0</v>
      </c>
      <c r="P305" s="308">
        <f t="shared" si="85"/>
        <v>2.2199603458203487E-2</v>
      </c>
      <c r="V305" s="275" t="str">
        <f t="shared" si="69"/>
        <v>Winter</v>
      </c>
      <c r="Z305" s="294">
        <f t="shared" si="66"/>
        <v>2.2200000000000001E-2</v>
      </c>
      <c r="AA305" s="295">
        <f t="shared" si="70"/>
        <v>0</v>
      </c>
      <c r="AD305" s="347">
        <v>1077968.3028648652</v>
      </c>
    </row>
    <row r="306" spans="2:30" ht="17.45" customHeight="1">
      <c r="B306" s="186">
        <f t="shared" si="62"/>
        <v>54940</v>
      </c>
      <c r="C306" s="296">
        <v>1237191.9043619409</v>
      </c>
      <c r="D306" s="297">
        <f>IF(ISNUMBER($F306),VLOOKUP($J306,'Table 1'!$B$13:$C$41,2,FALSE)/12*1000*Study_MW,"")</f>
        <v>370184.88888888888</v>
      </c>
      <c r="E306" s="297">
        <f t="shared" si="79"/>
        <v>1607376.7932508299</v>
      </c>
      <c r="F306" s="296">
        <v>21727.221439299999</v>
      </c>
      <c r="G306" s="298">
        <f t="shared" si="80"/>
        <v>73.979859677014261</v>
      </c>
      <c r="I306" s="299">
        <f t="shared" si="57"/>
        <v>318</v>
      </c>
      <c r="J306" s="293">
        <f t="shared" si="81"/>
        <v>2050</v>
      </c>
      <c r="K306" s="186">
        <f t="shared" si="82"/>
        <v>54940</v>
      </c>
      <c r="M306" s="294"/>
      <c r="N306" s="308">
        <f t="shared" si="83"/>
        <v>2.2199666031116339E-2</v>
      </c>
      <c r="O306" s="308">
        <f t="shared" si="84"/>
        <v>0</v>
      </c>
      <c r="P306" s="308">
        <f t="shared" si="85"/>
        <v>2.2199666031116339E-2</v>
      </c>
      <c r="V306" s="275" t="str">
        <f t="shared" si="69"/>
        <v>Summer</v>
      </c>
      <c r="Z306" s="294">
        <f t="shared" si="66"/>
        <v>2.2200000000000001E-2</v>
      </c>
      <c r="AA306" s="295">
        <f t="shared" si="70"/>
        <v>0</v>
      </c>
      <c r="AD306" s="347">
        <v>1394441.4358866806</v>
      </c>
    </row>
    <row r="307" spans="2:30" ht="17.45" customHeight="1">
      <c r="B307" s="186">
        <f t="shared" si="62"/>
        <v>54970</v>
      </c>
      <c r="C307" s="296">
        <v>708642.59003938944</v>
      </c>
      <c r="D307" s="297">
        <f>IF(ISNUMBER($F307),VLOOKUP($J307,'Table 1'!$B$13:$C$41,2,FALSE)/12*1000*Study_MW,"")</f>
        <v>370184.88888888888</v>
      </c>
      <c r="E307" s="297">
        <f t="shared" si="79"/>
        <v>1078827.4789282782</v>
      </c>
      <c r="F307" s="296">
        <v>13087.66273665</v>
      </c>
      <c r="G307" s="298">
        <f t="shared" si="80"/>
        <v>82.430874070981872</v>
      </c>
      <c r="I307" s="299">
        <f t="shared" si="57"/>
        <v>319</v>
      </c>
      <c r="J307" s="293">
        <f t="shared" si="81"/>
        <v>2050</v>
      </c>
      <c r="K307" s="186">
        <f t="shared" si="82"/>
        <v>54970</v>
      </c>
      <c r="M307" s="294"/>
      <c r="N307" s="308">
        <f t="shared" si="83"/>
        <v>2.2199502410016114E-2</v>
      </c>
      <c r="O307" s="308">
        <f t="shared" si="84"/>
        <v>0</v>
      </c>
      <c r="P307" s="308">
        <f t="shared" si="85"/>
        <v>2.2199502410016114E-2</v>
      </c>
      <c r="V307" s="275" t="str">
        <f t="shared" si="69"/>
        <v>Summer</v>
      </c>
      <c r="Z307" s="294">
        <f t="shared" si="66"/>
        <v>2.2200000000000001E-2</v>
      </c>
      <c r="AA307" s="295">
        <f t="shared" si="70"/>
        <v>0</v>
      </c>
      <c r="AD307" s="347">
        <v>1096294.1418235905</v>
      </c>
    </row>
    <row r="308" spans="2:30" ht="17.45" customHeight="1">
      <c r="B308" s="186">
        <f t="shared" si="62"/>
        <v>55001</v>
      </c>
      <c r="C308" s="296">
        <v>723796.79774331802</v>
      </c>
      <c r="D308" s="297">
        <f>IF(ISNUMBER($F308),VLOOKUP($J308,'Table 1'!$B$13:$C$41,2,FALSE)/12*1000*Study_MW,"")</f>
        <v>370184.88888888888</v>
      </c>
      <c r="E308" s="297">
        <f t="shared" si="79"/>
        <v>1093981.6866322069</v>
      </c>
      <c r="F308" s="296">
        <v>13352.837596360001</v>
      </c>
      <c r="G308" s="298">
        <f t="shared" si="80"/>
        <v>81.928779462608574</v>
      </c>
      <c r="I308" s="299">
        <f t="shared" si="57"/>
        <v>320</v>
      </c>
      <c r="J308" s="293">
        <f t="shared" si="81"/>
        <v>2050</v>
      </c>
      <c r="K308" s="186">
        <f t="shared" si="82"/>
        <v>55001</v>
      </c>
      <c r="M308" s="294"/>
      <c r="N308" s="308">
        <f t="shared" si="83"/>
        <v>2.2199509302799347E-2</v>
      </c>
      <c r="O308" s="308">
        <f t="shared" si="84"/>
        <v>0</v>
      </c>
      <c r="P308" s="308">
        <f t="shared" si="85"/>
        <v>2.2199509302799347E-2</v>
      </c>
      <c r="V308" s="275" t="str">
        <f t="shared" si="69"/>
        <v>Summer</v>
      </c>
      <c r="Z308" s="294">
        <f t="shared" si="66"/>
        <v>2.2200000000000001E-2</v>
      </c>
      <c r="AA308" s="295">
        <f t="shared" si="70"/>
        <v>0</v>
      </c>
      <c r="AD308" s="347">
        <v>1394249.6618202466</v>
      </c>
    </row>
    <row r="309" spans="2:30" ht="17.45" customHeight="1">
      <c r="B309" s="186">
        <f t="shared" si="62"/>
        <v>55032</v>
      </c>
      <c r="C309" s="296">
        <v>605063.51490022626</v>
      </c>
      <c r="D309" s="297">
        <f>IF(ISNUMBER($F309),VLOOKUP($J309,'Table 1'!$B$13:$C$41,2,FALSE)/12*1000*Study_MW,"")</f>
        <v>370184.88888888888</v>
      </c>
      <c r="E309" s="297">
        <f t="shared" si="79"/>
        <v>975248.40378911514</v>
      </c>
      <c r="F309" s="296">
        <v>11306.15984007</v>
      </c>
      <c r="G309" s="298">
        <f t="shared" si="80"/>
        <v>86.258147557117596</v>
      </c>
      <c r="I309" s="299">
        <f t="shared" si="57"/>
        <v>321</v>
      </c>
      <c r="J309" s="293">
        <f t="shared" si="81"/>
        <v>2050</v>
      </c>
      <c r="K309" s="186">
        <f t="shared" si="82"/>
        <v>55032</v>
      </c>
      <c r="M309" s="294"/>
      <c r="N309" s="308">
        <f t="shared" si="83"/>
        <v>2.2199449562062545E-2</v>
      </c>
      <c r="O309" s="308">
        <f t="shared" si="84"/>
        <v>0</v>
      </c>
      <c r="P309" s="308">
        <f t="shared" si="85"/>
        <v>2.2199449562062545E-2</v>
      </c>
      <c r="V309" s="275" t="str">
        <f t="shared" si="69"/>
        <v>Summer</v>
      </c>
      <c r="Z309" s="294">
        <f t="shared" si="66"/>
        <v>2.2200000000000001E-2</v>
      </c>
      <c r="AA309" s="295">
        <f t="shared" si="70"/>
        <v>0</v>
      </c>
      <c r="AD309" s="347">
        <v>942146.64135033183</v>
      </c>
    </row>
    <row r="310" spans="2:30" ht="17.45" customHeight="1">
      <c r="B310" s="186">
        <f t="shared" si="62"/>
        <v>55062</v>
      </c>
      <c r="C310" s="296">
        <v>1357939.885444473</v>
      </c>
      <c r="D310" s="297">
        <f>IF(ISNUMBER($F310),VLOOKUP($J310,'Table 1'!$B$13:$C$41,2,FALSE)/12*1000*Study_MW,"")</f>
        <v>370184.88888888888</v>
      </c>
      <c r="E310" s="297">
        <f t="shared" si="79"/>
        <v>1728124.774333362</v>
      </c>
      <c r="F310" s="296">
        <v>23404.872506280004</v>
      </c>
      <c r="G310" s="298">
        <f t="shared" si="80"/>
        <v>73.836111428065706</v>
      </c>
      <c r="I310" s="299">
        <f t="shared" si="57"/>
        <v>322</v>
      </c>
      <c r="J310" s="293">
        <f t="shared" si="81"/>
        <v>2050</v>
      </c>
      <c r="K310" s="186">
        <f t="shared" si="82"/>
        <v>55062</v>
      </c>
      <c r="M310" s="294"/>
      <c r="N310" s="308">
        <f t="shared" si="83"/>
        <v>2.2199689366269482E-2</v>
      </c>
      <c r="O310" s="308">
        <f t="shared" si="84"/>
        <v>0</v>
      </c>
      <c r="P310" s="308">
        <f t="shared" si="85"/>
        <v>2.219968936626926E-2</v>
      </c>
      <c r="V310" s="275" t="str">
        <f t="shared" si="69"/>
        <v>Winter</v>
      </c>
      <c r="Z310" s="294">
        <f t="shared" si="66"/>
        <v>2.2200000000000001E-2</v>
      </c>
      <c r="AA310" s="295">
        <f t="shared" si="70"/>
        <v>0</v>
      </c>
      <c r="AD310" s="347">
        <v>1531311.1451877945</v>
      </c>
    </row>
    <row r="311" spans="2:30" ht="17.45" customHeight="1">
      <c r="B311" s="186">
        <f t="shared" si="62"/>
        <v>55093</v>
      </c>
      <c r="C311" s="296">
        <v>1076352.7900376178</v>
      </c>
      <c r="D311" s="297">
        <f>IF(ISNUMBER($F311),VLOOKUP($J311,'Table 1'!$B$13:$C$41,2,FALSE)/12*1000*Study_MW,"")</f>
        <v>370184.88888888888</v>
      </c>
      <c r="E311" s="297">
        <f t="shared" si="79"/>
        <v>1446537.6789265065</v>
      </c>
      <c r="F311" s="296">
        <v>14273.345559230002</v>
      </c>
      <c r="G311" s="298">
        <f t="shared" si="80"/>
        <v>101.34538345784591</v>
      </c>
      <c r="I311" s="299">
        <f t="shared" si="57"/>
        <v>323</v>
      </c>
      <c r="J311" s="293">
        <f t="shared" si="81"/>
        <v>2050</v>
      </c>
      <c r="K311" s="186">
        <f t="shared" si="82"/>
        <v>55093</v>
      </c>
      <c r="M311" s="294"/>
      <c r="N311" s="308">
        <f t="shared" si="83"/>
        <v>2.2199628897455081E-2</v>
      </c>
      <c r="O311" s="308">
        <f t="shared" si="84"/>
        <v>0</v>
      </c>
      <c r="P311" s="308">
        <f t="shared" si="85"/>
        <v>2.2199628897455081E-2</v>
      </c>
      <c r="V311" s="275" t="str">
        <f t="shared" si="69"/>
        <v>Winter</v>
      </c>
      <c r="Z311" s="294">
        <f t="shared" si="66"/>
        <v>2.2200000000000001E-2</v>
      </c>
      <c r="AA311" s="295">
        <f t="shared" si="70"/>
        <v>0</v>
      </c>
      <c r="AD311" s="347">
        <v>1487578.380566664</v>
      </c>
    </row>
    <row r="312" spans="2:30" ht="17.45" customHeight="1">
      <c r="B312" s="187">
        <f t="shared" si="62"/>
        <v>55123</v>
      </c>
      <c r="C312" s="303">
        <v>828321.78060257912</v>
      </c>
      <c r="D312" s="304">
        <f>IF(ISNUMBER($F312),VLOOKUP($J312,'Table 1'!$B$13:$C$41,2,FALSE)/12*1000*Study_MW,"")</f>
        <v>370184.88888888888</v>
      </c>
      <c r="E312" s="304">
        <f t="shared" si="79"/>
        <v>1198506.669491468</v>
      </c>
      <c r="F312" s="303">
        <v>14151.674536572002</v>
      </c>
      <c r="G312" s="305">
        <f t="shared" si="80"/>
        <v>84.69009560629604</v>
      </c>
      <c r="I312" s="306">
        <f t="shared" si="57"/>
        <v>324</v>
      </c>
      <c r="J312" s="293">
        <f t="shared" si="81"/>
        <v>2050</v>
      </c>
      <c r="K312" s="187">
        <f t="shared" si="82"/>
        <v>55123</v>
      </c>
      <c r="M312" s="294"/>
      <c r="N312" s="308">
        <f t="shared" si="83"/>
        <v>2.2199552097800446E-2</v>
      </c>
      <c r="O312" s="308">
        <f t="shared" si="84"/>
        <v>0</v>
      </c>
      <c r="P312" s="308">
        <f t="shared" si="85"/>
        <v>2.2199552097800446E-2</v>
      </c>
      <c r="V312" s="275" t="str">
        <f t="shared" si="69"/>
        <v>Winter</v>
      </c>
      <c r="Z312" s="294">
        <f t="shared" si="66"/>
        <v>2.2200000000000001E-2</v>
      </c>
      <c r="AA312" s="295">
        <f t="shared" si="70"/>
        <v>0</v>
      </c>
      <c r="AD312" s="347">
        <v>1386521.0312424235</v>
      </c>
    </row>
    <row r="313" spans="2:30" ht="17.45" customHeight="1">
      <c r="B313" s="185">
        <f t="shared" si="62"/>
        <v>55154</v>
      </c>
      <c r="C313" s="287">
        <v>1503319.7031655121</v>
      </c>
      <c r="D313" s="288">
        <f>IF(ISNUMBER($F313),VLOOKUP($J313,'Table 1'!$B$13:$C$41,2,FALSE)/12*1000*Study_MW,"")</f>
        <v>378410.66666666657</v>
      </c>
      <c r="E313" s="289">
        <f t="shared" si="79"/>
        <v>1881730.3698321786</v>
      </c>
      <c r="F313" s="290">
        <v>20415.319112959998</v>
      </c>
      <c r="G313" s="291">
        <f t="shared" si="80"/>
        <v>92.172469086590155</v>
      </c>
      <c r="I313" s="307">
        <f t="shared" si="57"/>
        <v>326</v>
      </c>
      <c r="J313" s="293">
        <f t="shared" si="81"/>
        <v>2051</v>
      </c>
      <c r="K313" s="185">
        <f t="shared" si="82"/>
        <v>55154</v>
      </c>
      <c r="M313" s="294"/>
      <c r="N313" s="308">
        <f t="shared" si="83"/>
        <v>2.2204168303058269E-2</v>
      </c>
      <c r="O313" s="308">
        <f t="shared" si="84"/>
        <v>0</v>
      </c>
      <c r="P313" s="308">
        <f t="shared" si="85"/>
        <v>2.2204168303058269E-2</v>
      </c>
      <c r="V313" s="275" t="str">
        <f t="shared" si="69"/>
        <v>Winter</v>
      </c>
      <c r="Z313" s="294">
        <f t="shared" si="66"/>
        <v>2.2200000000000001E-2</v>
      </c>
      <c r="AA313" s="295">
        <f t="shared" si="70"/>
        <v>0</v>
      </c>
      <c r="AD313" s="347">
        <v>2000122.9084634318</v>
      </c>
    </row>
    <row r="314" spans="2:30" ht="17.45" customHeight="1">
      <c r="B314" s="186">
        <f t="shared" si="62"/>
        <v>55185</v>
      </c>
      <c r="C314" s="296">
        <v>1275951.1490798933</v>
      </c>
      <c r="D314" s="297">
        <f>IF(ISNUMBER($F314),VLOOKUP($J314,'Table 1'!$B$13:$C$41,2,FALSE)/12*1000*Study_MW,"")</f>
        <v>378410.66666666657</v>
      </c>
      <c r="E314" s="297">
        <f t="shared" si="79"/>
        <v>1654361.8157465598</v>
      </c>
      <c r="F314" s="296">
        <v>18180.393904600001</v>
      </c>
      <c r="G314" s="298">
        <f t="shared" si="80"/>
        <v>90.997028140736447</v>
      </c>
      <c r="I314" s="299">
        <f t="shared" si="57"/>
        <v>327</v>
      </c>
      <c r="J314" s="293">
        <f t="shared" si="81"/>
        <v>2051</v>
      </c>
      <c r="K314" s="186">
        <f t="shared" si="82"/>
        <v>55185</v>
      </c>
      <c r="M314" s="294"/>
      <c r="N314" s="308">
        <f t="shared" si="83"/>
        <v>2.2204741179817189E-2</v>
      </c>
      <c r="O314" s="308">
        <f t="shared" si="84"/>
        <v>0</v>
      </c>
      <c r="P314" s="308">
        <f t="shared" si="85"/>
        <v>2.2204741179817189E-2</v>
      </c>
      <c r="V314" s="275" t="str">
        <f t="shared" si="69"/>
        <v>Winter</v>
      </c>
      <c r="Z314" s="294">
        <f t="shared" si="66"/>
        <v>2.2200000000000001E-2</v>
      </c>
      <c r="AA314" s="295">
        <f t="shared" si="70"/>
        <v>0</v>
      </c>
      <c r="AD314" s="347">
        <v>2104386.1000347235</v>
      </c>
    </row>
    <row r="315" spans="2:30" ht="17.45" customHeight="1">
      <c r="B315" s="186">
        <f t="shared" si="62"/>
        <v>55213</v>
      </c>
      <c r="C315" s="296">
        <v>773167.76721872576</v>
      </c>
      <c r="D315" s="297">
        <f>IF(ISNUMBER($F315),VLOOKUP($J315,'Table 1'!$B$13:$C$41,2,FALSE)/12*1000*Study_MW,"")</f>
        <v>378410.66666666657</v>
      </c>
      <c r="E315" s="297">
        <f t="shared" si="79"/>
        <v>1151578.4338853923</v>
      </c>
      <c r="F315" s="296">
        <v>17408.180495410001</v>
      </c>
      <c r="G315" s="298">
        <f t="shared" si="80"/>
        <v>66.151567890109362</v>
      </c>
      <c r="I315" s="299">
        <f t="shared" si="57"/>
        <v>328</v>
      </c>
      <c r="J315" s="293">
        <f t="shared" si="81"/>
        <v>2051</v>
      </c>
      <c r="K315" s="186">
        <f t="shared" si="82"/>
        <v>55213</v>
      </c>
      <c r="M315" s="294"/>
      <c r="N315" s="308">
        <f t="shared" si="83"/>
        <v>2.2206811210165212E-2</v>
      </c>
      <c r="O315" s="308">
        <f t="shared" si="84"/>
        <v>0</v>
      </c>
      <c r="P315" s="308">
        <f t="shared" si="85"/>
        <v>2.2206811210165212E-2</v>
      </c>
      <c r="V315" s="275" t="str">
        <f t="shared" si="69"/>
        <v>Winter</v>
      </c>
      <c r="Z315" s="294">
        <f t="shared" si="66"/>
        <v>2.2200000000000001E-2</v>
      </c>
      <c r="AA315" s="295">
        <f t="shared" si="70"/>
        <v>0</v>
      </c>
      <c r="AD315" s="347">
        <v>1004121.1421619997</v>
      </c>
    </row>
    <row r="316" spans="2:30" ht="17.45" customHeight="1">
      <c r="B316" s="186">
        <f t="shared" si="62"/>
        <v>55244</v>
      </c>
      <c r="C316" s="296">
        <v>1177455.7509602637</v>
      </c>
      <c r="D316" s="297">
        <f>IF(ISNUMBER($F316),VLOOKUP($J316,'Table 1'!$B$13:$C$41,2,FALSE)/12*1000*Study_MW,"")</f>
        <v>378410.66666666657</v>
      </c>
      <c r="E316" s="297">
        <f t="shared" si="79"/>
        <v>1555866.4176269302</v>
      </c>
      <c r="F316" s="296">
        <v>23588.34631157</v>
      </c>
      <c r="G316" s="298">
        <f t="shared" si="80"/>
        <v>65.959113753717588</v>
      </c>
      <c r="I316" s="299">
        <f t="shared" si="57"/>
        <v>329</v>
      </c>
      <c r="J316" s="293">
        <f t="shared" si="81"/>
        <v>2051</v>
      </c>
      <c r="K316" s="186">
        <f t="shared" si="82"/>
        <v>55244</v>
      </c>
      <c r="M316" s="294"/>
      <c r="N316" s="308">
        <f t="shared" si="83"/>
        <v>2.2205041325569663E-2</v>
      </c>
      <c r="O316" s="308">
        <f t="shared" si="84"/>
        <v>0</v>
      </c>
      <c r="P316" s="308">
        <f t="shared" si="85"/>
        <v>2.2205041325569663E-2</v>
      </c>
      <c r="V316" s="275" t="str">
        <f t="shared" si="69"/>
        <v>Winter</v>
      </c>
      <c r="Z316" s="294">
        <f t="shared" si="66"/>
        <v>2.2200000000000001E-2</v>
      </c>
      <c r="AA316" s="295">
        <f t="shared" si="70"/>
        <v>0</v>
      </c>
      <c r="AD316" s="347">
        <v>1251847.1679194826</v>
      </c>
    </row>
    <row r="317" spans="2:30" ht="17.45" customHeight="1">
      <c r="B317" s="186">
        <f t="shared" si="62"/>
        <v>55274</v>
      </c>
      <c r="C317" s="296">
        <v>1005388.2534074968</v>
      </c>
      <c r="D317" s="297">
        <f>IF(ISNUMBER($F317),VLOOKUP($J317,'Table 1'!$B$13:$C$41,2,FALSE)/12*1000*Study_MW,"")</f>
        <v>378410.66666666657</v>
      </c>
      <c r="E317" s="297">
        <f t="shared" si="79"/>
        <v>1383798.9200741635</v>
      </c>
      <c r="F317" s="296">
        <v>21850.675363670001</v>
      </c>
      <c r="G317" s="298">
        <f t="shared" si="80"/>
        <v>63.329800889126524</v>
      </c>
      <c r="I317" s="299">
        <f t="shared" si="57"/>
        <v>330</v>
      </c>
      <c r="J317" s="293">
        <f t="shared" si="81"/>
        <v>2051</v>
      </c>
      <c r="K317" s="186">
        <f t="shared" si="82"/>
        <v>55274</v>
      </c>
      <c r="M317" s="294"/>
      <c r="N317" s="308">
        <f t="shared" si="83"/>
        <v>2.220566818910652E-2</v>
      </c>
      <c r="O317" s="308">
        <f t="shared" si="84"/>
        <v>0</v>
      </c>
      <c r="P317" s="308">
        <f t="shared" si="85"/>
        <v>2.2205668189106742E-2</v>
      </c>
      <c r="V317" s="275" t="str">
        <f t="shared" si="69"/>
        <v>Winter</v>
      </c>
      <c r="Z317" s="294">
        <f t="shared" si="66"/>
        <v>2.2200000000000001E-2</v>
      </c>
      <c r="AA317" s="295">
        <f t="shared" si="70"/>
        <v>0</v>
      </c>
      <c r="AD317" s="347">
        <v>1101899.1991884653</v>
      </c>
    </row>
    <row r="318" spans="2:30" ht="17.45" customHeight="1">
      <c r="B318" s="186">
        <f t="shared" si="62"/>
        <v>55305</v>
      </c>
      <c r="C318" s="296">
        <v>1264657.564638776</v>
      </c>
      <c r="D318" s="297">
        <f>IF(ISNUMBER($F318),VLOOKUP($J318,'Table 1'!$B$13:$C$41,2,FALSE)/12*1000*Study_MW,"")</f>
        <v>378410.66666666657</v>
      </c>
      <c r="E318" s="297">
        <f t="shared" si="79"/>
        <v>1643068.2313054425</v>
      </c>
      <c r="F318" s="296">
        <v>21727.221439299999</v>
      </c>
      <c r="G318" s="298">
        <f t="shared" si="80"/>
        <v>75.622565724555827</v>
      </c>
      <c r="I318" s="299">
        <f t="shared" si="57"/>
        <v>331</v>
      </c>
      <c r="J318" s="293">
        <f t="shared" si="81"/>
        <v>2051</v>
      </c>
      <c r="K318" s="186">
        <f t="shared" si="82"/>
        <v>55305</v>
      </c>
      <c r="M318" s="294"/>
      <c r="N318" s="308">
        <f t="shared" si="83"/>
        <v>2.2204773768338848E-2</v>
      </c>
      <c r="O318" s="308">
        <f t="shared" si="84"/>
        <v>0</v>
      </c>
      <c r="P318" s="308">
        <f t="shared" si="85"/>
        <v>2.220477376833907E-2</v>
      </c>
      <c r="V318" s="275" t="str">
        <f t="shared" si="69"/>
        <v>Summer</v>
      </c>
      <c r="Z318" s="294">
        <f t="shared" si="66"/>
        <v>2.2200000000000001E-2</v>
      </c>
      <c r="AA318" s="295">
        <f t="shared" si="70"/>
        <v>0</v>
      </c>
      <c r="AD318" s="347">
        <v>1425398.035763365</v>
      </c>
    </row>
    <row r="319" spans="2:30" ht="17.45" customHeight="1">
      <c r="B319" s="186">
        <f t="shared" si="62"/>
        <v>55335</v>
      </c>
      <c r="C319" s="296">
        <v>724374.45553826389</v>
      </c>
      <c r="D319" s="297">
        <f>IF(ISNUMBER($F319),VLOOKUP($J319,'Table 1'!$B$13:$C$41,2,FALSE)/12*1000*Study_MW,"")</f>
        <v>378410.66666666657</v>
      </c>
      <c r="E319" s="297">
        <f t="shared" si="79"/>
        <v>1102785.1222049305</v>
      </c>
      <c r="F319" s="296">
        <v>13087.66273665</v>
      </c>
      <c r="G319" s="298">
        <f t="shared" si="80"/>
        <v>84.261425771367811</v>
      </c>
      <c r="I319" s="299">
        <f t="shared" si="57"/>
        <v>332</v>
      </c>
      <c r="J319" s="293">
        <f t="shared" si="81"/>
        <v>2051</v>
      </c>
      <c r="K319" s="186">
        <f t="shared" si="82"/>
        <v>55335</v>
      </c>
      <c r="M319" s="294"/>
      <c r="N319" s="308">
        <f t="shared" si="83"/>
        <v>2.2207112577862897E-2</v>
      </c>
      <c r="O319" s="308">
        <f t="shared" si="84"/>
        <v>0</v>
      </c>
      <c r="P319" s="308">
        <f t="shared" si="85"/>
        <v>2.2207112577862897E-2</v>
      </c>
      <c r="V319" s="275" t="str">
        <f t="shared" si="69"/>
        <v>Summer</v>
      </c>
      <c r="Z319" s="294">
        <f t="shared" si="66"/>
        <v>2.2200000000000001E-2</v>
      </c>
      <c r="AA319" s="295">
        <f t="shared" si="70"/>
        <v>0</v>
      </c>
      <c r="AD319" s="347">
        <v>1120631.8717720741</v>
      </c>
    </row>
    <row r="320" spans="2:30" ht="17.45" customHeight="1">
      <c r="B320" s="186">
        <f t="shared" si="62"/>
        <v>55366</v>
      </c>
      <c r="C320" s="296">
        <v>739865.08665321977</v>
      </c>
      <c r="D320" s="297">
        <f>IF(ISNUMBER($F320),VLOOKUP($J320,'Table 1'!$B$13:$C$41,2,FALSE)/12*1000*Study_MW,"")</f>
        <v>378410.66666666657</v>
      </c>
      <c r="E320" s="297">
        <f t="shared" si="79"/>
        <v>1118275.7533198863</v>
      </c>
      <c r="F320" s="296">
        <v>13352.837596360001</v>
      </c>
      <c r="G320" s="298">
        <f t="shared" si="80"/>
        <v>83.748173019398479</v>
      </c>
      <c r="I320" s="299">
        <f t="shared" si="57"/>
        <v>333</v>
      </c>
      <c r="J320" s="293">
        <f t="shared" si="81"/>
        <v>2051</v>
      </c>
      <c r="K320" s="186">
        <f t="shared" si="82"/>
        <v>55366</v>
      </c>
      <c r="M320" s="294"/>
      <c r="N320" s="308">
        <f t="shared" si="83"/>
        <v>2.2207014052006757E-2</v>
      </c>
      <c r="O320" s="308">
        <f t="shared" si="84"/>
        <v>0</v>
      </c>
      <c r="P320" s="308">
        <f t="shared" si="85"/>
        <v>2.2207014052006757E-2</v>
      </c>
      <c r="V320" s="275" t="str">
        <f t="shared" si="69"/>
        <v>Summer</v>
      </c>
      <c r="Z320" s="294">
        <f t="shared" si="66"/>
        <v>2.2200000000000001E-2</v>
      </c>
      <c r="AA320" s="295">
        <f t="shared" si="70"/>
        <v>0</v>
      </c>
      <c r="AD320" s="347">
        <v>1425202.0043126561</v>
      </c>
    </row>
    <row r="321" spans="2:30" ht="17.45" customHeight="1">
      <c r="B321" s="186">
        <f t="shared" si="62"/>
        <v>55397</v>
      </c>
      <c r="C321" s="296">
        <v>618495.92493101128</v>
      </c>
      <c r="D321" s="297">
        <f>IF(ISNUMBER($F321),VLOOKUP($J321,'Table 1'!$B$13:$C$41,2,FALSE)/12*1000*Study_MW,"")</f>
        <v>378410.66666666657</v>
      </c>
      <c r="E321" s="297">
        <f t="shared" si="79"/>
        <v>996906.59159767791</v>
      </c>
      <c r="F321" s="296">
        <v>11306.15984007</v>
      </c>
      <c r="G321" s="298">
        <f t="shared" si="80"/>
        <v>88.173757111106411</v>
      </c>
      <c r="I321" s="299">
        <f t="shared" si="57"/>
        <v>334</v>
      </c>
      <c r="J321" s="293">
        <f t="shared" si="81"/>
        <v>2051</v>
      </c>
      <c r="K321" s="186">
        <f t="shared" si="82"/>
        <v>55397</v>
      </c>
      <c r="M321" s="294"/>
      <c r="N321" s="308">
        <f t="shared" si="83"/>
        <v>2.2207867989749719E-2</v>
      </c>
      <c r="O321" s="308">
        <f t="shared" si="84"/>
        <v>0</v>
      </c>
      <c r="P321" s="308">
        <f t="shared" si="85"/>
        <v>2.2207867989749719E-2</v>
      </c>
      <c r="V321" s="275" t="str">
        <f t="shared" si="69"/>
        <v>Summer</v>
      </c>
      <c r="Z321" s="294">
        <f t="shared" si="66"/>
        <v>2.2200000000000001E-2</v>
      </c>
      <c r="AA321" s="295">
        <f t="shared" si="70"/>
        <v>0</v>
      </c>
      <c r="AD321" s="347">
        <v>963062.29678830924</v>
      </c>
    </row>
    <row r="322" spans="2:30" ht="17.45" customHeight="1">
      <c r="B322" s="186">
        <f t="shared" si="62"/>
        <v>55427</v>
      </c>
      <c r="C322" s="296">
        <v>1388086.1509013404</v>
      </c>
      <c r="D322" s="297">
        <f>IF(ISNUMBER($F322),VLOOKUP($J322,'Table 1'!$B$13:$C$41,2,FALSE)/12*1000*Study_MW,"")</f>
        <v>378410.66666666657</v>
      </c>
      <c r="E322" s="297">
        <f t="shared" si="79"/>
        <v>1766496.8175680069</v>
      </c>
      <c r="F322" s="296">
        <v>23404.872506280004</v>
      </c>
      <c r="G322" s="298">
        <f t="shared" si="80"/>
        <v>75.475600949931248</v>
      </c>
      <c r="I322" s="299">
        <f t="shared" si="57"/>
        <v>335</v>
      </c>
      <c r="J322" s="293">
        <f t="shared" si="81"/>
        <v>2051</v>
      </c>
      <c r="K322" s="186">
        <f t="shared" si="82"/>
        <v>55427</v>
      </c>
      <c r="M322" s="294"/>
      <c r="N322" s="308">
        <f t="shared" si="83"/>
        <v>2.2204440214363075E-2</v>
      </c>
      <c r="O322" s="308">
        <f t="shared" si="84"/>
        <v>0</v>
      </c>
      <c r="P322" s="308">
        <f t="shared" si="85"/>
        <v>2.2204440214363075E-2</v>
      </c>
      <c r="V322" s="275" t="str">
        <f t="shared" si="69"/>
        <v>Winter</v>
      </c>
      <c r="Z322" s="294">
        <f t="shared" si="66"/>
        <v>2.2200000000000001E-2</v>
      </c>
      <c r="AA322" s="295">
        <f t="shared" si="70"/>
        <v>0</v>
      </c>
      <c r="AD322" s="347">
        <v>1565306.2526109635</v>
      </c>
    </row>
    <row r="323" spans="2:30" ht="17.45" customHeight="1">
      <c r="B323" s="186">
        <f t="shared" si="62"/>
        <v>55458</v>
      </c>
      <c r="C323" s="296">
        <v>1100247.8219764528</v>
      </c>
      <c r="D323" s="297">
        <f>IF(ISNUMBER($F323),VLOOKUP($J323,'Table 1'!$B$13:$C$41,2,FALSE)/12*1000*Study_MW,"")</f>
        <v>378410.66666666657</v>
      </c>
      <c r="E323" s="297">
        <f t="shared" si="79"/>
        <v>1478658.4886431193</v>
      </c>
      <c r="F323" s="296">
        <v>14273.345559230002</v>
      </c>
      <c r="G323" s="298">
        <f t="shared" si="80"/>
        <v>103.59578856317466</v>
      </c>
      <c r="I323" s="299">
        <f t="shared" si="57"/>
        <v>336</v>
      </c>
      <c r="J323" s="293">
        <f t="shared" si="81"/>
        <v>2051</v>
      </c>
      <c r="K323" s="186">
        <f t="shared" si="82"/>
        <v>55458</v>
      </c>
      <c r="M323" s="294"/>
      <c r="N323" s="308">
        <f t="shared" si="83"/>
        <v>2.2205304558986727E-2</v>
      </c>
      <c r="O323" s="308">
        <f t="shared" si="84"/>
        <v>0</v>
      </c>
      <c r="P323" s="308">
        <f t="shared" si="85"/>
        <v>2.2205304558986505E-2</v>
      </c>
      <c r="V323" s="275" t="str">
        <f t="shared" si="69"/>
        <v>Winter</v>
      </c>
      <c r="Z323" s="294">
        <f t="shared" si="66"/>
        <v>2.2200000000000001E-2</v>
      </c>
      <c r="AA323" s="295">
        <f t="shared" si="70"/>
        <v>0</v>
      </c>
      <c r="AD323" s="347">
        <v>1520602.6206152439</v>
      </c>
    </row>
    <row r="324" spans="2:30" ht="17.45" customHeight="1">
      <c r="B324" s="187">
        <f t="shared" si="62"/>
        <v>55488</v>
      </c>
      <c r="C324" s="303">
        <v>846710.52413195639</v>
      </c>
      <c r="D324" s="304">
        <f>IF(ISNUMBER($F324),VLOOKUP($J324,'Table 1'!$B$13:$C$41,2,FALSE)/12*1000*Study_MW,"")</f>
        <v>378410.66666666657</v>
      </c>
      <c r="E324" s="304">
        <f t="shared" si="79"/>
        <v>1225121.190798623</v>
      </c>
      <c r="F324" s="303">
        <v>14151.674536572002</v>
      </c>
      <c r="G324" s="305">
        <f t="shared" si="80"/>
        <v>86.570757943348482</v>
      </c>
      <c r="I324" s="306">
        <f t="shared" si="57"/>
        <v>337</v>
      </c>
      <c r="J324" s="293">
        <f t="shared" si="81"/>
        <v>2051</v>
      </c>
      <c r="K324" s="187">
        <f t="shared" si="82"/>
        <v>55488</v>
      </c>
      <c r="M324" s="294"/>
      <c r="N324" s="308">
        <f t="shared" si="83"/>
        <v>2.2206402337708875E-2</v>
      </c>
      <c r="O324" s="308">
        <f t="shared" si="84"/>
        <v>0</v>
      </c>
      <c r="P324" s="308">
        <f t="shared" si="85"/>
        <v>2.2206402337708875E-2</v>
      </c>
      <c r="V324" s="275" t="str">
        <f t="shared" si="69"/>
        <v>Winter</v>
      </c>
      <c r="Z324" s="294">
        <f t="shared" si="66"/>
        <v>2.2200000000000001E-2</v>
      </c>
      <c r="AA324" s="295">
        <f t="shared" si="70"/>
        <v>0</v>
      </c>
      <c r="AD324" s="347">
        <v>1417301.7981360052</v>
      </c>
    </row>
    <row r="325" spans="2:30" ht="17.45" customHeight="1">
      <c r="Z325" s="294">
        <f t="shared" si="66"/>
        <v>2.2200000000000001E-2</v>
      </c>
      <c r="AA325" s="295">
        <f t="shared" si="70"/>
        <v>0</v>
      </c>
    </row>
    <row r="326" spans="2:30" ht="17.45" customHeight="1">
      <c r="Z326" s="294">
        <f t="shared" si="66"/>
        <v>2.2200000000000001E-2</v>
      </c>
      <c r="AA326" s="295">
        <f t="shared" si="70"/>
        <v>0</v>
      </c>
    </row>
    <row r="327" spans="2:30" ht="17.45" customHeight="1">
      <c r="Z327" s="294">
        <f t="shared" si="66"/>
        <v>2.2200000000000001E-2</v>
      </c>
      <c r="AA327" s="295">
        <f t="shared" si="70"/>
        <v>0</v>
      </c>
    </row>
    <row r="328" spans="2:30" ht="17.45" customHeight="1">
      <c r="Z328" s="294">
        <f t="shared" si="66"/>
        <v>2.2200000000000001E-2</v>
      </c>
      <c r="AA328" s="295">
        <f t="shared" si="70"/>
        <v>0</v>
      </c>
    </row>
    <row r="329" spans="2:30" ht="17.45" customHeight="1">
      <c r="Z329" s="294">
        <f t="shared" si="66"/>
        <v>2.2200000000000001E-2</v>
      </c>
      <c r="AA329" s="295">
        <f t="shared" si="70"/>
        <v>0</v>
      </c>
    </row>
    <row r="330" spans="2:30" ht="17.45" customHeight="1">
      <c r="Z330" s="294">
        <f t="shared" si="66"/>
        <v>2.2200000000000001E-2</v>
      </c>
      <c r="AA330" s="295">
        <f t="shared" si="70"/>
        <v>0</v>
      </c>
    </row>
    <row r="331" spans="2:30" ht="17.45" customHeight="1">
      <c r="Z331" s="294">
        <f t="shared" si="66"/>
        <v>2.2200000000000001E-2</v>
      </c>
      <c r="AA331" s="295">
        <f t="shared" si="70"/>
        <v>0</v>
      </c>
    </row>
    <row r="332" spans="2:30" ht="17.45" customHeight="1">
      <c r="Z332" s="294">
        <f t="shared" si="66"/>
        <v>2.2200000000000001E-2</v>
      </c>
      <c r="AA332" s="295">
        <f t="shared" si="70"/>
        <v>0</v>
      </c>
    </row>
    <row r="333" spans="2:30" ht="17.45" customHeight="1">
      <c r="Z333" s="294">
        <f t="shared" ref="Z333:Z367" si="86">Inflation</f>
        <v>2.2200000000000001E-2</v>
      </c>
      <c r="AA333" s="295">
        <f t="shared" si="70"/>
        <v>0</v>
      </c>
    </row>
    <row r="334" spans="2:30" ht="17.45" customHeight="1">
      <c r="Z334" s="294">
        <f t="shared" si="86"/>
        <v>2.2200000000000001E-2</v>
      </c>
    </row>
    <row r="335" spans="2:30" ht="17.45" customHeight="1">
      <c r="Z335" s="294">
        <f t="shared" si="86"/>
        <v>2.2200000000000001E-2</v>
      </c>
    </row>
    <row r="336" spans="2:30" ht="17.45" customHeight="1">
      <c r="Z336" s="294">
        <f t="shared" si="86"/>
        <v>2.2200000000000001E-2</v>
      </c>
    </row>
    <row r="337" spans="26:26" ht="17.45" customHeight="1">
      <c r="Z337" s="294">
        <f t="shared" si="86"/>
        <v>2.2200000000000001E-2</v>
      </c>
    </row>
    <row r="338" spans="26:26" ht="17.45" customHeight="1">
      <c r="Z338" s="294">
        <f t="shared" si="86"/>
        <v>2.2200000000000001E-2</v>
      </c>
    </row>
    <row r="339" spans="26:26" ht="17.45" customHeight="1">
      <c r="Z339" s="294">
        <f t="shared" si="86"/>
        <v>2.2200000000000001E-2</v>
      </c>
    </row>
    <row r="340" spans="26:26" ht="17.45" customHeight="1">
      <c r="Z340" s="294">
        <f t="shared" si="86"/>
        <v>2.2200000000000001E-2</v>
      </c>
    </row>
    <row r="341" spans="26:26" ht="17.45" customHeight="1">
      <c r="Z341" s="294">
        <f t="shared" si="86"/>
        <v>2.2200000000000001E-2</v>
      </c>
    </row>
    <row r="342" spans="26:26" ht="17.45" customHeight="1">
      <c r="Z342" s="294">
        <f t="shared" si="86"/>
        <v>2.2200000000000001E-2</v>
      </c>
    </row>
    <row r="343" spans="26:26" ht="17.45" customHeight="1">
      <c r="Z343" s="294">
        <f t="shared" si="86"/>
        <v>2.2200000000000001E-2</v>
      </c>
    </row>
    <row r="344" spans="26:26" ht="17.45" customHeight="1">
      <c r="Z344" s="294">
        <f t="shared" si="86"/>
        <v>2.2200000000000001E-2</v>
      </c>
    </row>
    <row r="345" spans="26:26" ht="17.45" customHeight="1">
      <c r="Z345" s="294">
        <f t="shared" si="86"/>
        <v>2.2200000000000001E-2</v>
      </c>
    </row>
    <row r="346" spans="26:26" ht="17.45" customHeight="1">
      <c r="Z346" s="294">
        <f t="shared" si="86"/>
        <v>2.2200000000000001E-2</v>
      </c>
    </row>
    <row r="347" spans="26:26" ht="17.45" customHeight="1">
      <c r="Z347" s="294">
        <f t="shared" si="86"/>
        <v>2.2200000000000001E-2</v>
      </c>
    </row>
    <row r="348" spans="26:26" ht="17.45" customHeight="1">
      <c r="Z348" s="294">
        <f t="shared" si="86"/>
        <v>2.2200000000000001E-2</v>
      </c>
    </row>
    <row r="349" spans="26:26" ht="17.45" customHeight="1">
      <c r="Z349" s="294">
        <f t="shared" si="86"/>
        <v>2.2200000000000001E-2</v>
      </c>
    </row>
    <row r="350" spans="26:26" ht="17.45" customHeight="1">
      <c r="Z350" s="294">
        <f t="shared" si="86"/>
        <v>2.2200000000000001E-2</v>
      </c>
    </row>
    <row r="351" spans="26:26" ht="17.45" customHeight="1">
      <c r="Z351" s="294">
        <f t="shared" si="86"/>
        <v>2.2200000000000001E-2</v>
      </c>
    </row>
    <row r="352" spans="26:26" ht="17.45" customHeight="1">
      <c r="Z352" s="294">
        <f t="shared" si="86"/>
        <v>2.2200000000000001E-2</v>
      </c>
    </row>
    <row r="353" spans="26:26" ht="17.45" customHeight="1">
      <c r="Z353" s="294">
        <f t="shared" si="86"/>
        <v>2.2200000000000001E-2</v>
      </c>
    </row>
    <row r="354" spans="26:26" ht="17.45" customHeight="1">
      <c r="Z354" s="294">
        <f t="shared" si="86"/>
        <v>2.2200000000000001E-2</v>
      </c>
    </row>
    <row r="355" spans="26:26" ht="17.45" customHeight="1">
      <c r="Z355" s="294">
        <f t="shared" si="86"/>
        <v>2.2200000000000001E-2</v>
      </c>
    </row>
    <row r="356" spans="26:26" ht="17.45" customHeight="1">
      <c r="Z356" s="294">
        <f t="shared" si="86"/>
        <v>2.2200000000000001E-2</v>
      </c>
    </row>
    <row r="357" spans="26:26" ht="17.45" customHeight="1">
      <c r="Z357" s="294">
        <f t="shared" si="86"/>
        <v>2.2200000000000001E-2</v>
      </c>
    </row>
    <row r="358" spans="26:26" ht="17.45" customHeight="1">
      <c r="Z358" s="294">
        <f t="shared" si="86"/>
        <v>2.2200000000000001E-2</v>
      </c>
    </row>
    <row r="359" spans="26:26" ht="17.45" customHeight="1">
      <c r="Z359" s="294">
        <f t="shared" si="86"/>
        <v>2.2200000000000001E-2</v>
      </c>
    </row>
    <row r="360" spans="26:26" ht="17.45" customHeight="1">
      <c r="Z360" s="294">
        <f t="shared" si="86"/>
        <v>2.2200000000000001E-2</v>
      </c>
    </row>
    <row r="361" spans="26:26" ht="17.45" customHeight="1">
      <c r="Z361" s="294">
        <f t="shared" si="86"/>
        <v>2.2200000000000001E-2</v>
      </c>
    </row>
    <row r="362" spans="26:26" ht="17.45" customHeight="1">
      <c r="Z362" s="294">
        <f t="shared" si="86"/>
        <v>2.2200000000000001E-2</v>
      </c>
    </row>
    <row r="363" spans="26:26" ht="17.45" customHeight="1">
      <c r="Z363" s="294">
        <f t="shared" si="86"/>
        <v>2.2200000000000001E-2</v>
      </c>
    </row>
    <row r="364" spans="26:26" ht="17.45" customHeight="1">
      <c r="Z364" s="294">
        <f t="shared" si="86"/>
        <v>2.2200000000000001E-2</v>
      </c>
    </row>
    <row r="365" spans="26:26" ht="17.45" customHeight="1">
      <c r="Z365" s="294">
        <f t="shared" si="86"/>
        <v>2.2200000000000001E-2</v>
      </c>
    </row>
    <row r="366" spans="26:26" ht="17.45" customHeight="1">
      <c r="Z366" s="294">
        <f t="shared" si="86"/>
        <v>2.2200000000000001E-2</v>
      </c>
    </row>
    <row r="367" spans="26:26" ht="17.45" customHeight="1">
      <c r="Z367" s="294">
        <f t="shared" si="86"/>
        <v>2.2200000000000001E-2</v>
      </c>
    </row>
  </sheetData>
  <printOptions horizontalCentered="1"/>
  <pageMargins left="0.25" right="0.25" top="0.75" bottom="0.75" header="0.3" footer="0.3"/>
  <pageSetup scale="23" orientation="portrait" r:id="rId1"/>
  <headerFooter alignWithMargins="0">
    <oddFooter>&amp;L&amp;8NPC Group - &amp;F   ( &amp;A )&amp;C &amp;R &amp;8&amp;D 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2AFC-0E02-488B-9437-8EACD545CAEC}">
  <dimension ref="A1:N37"/>
  <sheetViews>
    <sheetView zoomScale="80" zoomScaleNormal="80" workbookViewId="0">
      <selection activeCell="E35" sqref="E35"/>
    </sheetView>
  </sheetViews>
  <sheetFormatPr defaultRowHeight="12.75"/>
  <cols>
    <col min="1" max="1" width="25" customWidth="1"/>
    <col min="2" max="4" width="28.5" customWidth="1"/>
    <col min="5" max="5" width="36.6640625" customWidth="1"/>
    <col min="6" max="12" width="1.33203125" customWidth="1"/>
    <col min="13" max="13" width="15.83203125" customWidth="1"/>
    <col min="14" max="15" width="15.5" customWidth="1"/>
    <col min="16" max="16" width="14.5" customWidth="1"/>
    <col min="17" max="17" width="16.1640625" customWidth="1"/>
    <col min="18" max="19" width="16" customWidth="1"/>
    <col min="20" max="20" width="17.5" customWidth="1"/>
    <col min="21" max="21" width="17.1640625" customWidth="1"/>
    <col min="22" max="22" width="16.6640625" customWidth="1"/>
    <col min="23" max="23" width="14.5" customWidth="1"/>
    <col min="24" max="24" width="15.33203125" customWidth="1"/>
    <col min="25" max="25" width="14.5" customWidth="1"/>
  </cols>
  <sheetData>
    <row r="1" spans="1:14">
      <c r="A1" s="147" t="s">
        <v>84</v>
      </c>
    </row>
    <row r="2" spans="1:14">
      <c r="A2" s="147" t="s">
        <v>9</v>
      </c>
      <c r="B2" s="91" t="str">
        <f>B5</f>
        <v>GCC.PX.UTS._.DF_.H_2x1</v>
      </c>
      <c r="C2" s="91" t="str">
        <f>C5</f>
        <v>GCC.PX.UTS._.DF_.H_2x1</v>
      </c>
      <c r="D2" s="91" t="str">
        <f>D5</f>
        <v>GCC.PX.UTS._.DF_.H_2x1</v>
      </c>
      <c r="E2" s="91"/>
      <c r="F2" s="91"/>
      <c r="G2" s="91"/>
      <c r="H2" s="91"/>
      <c r="I2" s="91"/>
      <c r="J2" s="91"/>
      <c r="K2" s="91"/>
    </row>
    <row r="3" spans="1:14" s="147" customFormat="1">
      <c r="A3" s="147" t="s">
        <v>80</v>
      </c>
      <c r="B3" s="160">
        <v>2035</v>
      </c>
      <c r="C3" s="160">
        <v>2036</v>
      </c>
      <c r="D3" s="160">
        <v>2038</v>
      </c>
      <c r="E3" s="333">
        <v>2031</v>
      </c>
      <c r="F3" s="333"/>
      <c r="G3" s="333"/>
      <c r="H3" s="334"/>
      <c r="I3" s="334"/>
      <c r="J3" s="334"/>
      <c r="K3" s="334"/>
    </row>
    <row r="4" spans="1:14">
      <c r="B4" s="161" t="s">
        <v>300</v>
      </c>
      <c r="C4" s="161" t="s">
        <v>300</v>
      </c>
      <c r="D4" s="161" t="s">
        <v>300</v>
      </c>
      <c r="E4" s="335"/>
      <c r="F4" s="335"/>
      <c r="G4" s="335"/>
    </row>
    <row r="5" spans="1:14" ht="53.25" customHeight="1">
      <c r="B5" s="158" t="s">
        <v>208</v>
      </c>
      <c r="C5" s="158" t="s">
        <v>208</v>
      </c>
      <c r="D5" s="158" t="s">
        <v>208</v>
      </c>
      <c r="E5" s="158" t="s">
        <v>304</v>
      </c>
      <c r="F5" s="158"/>
      <c r="G5" s="158"/>
      <c r="H5" s="91"/>
      <c r="I5" s="91"/>
      <c r="J5" s="91"/>
      <c r="K5" s="91"/>
    </row>
    <row r="6" spans="1:14">
      <c r="A6" s="68">
        <v>2024</v>
      </c>
      <c r="B6" s="69">
        <f>IFERROR(INDEX('GCC.PX.UTS.2035'!$G$10:$G$63,MATCH($A6,'GCC.PX.UTS.2035'!$B$10:$B$63,0),1),0)</f>
        <v>0</v>
      </c>
      <c r="C6" s="69">
        <f>IFERROR(INDEX('GCC.PX.UTS.2036'!$G$10:$G$63,MATCH($A6,'GCC.PX.UTS.2036'!$B$10:$B$63,0),1),0)</f>
        <v>0</v>
      </c>
      <c r="D6" s="69">
        <f>IFERROR(INDEX('GCC.PX.UTS.2038'!$G$10:$G$63,MATCH($A6,'GCC.PX.UTS.2038'!$B$10:$B$63,0),1),0)</f>
        <v>0</v>
      </c>
      <c r="E6" s="69">
        <f>IFERROR(INDEX('BAT.PX.BDG._.ITC._4hr.2031'!$G$9:$G$44,MATCH($A6,'BAT.PX.BDG._.ITC._4hr.2031'!$B$9:$B$44,0),1),0)</f>
        <v>0</v>
      </c>
      <c r="F6" s="69"/>
      <c r="G6" s="69"/>
      <c r="H6" s="69"/>
      <c r="I6" s="69"/>
      <c r="J6" s="69"/>
      <c r="K6" s="69"/>
      <c r="N6" s="45"/>
    </row>
    <row r="7" spans="1:14">
      <c r="A7" s="68">
        <f t="shared" ref="A7:A27" si="0">A6+1</f>
        <v>2025</v>
      </c>
      <c r="B7" s="69">
        <f>IFERROR(INDEX('GCC.PX.UTS.2035'!$G$10:$G$63,MATCH($A7,'GCC.PX.UTS.2035'!$B$10:$B$63,0),1),0)</f>
        <v>0</v>
      </c>
      <c r="C7" s="69">
        <f>IFERROR(INDEX('GCC.PX.UTS.2036'!$G$10:$G$63,MATCH($A7,'GCC.PX.UTS.2036'!$B$10:$B$63,0),1),0)</f>
        <v>0</v>
      </c>
      <c r="D7" s="69">
        <f>IFERROR(INDEX('GCC.PX.UTS.2038'!$G$10:$G$63,MATCH($A7,'GCC.PX.UTS.2038'!$B$10:$B$63,0),1),0)</f>
        <v>0</v>
      </c>
      <c r="E7" s="69">
        <f>IFERROR(INDEX('BAT.PX.BDG._.ITC._4hr.2031'!$G$9:$G$44,MATCH($A7,'BAT.PX.BDG._.ITC._4hr.2031'!$B$9:$B$44,0),1),0)</f>
        <v>0</v>
      </c>
      <c r="F7" s="69"/>
      <c r="G7" s="69"/>
      <c r="H7" s="69"/>
      <c r="I7" s="69"/>
      <c r="J7" s="69"/>
      <c r="K7" s="69"/>
    </row>
    <row r="8" spans="1:14">
      <c r="A8" s="68">
        <f t="shared" si="0"/>
        <v>2026</v>
      </c>
      <c r="B8" s="69">
        <f>IFERROR(INDEX('GCC.PX.UTS.2035'!$G$10:$G$63,MATCH($A8,'GCC.PX.UTS.2035'!$B$10:$B$63,0),1),0)</f>
        <v>0</v>
      </c>
      <c r="C8" s="69">
        <f>IFERROR(INDEX('GCC.PX.UTS.2036'!$G$10:$G$63,MATCH($A8,'GCC.PX.UTS.2036'!$B$10:$B$63,0),1),0)</f>
        <v>0</v>
      </c>
      <c r="D8" s="69">
        <f>IFERROR(INDEX('GCC.PX.UTS.2038'!$G$10:$G$63,MATCH($A8,'GCC.PX.UTS.2038'!$B$10:$B$63,0),1),0)</f>
        <v>0</v>
      </c>
      <c r="E8" s="69">
        <f>IFERROR(INDEX('BAT.PX.BDG._.ITC._4hr.2031'!$G$9:$G$44,MATCH($A8,'BAT.PX.BDG._.ITC._4hr.2031'!$B$9:$B$44,0),1),0)</f>
        <v>0</v>
      </c>
      <c r="F8" s="69"/>
      <c r="G8" s="69"/>
      <c r="H8" s="69"/>
      <c r="I8" s="69"/>
      <c r="J8" s="69"/>
      <c r="K8" s="69"/>
    </row>
    <row r="9" spans="1:14">
      <c r="A9" s="68">
        <f t="shared" si="0"/>
        <v>2027</v>
      </c>
      <c r="B9" s="69">
        <f>IFERROR(INDEX('GCC.PX.UTS.2035'!$G$10:$G$63,MATCH($A9,'GCC.PX.UTS.2035'!$B$10:$B$63,0),1),0)</f>
        <v>0</v>
      </c>
      <c r="C9" s="69">
        <f>IFERROR(INDEX('GCC.PX.UTS.2036'!$G$10:$G$63,MATCH($A9,'GCC.PX.UTS.2036'!$B$10:$B$63,0),1),0)</f>
        <v>0</v>
      </c>
      <c r="D9" s="69">
        <f>IFERROR(INDEX('GCC.PX.UTS.2038'!$G$10:$G$63,MATCH($A9,'GCC.PX.UTS.2038'!$B$10:$B$63,0),1),0)</f>
        <v>0</v>
      </c>
      <c r="E9" s="69">
        <f>IFERROR(INDEX('BAT.PX.BDG._.ITC._4hr.2031'!$G$9:$G$44,MATCH($A9,'BAT.PX.BDG._.ITC._4hr.2031'!$B$9:$B$44,0),1),0)</f>
        <v>0</v>
      </c>
      <c r="F9" s="69"/>
      <c r="G9" s="69"/>
      <c r="H9" s="69"/>
      <c r="I9" s="69"/>
      <c r="J9" s="69"/>
      <c r="K9" s="69"/>
    </row>
    <row r="10" spans="1:14">
      <c r="A10" s="68">
        <f t="shared" si="0"/>
        <v>2028</v>
      </c>
      <c r="B10" s="69">
        <f>IFERROR(INDEX('GCC.PX.UTS.2035'!$G$10:$G$63,MATCH($A10,'GCC.PX.UTS.2035'!$B$10:$B$63,0),1),0)</f>
        <v>0</v>
      </c>
      <c r="C10" s="69">
        <f>IFERROR(INDEX('GCC.PX.UTS.2036'!$G$10:$G$63,MATCH($A10,'GCC.PX.UTS.2036'!$B$10:$B$63,0),1),0)</f>
        <v>0</v>
      </c>
      <c r="D10" s="69">
        <f>IFERROR(INDEX('GCC.PX.UTS.2038'!$G$10:$G$63,MATCH($A10,'GCC.PX.UTS.2038'!$B$10:$B$63,0),1),0)</f>
        <v>0</v>
      </c>
      <c r="E10" s="69">
        <f>IFERROR(INDEX('BAT.PX.BDG._.ITC._4hr.2031'!$G$9:$G$44,MATCH($A10,'BAT.PX.BDG._.ITC._4hr.2031'!$B$9:$B$44,0),1),0)</f>
        <v>0</v>
      </c>
      <c r="F10" s="69"/>
      <c r="G10" s="69"/>
      <c r="H10" s="69"/>
      <c r="I10" s="69"/>
      <c r="J10" s="69"/>
      <c r="K10" s="69"/>
    </row>
    <row r="11" spans="1:14">
      <c r="A11" s="68">
        <f t="shared" si="0"/>
        <v>2029</v>
      </c>
      <c r="B11" s="69">
        <f>IFERROR(INDEX('GCC.PX.UTS.2035'!$G$10:$G$63,MATCH($A11,'GCC.PX.UTS.2035'!$B$10:$B$63,0),1),0)</f>
        <v>0</v>
      </c>
      <c r="C11" s="69">
        <f>IFERROR(INDEX('GCC.PX.UTS.2036'!$G$10:$G$63,MATCH($A11,'GCC.PX.UTS.2036'!$B$10:$B$63,0),1),0)</f>
        <v>0</v>
      </c>
      <c r="D11" s="69">
        <f>IFERROR(INDEX('GCC.PX.UTS.2038'!$G$10:$G$63,MATCH($A11,'GCC.PX.UTS.2038'!$B$10:$B$63,0),1),0)</f>
        <v>0</v>
      </c>
      <c r="E11" s="69">
        <f>IFERROR(INDEX('BAT.PX.BDG._.ITC._4hr.2031'!$G$9:$G$44,MATCH($A11,'BAT.PX.BDG._.ITC._4hr.2031'!$B$9:$B$44,0),1),0)</f>
        <v>0</v>
      </c>
      <c r="F11" s="69"/>
      <c r="G11" s="69"/>
      <c r="H11" s="69"/>
      <c r="I11" s="69"/>
      <c r="J11" s="69"/>
      <c r="K11" s="69"/>
    </row>
    <row r="12" spans="1:14">
      <c r="A12" s="68">
        <f t="shared" si="0"/>
        <v>2030</v>
      </c>
      <c r="B12" s="69">
        <f>IFERROR(INDEX('GCC.PX.UTS.2035'!$G$10:$G$63,MATCH($A12,'GCC.PX.UTS.2035'!$B$10:$B$63,0),1),0)</f>
        <v>0</v>
      </c>
      <c r="C12" s="69">
        <f>IFERROR(INDEX('GCC.PX.UTS.2036'!$G$10:$G$63,MATCH($A12,'GCC.PX.UTS.2036'!$B$10:$B$63,0),1),0)</f>
        <v>0</v>
      </c>
      <c r="D12" s="69">
        <f>IFERROR(INDEX('GCC.PX.UTS.2038'!$G$10:$G$63,MATCH($A12,'GCC.PX.UTS.2038'!$B$10:$B$63,0),1),0)</f>
        <v>0</v>
      </c>
      <c r="E12" s="69">
        <f>IFERROR(INDEX('BAT.PX.BDG._.ITC._4hr.2031'!$G$9:$G$44,MATCH($A12,'BAT.PX.BDG._.ITC._4hr.2031'!$B$9:$B$44,0),1),0)</f>
        <v>0</v>
      </c>
      <c r="F12" s="69"/>
      <c r="G12" s="69"/>
      <c r="H12" s="69"/>
      <c r="I12" s="69"/>
      <c r="J12" s="69"/>
      <c r="K12" s="69"/>
    </row>
    <row r="13" spans="1:14">
      <c r="A13" s="68">
        <f t="shared" si="0"/>
        <v>2031</v>
      </c>
      <c r="B13" s="69">
        <f>IFERROR(INDEX('GCC.PX.UTS.2035'!$G$10:$G$63,MATCH($A13,'GCC.PX.UTS.2035'!$B$10:$B$63,0),1),0)</f>
        <v>0</v>
      </c>
      <c r="C13" s="69">
        <f>IFERROR(INDEX('GCC.PX.UTS.2036'!$G$10:$G$63,MATCH($A13,'GCC.PX.UTS.2036'!$B$10:$B$63,0),1),0)</f>
        <v>0</v>
      </c>
      <c r="D13" s="69">
        <f>IFERROR(INDEX('GCC.PX.UTS.2038'!$G$10:$G$63,MATCH($A13,'GCC.PX.UTS.2038'!$B$10:$B$63,0),1),0)</f>
        <v>0</v>
      </c>
      <c r="E13" s="69">
        <f>IFERROR(INDEX('BAT.PX.BDG._.ITC._4hr.2031'!$G$9:$G$44,MATCH($A13,'BAT.PX.BDG._.ITC._4hr.2031'!$B$9:$B$44,0),1),0)</f>
        <v>123.166857315038</v>
      </c>
      <c r="F13" s="69"/>
      <c r="G13" s="69"/>
      <c r="H13" s="69"/>
      <c r="I13" s="69"/>
      <c r="J13" s="69"/>
      <c r="K13" s="69"/>
    </row>
    <row r="14" spans="1:14">
      <c r="A14" s="68">
        <f t="shared" si="0"/>
        <v>2032</v>
      </c>
      <c r="B14" s="69">
        <f>IFERROR(INDEX('GCC.PX.UTS.2035'!$G$10:$G$63,MATCH($A14,'GCC.PX.UTS.2035'!$B$10:$B$63,0),1),0)</f>
        <v>0</v>
      </c>
      <c r="C14" s="69">
        <f>IFERROR(INDEX('GCC.PX.UTS.2036'!$G$10:$G$63,MATCH($A14,'GCC.PX.UTS.2036'!$B$10:$B$63,0),1),0)</f>
        <v>0</v>
      </c>
      <c r="D14" s="69">
        <f>IFERROR(INDEX('GCC.PX.UTS.2038'!$G$10:$G$63,MATCH($A14,'GCC.PX.UTS.2038'!$B$10:$B$63,0),1),0)</f>
        <v>0</v>
      </c>
      <c r="E14" s="69">
        <f>IFERROR(INDEX('BAT.PX.BDG._.ITC._4hr.2031'!$G$9:$G$44,MATCH($A14,'BAT.PX.BDG._.ITC._4hr.2031'!$B$9:$B$44,0),1),0)</f>
        <v>125.90116154743184</v>
      </c>
      <c r="F14" s="69"/>
      <c r="G14" s="69"/>
      <c r="H14" s="69"/>
      <c r="I14" s="69"/>
      <c r="J14" s="69"/>
      <c r="K14" s="69"/>
    </row>
    <row r="15" spans="1:14">
      <c r="A15" s="68">
        <f t="shared" si="0"/>
        <v>2033</v>
      </c>
      <c r="B15" s="69">
        <f>IFERROR(INDEX('GCC.PX.UTS.2035'!$G$10:$G$63,MATCH($A15,'GCC.PX.UTS.2035'!$B$10:$B$63,0),1),0)</f>
        <v>0</v>
      </c>
      <c r="C15" s="69">
        <f>IFERROR(INDEX('GCC.PX.UTS.2036'!$G$10:$G$63,MATCH($A15,'GCC.PX.UTS.2036'!$B$10:$B$63,0),1),0)</f>
        <v>0</v>
      </c>
      <c r="D15" s="69">
        <f>IFERROR(INDEX('GCC.PX.UTS.2038'!$G$10:$G$63,MATCH($A15,'GCC.PX.UTS.2038'!$B$10:$B$63,0),1),0)</f>
        <v>0</v>
      </c>
      <c r="E15" s="69">
        <f>IFERROR(INDEX('BAT.PX.BDG._.ITC._4hr.2031'!$G$9:$G$44,MATCH($A15,'BAT.PX.BDG._.ITC._4hr.2031'!$B$9:$B$44,0),1),0)</f>
        <v>128.69616733378481</v>
      </c>
      <c r="F15" s="69"/>
      <c r="G15" s="69"/>
      <c r="H15" s="69"/>
      <c r="I15" s="69"/>
      <c r="J15" s="69"/>
      <c r="K15" s="69"/>
    </row>
    <row r="16" spans="1:14">
      <c r="A16" s="68">
        <f t="shared" si="0"/>
        <v>2034</v>
      </c>
      <c r="B16" s="69">
        <f>IFERROR(INDEX('GCC.PX.UTS.2035'!$G$10:$G$63,MATCH($A16,'GCC.PX.UTS.2035'!$B$10:$B$63,0),1),0)</f>
        <v>0</v>
      </c>
      <c r="C16" s="69">
        <f>IFERROR(INDEX('GCC.PX.UTS.2036'!$G$10:$G$63,MATCH($A16,'GCC.PX.UTS.2036'!$B$10:$B$63,0),1),0)</f>
        <v>0</v>
      </c>
      <c r="D16" s="69">
        <f>IFERROR(INDEX('GCC.PX.UTS.2038'!$G$10:$G$63,MATCH($A16,'GCC.PX.UTS.2038'!$B$10:$B$63,0),1),0)</f>
        <v>0</v>
      </c>
      <c r="E16" s="69">
        <f>IFERROR(INDEX('BAT.PX.BDG._.ITC._4hr.2031'!$G$9:$G$44,MATCH($A16,'BAT.PX.BDG._.ITC._4hr.2031'!$B$9:$B$44,0),1),0)</f>
        <v>131.55322224859486</v>
      </c>
      <c r="F16" s="69"/>
      <c r="G16" s="69"/>
      <c r="H16" s="69"/>
      <c r="I16" s="69"/>
      <c r="J16" s="69"/>
      <c r="K16" s="69"/>
    </row>
    <row r="17" spans="1:11">
      <c r="A17" s="68">
        <f t="shared" si="0"/>
        <v>2035</v>
      </c>
      <c r="B17" s="69">
        <f>IFERROR(INDEX('GCC.PX.UTS.2035'!$G$10:$G$63,MATCH($A17,'GCC.PX.UTS.2035'!$B$10:$B$63,0),1),0)</f>
        <v>199.88</v>
      </c>
      <c r="C17" s="69">
        <f>IFERROR(INDEX('GCC.PX.UTS.2036'!$G$10:$G$63,MATCH($A17,'GCC.PX.UTS.2036'!$B$10:$B$63,0),1),0)</f>
        <v>0</v>
      </c>
      <c r="D17" s="69">
        <f>IFERROR(INDEX('GCC.PX.UTS.2038'!$G$10:$G$63,MATCH($A17,'GCC.PX.UTS.2038'!$B$10:$B$63,0),1),0)</f>
        <v>0</v>
      </c>
      <c r="E17" s="69">
        <f>IFERROR(INDEX('BAT.PX.BDG._.ITC._4hr.2031'!$G$9:$G$44,MATCH($A17,'BAT.PX.BDG._.ITC._4hr.2031'!$B$9:$B$44,0),1),0)</f>
        <v>134.47370378251364</v>
      </c>
      <c r="F17" s="69"/>
      <c r="G17" s="69"/>
      <c r="H17" s="69"/>
      <c r="I17" s="69"/>
      <c r="J17" s="69"/>
      <c r="K17" s="69"/>
    </row>
    <row r="18" spans="1:11">
      <c r="A18" s="68">
        <f t="shared" si="0"/>
        <v>2036</v>
      </c>
      <c r="B18" s="69">
        <f>IFERROR(INDEX('GCC.PX.UTS.2035'!$G$10:$G$63,MATCH($A18,'GCC.PX.UTS.2035'!$B$10:$B$63,0),1),0)</f>
        <v>204.31</v>
      </c>
      <c r="C18" s="69">
        <f>IFERROR(INDEX('GCC.PX.UTS.2036'!$G$10:$G$63,MATCH($A18,'GCC.PX.UTS.2036'!$B$10:$B$63,0),1),0)</f>
        <v>218.75</v>
      </c>
      <c r="D18" s="69">
        <f>IFERROR(INDEX('GCC.PX.UTS.2038'!$G$10:$G$63,MATCH($A18,'GCC.PX.UTS.2038'!$B$10:$B$63,0),1),0)</f>
        <v>0</v>
      </c>
      <c r="E18" s="69">
        <f>IFERROR(INDEX('BAT.PX.BDG._.ITC._4hr.2031'!$G$9:$G$44,MATCH($A18,'BAT.PX.BDG._.ITC._4hr.2031'!$B$9:$B$44,0),1),0)</f>
        <v>137.45902000648545</v>
      </c>
      <c r="F18" s="69"/>
      <c r="G18" s="69"/>
      <c r="H18" s="69"/>
      <c r="I18" s="69"/>
      <c r="J18" s="69"/>
      <c r="K18" s="69"/>
    </row>
    <row r="19" spans="1:11">
      <c r="A19" s="68">
        <f t="shared" si="0"/>
        <v>2037</v>
      </c>
      <c r="B19" s="69">
        <f>IFERROR(INDEX('GCC.PX.UTS.2035'!$G$10:$G$63,MATCH($A19,'GCC.PX.UTS.2035'!$B$10:$B$63,0),1),0)</f>
        <v>208.85</v>
      </c>
      <c r="C19" s="69">
        <f>IFERROR(INDEX('GCC.PX.UTS.2036'!$G$10:$G$63,MATCH($A19,'GCC.PX.UTS.2036'!$B$10:$B$63,0),1),0)</f>
        <v>223.6</v>
      </c>
      <c r="D19" s="69">
        <f>IFERROR(INDEX('GCC.PX.UTS.2038'!$G$10:$G$63,MATCH($A19,'GCC.PX.UTS.2038'!$B$10:$B$63,0),1),0)</f>
        <v>0</v>
      </c>
      <c r="E19" s="69">
        <f>IFERROR(INDEX('BAT.PX.BDG._.ITC._4hr.2031'!$G$9:$G$44,MATCH($A19,'BAT.PX.BDG._.ITC._4hr.2031'!$B$9:$B$44,0),1),0)</f>
        <v>140.51061025062944</v>
      </c>
      <c r="F19" s="69"/>
      <c r="G19" s="69"/>
      <c r="H19" s="69"/>
      <c r="I19" s="69"/>
      <c r="J19" s="69"/>
      <c r="K19" s="69"/>
    </row>
    <row r="20" spans="1:11">
      <c r="A20" s="68">
        <f t="shared" si="0"/>
        <v>2038</v>
      </c>
      <c r="B20" s="69">
        <f>IFERROR(INDEX('GCC.PX.UTS.2035'!$G$10:$G$63,MATCH($A20,'GCC.PX.UTS.2035'!$B$10:$B$63,0),1),0)</f>
        <v>213.49</v>
      </c>
      <c r="C20" s="69">
        <f>IFERROR(INDEX('GCC.PX.UTS.2036'!$G$10:$G$63,MATCH($A20,'GCC.PX.UTS.2036'!$B$10:$B$63,0),1),0)</f>
        <v>228.57</v>
      </c>
      <c r="D20" s="69">
        <f>IFERROR(INDEX('GCC.PX.UTS.2038'!$G$10:$G$63,MATCH($A20,'GCC.PX.UTS.2038'!$B$10:$B$63,0),1),0)</f>
        <v>228.57</v>
      </c>
      <c r="E20" s="69">
        <f>IFERROR(INDEX('BAT.PX.BDG._.ITC._4hr.2031'!$G$9:$G$44,MATCH($A20,'BAT.PX.BDG._.ITC._4hr.2031'!$B$9:$B$44,0),1),0)</f>
        <v>143.6299457981934</v>
      </c>
      <c r="F20" s="69"/>
      <c r="G20" s="69"/>
      <c r="H20" s="69"/>
      <c r="I20" s="69"/>
      <c r="J20" s="69"/>
      <c r="K20" s="69"/>
    </row>
    <row r="21" spans="1:11">
      <c r="A21" s="68">
        <f t="shared" si="0"/>
        <v>2039</v>
      </c>
      <c r="B21" s="69">
        <f>IFERROR(INDEX('GCC.PX.UTS.2035'!$G$10:$G$63,MATCH($A21,'GCC.PX.UTS.2035'!$B$10:$B$63,0),1),0)</f>
        <v>218.23</v>
      </c>
      <c r="C21" s="69">
        <f>IFERROR(INDEX('GCC.PX.UTS.2036'!$G$10:$G$63,MATCH($A21,'GCC.PX.UTS.2036'!$B$10:$B$63,0),1),0)</f>
        <v>233.64</v>
      </c>
      <c r="D21" s="69">
        <f>IFERROR(INDEX('GCC.PX.UTS.2038'!$G$10:$G$63,MATCH($A21,'GCC.PX.UTS.2038'!$B$10:$B$63,0),1),0)</f>
        <v>233.65</v>
      </c>
      <c r="E21" s="69">
        <f>IFERROR(INDEX('BAT.PX.BDG._.ITC._4hr.2031'!$G$9:$G$44,MATCH($A21,'BAT.PX.BDG._.ITC._4hr.2031'!$B$9:$B$44,0),1),0)</f>
        <v>146.81853059491328</v>
      </c>
      <c r="F21" s="69"/>
      <c r="G21" s="69"/>
      <c r="H21" s="69"/>
      <c r="I21" s="69"/>
      <c r="J21" s="69"/>
      <c r="K21" s="69"/>
    </row>
    <row r="22" spans="1:11">
      <c r="A22" s="68">
        <f t="shared" si="0"/>
        <v>2040</v>
      </c>
      <c r="B22" s="69">
        <f>IFERROR(INDEX('GCC.PX.UTS.2035'!$G$10:$G$63,MATCH($A22,'GCC.PX.UTS.2035'!$B$10:$B$63,0),1),0)</f>
        <v>223.07</v>
      </c>
      <c r="C22" s="69">
        <f>IFERROR(INDEX('GCC.PX.UTS.2036'!$G$10:$G$63,MATCH($A22,'GCC.PX.UTS.2036'!$B$10:$B$63,0),1),0)</f>
        <v>238.83</v>
      </c>
      <c r="D22" s="69">
        <f>IFERROR(INDEX('GCC.PX.UTS.2038'!$G$10:$G$63,MATCH($A22,'GCC.PX.UTS.2038'!$B$10:$B$63,0),1),0)</f>
        <v>238.83</v>
      </c>
      <c r="E22" s="69">
        <f>IFERROR(INDEX('BAT.PX.BDG._.ITC._4hr.2031'!$G$9:$G$44,MATCH($A22,'BAT.PX.BDG._.ITC._4hr.2031'!$B$9:$B$44,0),1),0)</f>
        <v>150.07790197412038</v>
      </c>
      <c r="F22" s="69"/>
      <c r="G22" s="69"/>
      <c r="H22" s="69"/>
      <c r="I22" s="69"/>
      <c r="J22" s="69"/>
      <c r="K22" s="69"/>
    </row>
    <row r="23" spans="1:11">
      <c r="A23" s="68">
        <f t="shared" si="0"/>
        <v>2041</v>
      </c>
      <c r="B23" s="69">
        <f>IFERROR(INDEX('GCC.PX.UTS.2035'!$G$10:$G$63,MATCH($A23,'GCC.PX.UTS.2035'!$B$10:$B$63,0),1),0)</f>
        <v>228.02</v>
      </c>
      <c r="C23" s="69">
        <f>IFERROR(INDEX('GCC.PX.UTS.2036'!$G$10:$G$63,MATCH($A23,'GCC.PX.UTS.2036'!$B$10:$B$63,0),1),0)</f>
        <v>244.13</v>
      </c>
      <c r="D23" s="69">
        <f>IFERROR(INDEX('GCC.PX.UTS.2038'!$G$10:$G$63,MATCH($A23,'GCC.PX.UTS.2038'!$B$10:$B$63,0),1),0)</f>
        <v>244.13</v>
      </c>
      <c r="E23" s="69">
        <f>IFERROR(INDEX('BAT.PX.BDG._.ITC._4hr.2031'!$G$9:$G$44,MATCH($A23,'BAT.PX.BDG._.ITC._4hr.2031'!$B$9:$B$44,0),1),0)</f>
        <v>153.40963139794584</v>
      </c>
      <c r="F23" s="69"/>
      <c r="G23" s="69"/>
      <c r="H23" s="69"/>
      <c r="I23" s="69"/>
      <c r="J23" s="69"/>
      <c r="K23" s="69"/>
    </row>
    <row r="24" spans="1:11">
      <c r="A24" s="68">
        <f t="shared" si="0"/>
        <v>2042</v>
      </c>
      <c r="B24" s="69">
        <f>IFERROR(INDEX('GCC.PX.UTS.2035'!$G$10:$G$63,MATCH($A24,'GCC.PX.UTS.2035'!$B$10:$B$63,0),1),0)</f>
        <v>233.08</v>
      </c>
      <c r="C24" s="69">
        <f>IFERROR(INDEX('GCC.PX.UTS.2036'!$G$10:$G$63,MATCH($A24,'GCC.PX.UTS.2036'!$B$10:$B$63,0),1),0)</f>
        <v>249.55</v>
      </c>
      <c r="D24" s="69">
        <f>IFERROR(INDEX('GCC.PX.UTS.2038'!$G$10:$G$63,MATCH($A24,'GCC.PX.UTS.2038'!$B$10:$B$63,0),1),0)</f>
        <v>249.55</v>
      </c>
      <c r="E24" s="69">
        <f>IFERROR(INDEX('BAT.PX.BDG._.ITC._4hr.2031'!$G$9:$G$44,MATCH($A24,'BAT.PX.BDG._.ITC._4hr.2031'!$B$9:$B$44,0),1),0)</f>
        <v>156.81532521498025</v>
      </c>
      <c r="F24" s="69"/>
      <c r="G24" s="69"/>
      <c r="H24" s="69"/>
      <c r="I24" s="69"/>
      <c r="J24" s="69"/>
      <c r="K24" s="69"/>
    </row>
    <row r="25" spans="1:11">
      <c r="A25" s="68">
        <f t="shared" si="0"/>
        <v>2043</v>
      </c>
      <c r="B25" s="69">
        <f>IFERROR(INDEX('GCC.PX.UTS.2035'!$G$10:$G$63,MATCH($A25,'GCC.PX.UTS.2035'!$B$10:$B$63,0),1),0)</f>
        <v>238.26</v>
      </c>
      <c r="C25" s="69">
        <f>IFERROR(INDEX('GCC.PX.UTS.2036'!$G$10:$G$63,MATCH($A25,'GCC.PX.UTS.2036'!$B$10:$B$63,0),1),0)</f>
        <v>255.09</v>
      </c>
      <c r="D25" s="69">
        <f>IFERROR(INDEX('GCC.PX.UTS.2038'!$G$10:$G$63,MATCH($A25,'GCC.PX.UTS.2038'!$B$10:$B$63,0),1),0)</f>
        <v>255.09</v>
      </c>
      <c r="E25" s="69">
        <f>IFERROR(INDEX('BAT.PX.BDG._.ITC._4hr.2031'!$G$9:$G$44,MATCH($A25,'BAT.PX.BDG._.ITC._4hr.2031'!$B$9:$B$44,0),1),0)</f>
        <v>160.2966254347528</v>
      </c>
      <c r="F25" s="69"/>
      <c r="G25" s="69"/>
      <c r="H25" s="69"/>
      <c r="I25" s="69"/>
      <c r="J25" s="69"/>
      <c r="K25" s="69"/>
    </row>
    <row r="26" spans="1:11">
      <c r="A26" s="68">
        <f t="shared" si="0"/>
        <v>2044</v>
      </c>
      <c r="B26" s="69">
        <f>IFERROR(INDEX('GCC.PX.UTS.2035'!$G$10:$G$63,MATCH($A26,'GCC.PX.UTS.2035'!$B$10:$B$63,0),1),0)</f>
        <v>243.55</v>
      </c>
      <c r="C26" s="69">
        <f>IFERROR(INDEX('GCC.PX.UTS.2036'!$G$10:$G$63,MATCH($A26,'GCC.PX.UTS.2036'!$B$10:$B$63,0),1),0)</f>
        <v>260.75</v>
      </c>
      <c r="D26" s="69">
        <f>IFERROR(INDEX('GCC.PX.UTS.2038'!$G$10:$G$63,MATCH($A26,'GCC.PX.UTS.2038'!$B$10:$B$63,0),1),0)</f>
        <v>260.76</v>
      </c>
      <c r="E26" s="69">
        <f>IFERROR(INDEX('BAT.PX.BDG._.ITC._4hr.2031'!$G$9:$G$44,MATCH($A26,'BAT.PX.BDG._.ITC._4hr.2031'!$B$9:$B$44,0),1),0)</f>
        <v>163.85521051940432</v>
      </c>
      <c r="F26" s="69"/>
      <c r="G26" s="69"/>
      <c r="H26" s="69"/>
      <c r="I26" s="69"/>
      <c r="J26" s="69"/>
      <c r="K26" s="69"/>
    </row>
    <row r="27" spans="1:11">
      <c r="A27" s="68">
        <f t="shared" si="0"/>
        <v>2045</v>
      </c>
      <c r="B27" s="69">
        <f>IFERROR(INDEX('GCC.PX.UTS.2035'!$G$10:$G$63,MATCH($A27,'GCC.PX.UTS.2035'!$B$10:$B$63,0),1),0)</f>
        <v>248.95</v>
      </c>
      <c r="C27" s="69">
        <f>IFERROR(INDEX('GCC.PX.UTS.2036'!$G$10:$G$63,MATCH($A27,'GCC.PX.UTS.2036'!$B$10:$B$63,0),1),0)</f>
        <v>266.54000000000002</v>
      </c>
      <c r="D27" s="69">
        <f>IFERROR(INDEX('GCC.PX.UTS.2038'!$G$10:$G$63,MATCH($A27,'GCC.PX.UTS.2038'!$B$10:$B$63,0),1),0)</f>
        <v>266.55</v>
      </c>
      <c r="E27" s="69">
        <f>IFERROR(INDEX('BAT.PX.BDG._.ITC._4hr.2031'!$G$9:$G$44,MATCH($A27,'BAT.PX.BDG._.ITC._4hr.2031'!$B$9:$B$44,0),1),0)</f>
        <v>167.49279619293509</v>
      </c>
      <c r="F27" s="69"/>
      <c r="G27" s="69"/>
      <c r="H27" s="69"/>
      <c r="I27" s="69"/>
      <c r="J27" s="69"/>
      <c r="K27" s="69"/>
    </row>
    <row r="28" spans="1:11">
      <c r="A28" s="68">
        <f>A27+1</f>
        <v>2046</v>
      </c>
      <c r="B28" s="69">
        <f>IFERROR(INDEX('GCC.PX.UTS.2035'!$G$10:$G$63,MATCH($A28,'GCC.PX.UTS.2035'!$B$10:$B$63,0),1),0)</f>
        <v>254.48</v>
      </c>
      <c r="C28" s="69">
        <f>IFERROR(INDEX('GCC.PX.UTS.2036'!$G$10:$G$63,MATCH($A28,'GCC.PX.UTS.2036'!$B$10:$B$63,0),1),0)</f>
        <v>272.45999999999998</v>
      </c>
      <c r="D28" s="69">
        <f>IFERROR(INDEX('GCC.PX.UTS.2038'!$G$10:$G$63,MATCH($A28,'GCC.PX.UTS.2038'!$B$10:$B$63,0),1),0)</f>
        <v>272.45999999999998</v>
      </c>
      <c r="E28" s="69">
        <f>IFERROR(INDEX('BAT.PX.BDG._.ITC._4hr.2031'!$G$9:$G$44,MATCH($A28,'BAT.PX.BDG._.ITC._4hr.2031'!$B$9:$B$44,0),1),0)</f>
        <v>171.21113626841827</v>
      </c>
      <c r="F28" s="69"/>
      <c r="G28" s="69"/>
      <c r="H28" s="69"/>
      <c r="I28" s="69"/>
      <c r="J28" s="69"/>
      <c r="K28" s="69"/>
    </row>
    <row r="29" spans="1:11">
      <c r="A29" s="68">
        <f>A28+1</f>
        <v>2047</v>
      </c>
      <c r="B29" s="69">
        <f>IFERROR(INDEX('GCC.PX.UTS.2035'!$G$10:$G$63,MATCH($A29,'GCC.PX.UTS.2035'!$B$10:$B$63,0),1),0)</f>
        <v>260.13</v>
      </c>
      <c r="C29" s="69">
        <f>IFERROR(INDEX('GCC.PX.UTS.2036'!$G$10:$G$63,MATCH($A29,'GCC.PX.UTS.2036'!$B$10:$B$63,0),1),0)</f>
        <v>278.51</v>
      </c>
      <c r="D29" s="69">
        <f>IFERROR(INDEX('GCC.PX.UTS.2038'!$G$10:$G$63,MATCH($A29,'GCC.PX.UTS.2038'!$B$10:$B$63,0),1),0)</f>
        <v>278.51</v>
      </c>
      <c r="E29" s="69">
        <f>IFERROR(INDEX('BAT.PX.BDG._.ITC._4hr.2031'!$G$9:$G$44,MATCH($A29,'BAT.PX.BDG._.ITC._4hr.2031'!$B$9:$B$44,0),1),0)</f>
        <v>175.01202349357715</v>
      </c>
      <c r="F29" s="69"/>
      <c r="G29" s="69"/>
      <c r="H29" s="69"/>
      <c r="I29" s="69"/>
      <c r="J29" s="69"/>
      <c r="K29" s="69"/>
    </row>
    <row r="30" spans="1:11">
      <c r="A30" s="68">
        <f>A29+1</f>
        <v>2048</v>
      </c>
      <c r="B30" s="69">
        <f>IFERROR(INDEX('GCC.PX.UTS.2035'!$G$10:$G$63,MATCH($A30,'GCC.PX.UTS.2035'!$B$10:$B$63,0),1),0)</f>
        <v>265.91000000000003</v>
      </c>
      <c r="C30" s="69">
        <f>IFERROR(INDEX('GCC.PX.UTS.2036'!$G$10:$G$63,MATCH($A30,'GCC.PX.UTS.2036'!$B$10:$B$63,0),1),0)</f>
        <v>284.69</v>
      </c>
      <c r="D30" s="69">
        <f>IFERROR(INDEX('GCC.PX.UTS.2038'!$G$10:$G$63,MATCH($A30,'GCC.PX.UTS.2038'!$B$10:$B$63,0),1),0)</f>
        <v>284.7</v>
      </c>
      <c r="E30" s="69">
        <f>IFERROR(INDEX('BAT.PX.BDG._.ITC._4hr.2031'!$G$9:$G$44,MATCH($A30,'BAT.PX.BDG._.ITC._4hr.2031'!$B$9:$B$44,0),1),0)</f>
        <v>178.89729041513456</v>
      </c>
      <c r="F30" s="69"/>
      <c r="G30" s="69"/>
      <c r="H30" s="69"/>
      <c r="I30" s="69"/>
      <c r="J30" s="69"/>
      <c r="K30" s="69"/>
    </row>
    <row r="31" spans="1:11">
      <c r="A31" s="68">
        <f>A30+1</f>
        <v>2049</v>
      </c>
      <c r="B31" s="69">
        <f>IFERROR(INDEX('GCC.PX.UTS.2035'!$G$10:$G$63,MATCH($A31,'GCC.PX.UTS.2035'!$B$10:$B$63,0),1),0)</f>
        <v>271.81</v>
      </c>
      <c r="C31" s="69">
        <f>IFERROR(INDEX('GCC.PX.UTS.2036'!$G$10:$G$63,MATCH($A31,'GCC.PX.UTS.2036'!$B$10:$B$63,0),1),0)</f>
        <v>291.01</v>
      </c>
      <c r="D31" s="69">
        <f>IFERROR(INDEX('GCC.PX.UTS.2038'!$G$10:$G$63,MATCH($A31,'GCC.PX.UTS.2038'!$B$10:$B$63,0),1),0)</f>
        <v>291.02</v>
      </c>
      <c r="E31" s="69">
        <f>IFERROR(INDEX('BAT.PX.BDG._.ITC._4hr.2031'!$G$9:$G$44,MATCH($A31,'BAT.PX.BDG._.ITC._4hr.2031'!$B$9:$B$44,0),1),0)</f>
        <v>182.86881026235056</v>
      </c>
      <c r="F31" s="69"/>
      <c r="G31" s="69"/>
      <c r="H31" s="69"/>
      <c r="I31" s="69"/>
      <c r="J31" s="69"/>
      <c r="K31" s="69"/>
    </row>
    <row r="32" spans="1:11">
      <c r="A32" s="68">
        <f>A31+1</f>
        <v>2050</v>
      </c>
      <c r="B32" s="69">
        <f>IFERROR(INDEX('GCC.PX.UTS.2035'!$G$10:$G$63,MATCH($A32,'GCC.PX.UTS.2035'!$B$10:$B$63,0),1),0)</f>
        <v>277.83999999999997</v>
      </c>
      <c r="C32" s="69">
        <f>IFERROR(INDEX('GCC.PX.UTS.2036'!$G$10:$G$63,MATCH($A32,'GCC.PX.UTS.2036'!$B$10:$B$63,0),1),0)</f>
        <v>297.47000000000003</v>
      </c>
      <c r="D32" s="69">
        <f>IFERROR(INDEX('GCC.PX.UTS.2038'!$G$10:$G$63,MATCH($A32,'GCC.PX.UTS.2038'!$B$10:$B$63,0),1),0)</f>
        <v>297.48</v>
      </c>
      <c r="E32" s="69">
        <f>IFERROR(INDEX('BAT.PX.BDG._.ITC._4hr.2031'!$G$9:$G$44,MATCH($A32,'BAT.PX.BDG._.ITC._4hr.2031'!$B$9:$B$44,0),1),0)</f>
        <v>186.92849785017472</v>
      </c>
      <c r="F32" s="69"/>
      <c r="G32" s="69"/>
      <c r="H32" s="69"/>
      <c r="I32" s="69"/>
      <c r="J32" s="69"/>
      <c r="K32" s="69"/>
    </row>
    <row r="33" spans="1:11">
      <c r="A33" s="68">
        <f t="shared" ref="A33:A37" si="1">A32+1</f>
        <v>2051</v>
      </c>
      <c r="B33" s="69">
        <f>IFERROR(INDEX('GCC.PX.UTS.2035'!$G$10:$G$63,MATCH($A33,'GCC.PX.UTS.2035'!$B$10:$B$63,0),1),0)</f>
        <v>284.01</v>
      </c>
      <c r="C33" s="69">
        <f>IFERROR(INDEX('GCC.PX.UTS.2036'!$G$10:$G$63,MATCH($A33,'GCC.PX.UTS.2036'!$B$10:$B$63,0),1),0)</f>
        <v>304.08</v>
      </c>
      <c r="D33" s="69">
        <f>IFERROR(INDEX('GCC.PX.UTS.2038'!$G$10:$G$63,MATCH($A33,'GCC.PX.UTS.2038'!$B$10:$B$63,0),1),0)</f>
        <v>304.08</v>
      </c>
      <c r="E33" s="69">
        <f>IFERROR(INDEX('BAT.PX.BDG._.ITC._4hr.2031'!$G$9:$G$44,MATCH($A33,'BAT.PX.BDG._.ITC._4hr.2031'!$B$9:$B$44,0),1),0)</f>
        <v>191.07831050244863</v>
      </c>
      <c r="F33" s="69"/>
      <c r="G33" s="69"/>
      <c r="H33" s="69"/>
      <c r="I33" s="69"/>
      <c r="J33" s="69"/>
      <c r="K33" s="69"/>
    </row>
    <row r="34" spans="1:11">
      <c r="A34" s="68">
        <f t="shared" si="1"/>
        <v>2052</v>
      </c>
      <c r="B34" s="69">
        <f>IFERROR(INDEX('GCC.PX.UTS.2035'!$G$10:$G$63,MATCH($A34,'GCC.PX.UTS.2035'!$B$10:$B$63,0),1),0)</f>
        <v>290.32</v>
      </c>
      <c r="C34" s="69">
        <f>IFERROR(INDEX('GCC.PX.UTS.2036'!$G$10:$G$63,MATCH($A34,'GCC.PX.UTS.2036'!$B$10:$B$63,0),1),0)</f>
        <v>310.83</v>
      </c>
      <c r="D34" s="69">
        <f>IFERROR(INDEX('GCC.PX.UTS.2038'!$G$10:$G$63,MATCH($A34,'GCC.PX.UTS.2038'!$B$10:$B$63,0),1),0)</f>
        <v>310.83</v>
      </c>
      <c r="E34" s="69">
        <f>IFERROR(INDEX('BAT.PX.BDG._.ITC._4hr.2031'!$G$9:$G$44,MATCH($A34,'BAT.PX.BDG._.ITC._4hr.2031'!$B$9:$B$44,0),1),0)</f>
        <v>195.32024899560298</v>
      </c>
      <c r="F34" s="69"/>
      <c r="G34" s="69"/>
      <c r="H34" s="69"/>
      <c r="I34" s="69"/>
      <c r="J34" s="69"/>
      <c r="K34" s="69"/>
    </row>
    <row r="35" spans="1:11">
      <c r="A35" s="68">
        <f t="shared" si="1"/>
        <v>2053</v>
      </c>
      <c r="B35" s="69">
        <f>IFERROR(INDEX('GCC.PX.UTS.2035'!$G$10:$G$63,MATCH($A35,'GCC.PX.UTS.2035'!$B$10:$B$63,0),1),0)</f>
        <v>296.76</v>
      </c>
      <c r="C35" s="69">
        <f>IFERROR(INDEX('GCC.PX.UTS.2036'!$G$10:$G$63,MATCH($A35,'GCC.PX.UTS.2036'!$B$10:$B$63,0),1),0)</f>
        <v>317.73</v>
      </c>
      <c r="D35" s="69">
        <f>IFERROR(INDEX('GCC.PX.UTS.2038'!$G$10:$G$63,MATCH($A35,'GCC.PX.UTS.2038'!$B$10:$B$63,0),1),0)</f>
        <v>317.73</v>
      </c>
      <c r="E35" s="69">
        <f>IFERROR(INDEX('BAT.PX.BDG._.ITC._4hr.2031'!$G$9:$G$44,MATCH($A35,'BAT.PX.BDG._.ITC._4hr.2031'!$B$9:$B$44,0),1),0)</f>
        <v>199.65635852330536</v>
      </c>
      <c r="F35" s="69"/>
      <c r="G35" s="69"/>
      <c r="H35" s="69"/>
      <c r="I35" s="69"/>
      <c r="J35" s="69"/>
      <c r="K35" s="69"/>
    </row>
    <row r="36" spans="1:11">
      <c r="A36" s="68">
        <f t="shared" si="1"/>
        <v>2054</v>
      </c>
      <c r="B36" s="69">
        <f>IFERROR(INDEX('GCC.PX.UTS.2035'!$G$10:$G$63,MATCH($A36,'GCC.PX.UTS.2035'!$B$10:$B$63,0),1),0)</f>
        <v>303.35000000000002</v>
      </c>
      <c r="C36" s="69">
        <f>IFERROR(INDEX('GCC.PX.UTS.2036'!$G$10:$G$63,MATCH($A36,'GCC.PX.UTS.2036'!$B$10:$B$63,0),1),0)</f>
        <v>324.77999999999997</v>
      </c>
      <c r="D36" s="69">
        <f>IFERROR(INDEX('GCC.PX.UTS.2038'!$G$10:$G$63,MATCH($A36,'GCC.PX.UTS.2038'!$B$10:$B$63,0),1),0)</f>
        <v>324.77999999999997</v>
      </c>
      <c r="E36" s="69">
        <f>IFERROR(INDEX('BAT.PX.BDG._.ITC._4hr.2031'!$G$9:$G$44,MATCH($A36,'BAT.PX.BDG._.ITC._4hr.2031'!$B$9:$B$44,0),1),0)</f>
        <v>204.08872968252274</v>
      </c>
      <c r="F36" s="69"/>
      <c r="G36" s="69"/>
      <c r="H36" s="69"/>
      <c r="I36" s="69"/>
      <c r="J36" s="69"/>
      <c r="K36" s="69"/>
    </row>
    <row r="37" spans="1:11">
      <c r="A37" s="68">
        <f t="shared" si="1"/>
        <v>2055</v>
      </c>
      <c r="B37" s="69">
        <f>IFERROR(INDEX('GCC.PX.UTS.2035'!$G$10:$G$63,MATCH($A37,'GCC.PX.UTS.2035'!$B$10:$B$63,0),1),0)</f>
        <v>310.08</v>
      </c>
      <c r="C37" s="69">
        <f>IFERROR(INDEX('GCC.PX.UTS.2036'!$G$10:$G$63,MATCH($A37,'GCC.PX.UTS.2036'!$B$10:$B$63,0),1),0)</f>
        <v>331.99</v>
      </c>
      <c r="D37" s="69">
        <f>IFERROR(INDEX('GCC.PX.UTS.2038'!$G$10:$G$63,MATCH($A37,'GCC.PX.UTS.2038'!$B$10:$B$63,0),1),0)</f>
        <v>331.99</v>
      </c>
      <c r="E37" s="69">
        <f>IFERROR(INDEX('BAT.PX.BDG._.ITC._4hr.2031'!$G$9:$G$44,MATCH($A37,'BAT.PX.BDG._.ITC._4hr.2031'!$B$9:$B$44,0),1),0)</f>
        <v>208.61949948147475</v>
      </c>
      <c r="F37" s="69"/>
      <c r="G37" s="69"/>
      <c r="H37" s="69"/>
      <c r="I37" s="69"/>
      <c r="J37" s="69"/>
      <c r="K37" s="69"/>
    </row>
  </sheetData>
  <pageMargins left="0.7" right="0.7" top="0.75" bottom="0.75" header="0.3" footer="0.3"/>
  <pageSetup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6D5B6-0A65-4F35-B089-BDA4840B83AC}">
  <sheetPr>
    <pageSetUpPr fitToPage="1"/>
  </sheetPr>
  <dimension ref="B1:Y89"/>
  <sheetViews>
    <sheetView view="pageBreakPreview" zoomScale="80" zoomScaleNormal="100" zoomScaleSheetLayoutView="80" workbookViewId="0">
      <selection activeCell="J36" sqref="J36"/>
    </sheetView>
  </sheetViews>
  <sheetFormatPr defaultColWidth="9.33203125" defaultRowHeight="12.75"/>
  <cols>
    <col min="1" max="1" width="13.33203125" style="61" customWidth="1"/>
    <col min="2" max="2" width="15" style="61" customWidth="1"/>
    <col min="3" max="3" width="19.33203125" style="61" customWidth="1"/>
    <col min="4" max="4" width="22.83203125" style="61" customWidth="1"/>
    <col min="5" max="5" width="11.1640625" style="61" customWidth="1"/>
    <col min="6" max="6" width="13.5" style="61" customWidth="1"/>
    <col min="7" max="7" width="13.6640625" style="61" customWidth="1"/>
    <col min="8" max="8" width="20.6640625" style="61" customWidth="1"/>
    <col min="9" max="9" width="8.1640625" style="61" customWidth="1"/>
    <col min="10" max="10" width="14.33203125" style="61" customWidth="1"/>
    <col min="11" max="11" width="5.6640625" style="61" customWidth="1"/>
    <col min="12" max="12" width="9.33203125" style="61" customWidth="1"/>
    <col min="13" max="14" width="16" style="61" customWidth="1"/>
    <col min="15" max="15" width="23.5" style="61" customWidth="1"/>
    <col min="16" max="16" width="18.1640625" style="61" customWidth="1"/>
    <col min="17" max="17" width="13.33203125" style="61" customWidth="1"/>
    <col min="18" max="18" width="18.1640625" style="61" customWidth="1"/>
    <col min="19" max="19" width="12.83203125" style="61" customWidth="1"/>
    <col min="20" max="20" width="15.33203125" style="61" customWidth="1"/>
    <col min="21" max="22" width="9.33203125" style="61"/>
    <col min="23" max="23" width="13.33203125" style="61" customWidth="1"/>
    <col min="24" max="24" width="13.6640625" style="61" customWidth="1"/>
    <col min="25" max="25" width="12" style="61" bestFit="1" customWidth="1"/>
    <col min="26" max="16384" width="9.33203125" style="61"/>
  </cols>
  <sheetData>
    <row r="1" spans="2:25" ht="15.75">
      <c r="B1" s="59" t="s">
        <v>52</v>
      </c>
      <c r="C1" s="60"/>
      <c r="D1" s="60"/>
      <c r="E1" s="60"/>
      <c r="F1" s="60"/>
      <c r="G1" s="60"/>
      <c r="J1" s="60"/>
    </row>
    <row r="2" spans="2:25" ht="15.75">
      <c r="B2" s="59" t="str">
        <f>P57</f>
        <v>BAT.PX.BDG._.ITC.Li_ion_4hr</v>
      </c>
      <c r="C2" s="60"/>
      <c r="D2" s="60"/>
      <c r="E2" s="60"/>
      <c r="F2" s="60"/>
      <c r="G2" s="60"/>
      <c r="J2" s="60"/>
    </row>
    <row r="3" spans="2:25" ht="15.75">
      <c r="B3" s="59" t="str">
        <f>TEXT($C$61,"0%")&amp;" Capacity Factor"</f>
        <v>17% Capacity Factor</v>
      </c>
      <c r="C3" s="60"/>
      <c r="D3" s="60"/>
      <c r="E3" s="60"/>
      <c r="F3" s="60"/>
      <c r="G3" s="60"/>
      <c r="J3" s="60"/>
    </row>
    <row r="4" spans="2:25">
      <c r="B4" s="60"/>
      <c r="C4" s="60"/>
      <c r="D4" s="60"/>
      <c r="E4" s="60"/>
      <c r="F4" s="60"/>
      <c r="G4" s="60"/>
      <c r="J4" s="60"/>
      <c r="M4" s="201"/>
      <c r="N4" s="201"/>
    </row>
    <row r="5" spans="2:25" ht="51.75" customHeight="1">
      <c r="B5" s="62" t="s">
        <v>0</v>
      </c>
      <c r="C5" s="63" t="s">
        <v>10</v>
      </c>
      <c r="D5" s="63" t="s">
        <v>11</v>
      </c>
      <c r="E5" s="63" t="s">
        <v>12</v>
      </c>
      <c r="F5" s="14" t="s">
        <v>73</v>
      </c>
      <c r="G5" s="63" t="s">
        <v>84</v>
      </c>
      <c r="H5" s="63" t="s">
        <v>84</v>
      </c>
      <c r="I5" s="100"/>
      <c r="J5" s="63" t="s">
        <v>63</v>
      </c>
      <c r="K5" s="100"/>
      <c r="M5" s="201"/>
      <c r="N5" s="201"/>
      <c r="P5" s="142"/>
      <c r="V5" s="100"/>
      <c r="W5" s="100"/>
    </row>
    <row r="6" spans="2:25" ht="24" customHeight="1">
      <c r="B6" s="64"/>
      <c r="C6" s="65" t="s">
        <v>8</v>
      </c>
      <c r="D6" s="66" t="s">
        <v>9</v>
      </c>
      <c r="E6" s="66" t="s">
        <v>9</v>
      </c>
      <c r="F6" s="16" t="s">
        <v>9</v>
      </c>
      <c r="G6" s="66" t="s">
        <v>9</v>
      </c>
      <c r="H6" s="66" t="s">
        <v>306</v>
      </c>
      <c r="J6" s="65" t="s">
        <v>31</v>
      </c>
      <c r="S6" s="79"/>
      <c r="T6" s="79"/>
    </row>
    <row r="7" spans="2:25">
      <c r="C7" s="67" t="s">
        <v>1</v>
      </c>
      <c r="D7" s="67" t="s">
        <v>2</v>
      </c>
      <c r="E7" s="67" t="s">
        <v>3</v>
      </c>
      <c r="F7" s="67" t="s">
        <v>4</v>
      </c>
      <c r="G7" s="67" t="s">
        <v>5</v>
      </c>
      <c r="H7" s="67" t="s">
        <v>7</v>
      </c>
      <c r="J7" s="67" t="s">
        <v>7</v>
      </c>
      <c r="Q7" s="79"/>
    </row>
    <row r="8" spans="2:25" ht="21.75" customHeight="1">
      <c r="T8" s="72"/>
    </row>
    <row r="9" spans="2:25">
      <c r="B9" s="68">
        <v>2025</v>
      </c>
      <c r="C9" s="71">
        <v>1749.0451184713907</v>
      </c>
      <c r="D9" s="345"/>
      <c r="E9" s="345">
        <v>40.397282965049193</v>
      </c>
      <c r="F9" s="345"/>
      <c r="G9" s="69"/>
      <c r="H9" s="69"/>
      <c r="J9" s="69"/>
      <c r="P9" s="71"/>
      <c r="T9" s="155"/>
    </row>
    <row r="10" spans="2:25">
      <c r="B10" s="68">
        <f t="shared" ref="B10:B44" si="0">B9+1</f>
        <v>2026</v>
      </c>
      <c r="C10" s="217">
        <f>$C$9*_xlfn.XLOOKUP(B10,'2025 IRPUpdt Assumptions'!$P$238:$P$258,'2025 IRPUpdt Assumptions'!$D$238:$D$258)</f>
        <v>1707.9425581873131</v>
      </c>
      <c r="D10" s="69"/>
      <c r="E10" s="218">
        <f t="shared" ref="E10:F25" si="1">E9*(1+Inflation)</f>
        <v>41.294102646873284</v>
      </c>
      <c r="F10" s="69"/>
      <c r="G10" s="69"/>
      <c r="J10" s="69"/>
      <c r="M10" s="69"/>
      <c r="N10" s="69"/>
      <c r="Q10" s="153"/>
      <c r="T10" s="155"/>
    </row>
    <row r="11" spans="2:25">
      <c r="B11" s="68">
        <f t="shared" si="0"/>
        <v>2027</v>
      </c>
      <c r="C11" s="217">
        <f>$C$9*_xlfn.XLOOKUP(B11,'2025 IRPUpdt Assumptions'!$P$238:$P$258,'2025 IRPUpdt Assumptions'!$D$238:$D$258)</f>
        <v>1684.8551626234907</v>
      </c>
      <c r="D11" s="69"/>
      <c r="E11" s="218">
        <f t="shared" si="1"/>
        <v>42.210831725633874</v>
      </c>
      <c r="F11" s="69"/>
      <c r="G11" s="69"/>
      <c r="H11" s="69"/>
      <c r="J11" s="69"/>
      <c r="M11" s="69"/>
      <c r="N11" s="69"/>
      <c r="T11" s="155"/>
      <c r="Y11" s="144"/>
    </row>
    <row r="12" spans="2:25">
      <c r="B12" s="68">
        <f t="shared" si="0"/>
        <v>2028</v>
      </c>
      <c r="C12" s="217">
        <f>$C$9*_xlfn.XLOOKUP(B12,'2025 IRPUpdt Assumptions'!$P$238:$P$258,'2025 IRPUpdt Assumptions'!$D$238:$D$258)</f>
        <v>1696.923573940943</v>
      </c>
      <c r="D12" s="69"/>
      <c r="E12" s="218">
        <f t="shared" si="1"/>
        <v>43.147912189942943</v>
      </c>
      <c r="F12" s="218"/>
      <c r="G12" s="69"/>
      <c r="H12" s="69"/>
      <c r="J12" s="69"/>
      <c r="L12" s="79"/>
      <c r="M12" s="69"/>
      <c r="N12" s="69"/>
      <c r="Q12" s="156"/>
      <c r="T12" s="155"/>
      <c r="U12" s="156"/>
    </row>
    <row r="13" spans="2:25">
      <c r="B13" s="68">
        <f t="shared" si="0"/>
        <v>2029</v>
      </c>
      <c r="C13" s="217">
        <f>$C$9*_xlfn.XLOOKUP(B13,'2025 IRPUpdt Assumptions'!$P$238:$P$258,'2025 IRPUpdt Assumptions'!$D$238:$D$258)</f>
        <v>1708.6421762347015</v>
      </c>
      <c r="D13" s="218"/>
      <c r="E13" s="218">
        <f t="shared" si="1"/>
        <v>44.105795840559679</v>
      </c>
      <c r="F13" s="218"/>
      <c r="G13" s="69"/>
      <c r="H13" s="69"/>
      <c r="J13" s="69"/>
      <c r="L13" s="79"/>
      <c r="M13" s="69"/>
      <c r="N13" s="69"/>
      <c r="Q13" s="156"/>
      <c r="S13" s="79"/>
      <c r="T13" s="155"/>
      <c r="U13" s="156"/>
    </row>
    <row r="14" spans="2:25">
      <c r="B14" s="68">
        <f t="shared" si="0"/>
        <v>2030</v>
      </c>
      <c r="C14" s="217">
        <f>$C$9*_xlfn.XLOOKUP(B14,'2025 IRPUpdt Assumptions'!$P$238:$P$258,'2025 IRPUpdt Assumptions'!$D$238:$D$258)</f>
        <v>1720.1858740166128</v>
      </c>
      <c r="D14" s="218"/>
      <c r="E14" s="218">
        <f t="shared" si="1"/>
        <v>45.084944508220104</v>
      </c>
      <c r="F14" s="218"/>
      <c r="G14" s="69"/>
      <c r="H14" s="69"/>
      <c r="J14" s="69"/>
      <c r="L14" s="79"/>
      <c r="M14" s="69"/>
      <c r="N14" s="69"/>
      <c r="Q14" s="156"/>
      <c r="R14" s="79"/>
      <c r="S14" s="79"/>
      <c r="T14" s="155"/>
      <c r="U14" s="156"/>
      <c r="V14" s="79"/>
    </row>
    <row r="15" spans="2:25">
      <c r="B15" s="68">
        <f t="shared" si="0"/>
        <v>2031</v>
      </c>
      <c r="C15" s="217">
        <f>$C$9*_xlfn.XLOOKUP(B15,'2025 IRPUpdt Assumptions'!$P$238:$P$258,'2025 IRPUpdt Assumptions'!$D$238:$D$258)</f>
        <v>1731.3797627748297</v>
      </c>
      <c r="D15" s="345">
        <f>C15*$C$60</f>
        <v>77.081027038735414</v>
      </c>
      <c r="E15" s="218">
        <f t="shared" si="1"/>
        <v>46.085830276302588</v>
      </c>
      <c r="F15" s="345">
        <f>$C$58</f>
        <v>0</v>
      </c>
      <c r="G15" s="69">
        <f t="shared" ref="G15:G44" si="2">(D15+E15+F15)</f>
        <v>123.166857315038</v>
      </c>
      <c r="H15" s="69">
        <f t="shared" ref="H15:H44" si="3">G15/12</f>
        <v>10.263904776253167</v>
      </c>
      <c r="J15" s="69">
        <f t="shared" ref="J15:J44" si="4">(D15+E15+F15)/(8.76*$C$61)</f>
        <v>84.360861174683563</v>
      </c>
      <c r="L15" s="79"/>
      <c r="M15" s="69"/>
      <c r="N15" s="69"/>
      <c r="Q15" s="156"/>
      <c r="R15" s="79"/>
      <c r="S15" s="79"/>
      <c r="T15" s="155"/>
      <c r="U15" s="156"/>
      <c r="V15" s="79"/>
      <c r="W15" s="79"/>
    </row>
    <row r="16" spans="2:25">
      <c r="B16" s="68">
        <f t="shared" si="0"/>
        <v>2032</v>
      </c>
      <c r="C16" s="71"/>
      <c r="D16" s="218">
        <f t="shared" ref="D16:F28" si="5">D15*(1+Inflation)</f>
        <v>78.792225838995336</v>
      </c>
      <c r="E16" s="218">
        <f t="shared" si="1"/>
        <v>47.108935708436505</v>
      </c>
      <c r="F16" s="218">
        <f t="shared" si="1"/>
        <v>0</v>
      </c>
      <c r="G16" s="69">
        <f t="shared" si="2"/>
        <v>125.90116154743184</v>
      </c>
      <c r="H16" s="69">
        <f t="shared" si="3"/>
        <v>10.491763462285986</v>
      </c>
      <c r="J16" s="69">
        <f t="shared" si="4"/>
        <v>86.23367229276154</v>
      </c>
      <c r="L16" s="79"/>
      <c r="M16" s="69"/>
      <c r="N16" s="69"/>
      <c r="Q16" s="156"/>
      <c r="R16" s="79"/>
      <c r="S16" s="79"/>
      <c r="T16" s="155"/>
      <c r="U16" s="156"/>
      <c r="V16" s="79"/>
      <c r="W16" s="79"/>
    </row>
    <row r="17" spans="2:23">
      <c r="B17" s="68">
        <f t="shared" si="0"/>
        <v>2033</v>
      </c>
      <c r="C17" s="71"/>
      <c r="D17" s="218">
        <f t="shared" si="5"/>
        <v>80.541413252621027</v>
      </c>
      <c r="E17" s="218">
        <f t="shared" si="1"/>
        <v>48.154754081163794</v>
      </c>
      <c r="F17" s="218">
        <f t="shared" si="1"/>
        <v>0</v>
      </c>
      <c r="G17" s="69">
        <f t="shared" si="2"/>
        <v>128.69616733378481</v>
      </c>
      <c r="H17" s="69">
        <f t="shared" si="3"/>
        <v>10.724680611148734</v>
      </c>
      <c r="J17" s="69">
        <f t="shared" si="4"/>
        <v>88.148059817660837</v>
      </c>
      <c r="L17" s="79"/>
      <c r="M17" s="69"/>
      <c r="N17" s="69"/>
      <c r="P17" s="79"/>
      <c r="R17" s="79"/>
      <c r="S17" s="79"/>
      <c r="U17" s="79"/>
      <c r="V17" s="79"/>
      <c r="W17" s="79"/>
    </row>
    <row r="18" spans="2:23">
      <c r="B18" s="68">
        <f t="shared" si="0"/>
        <v>2034</v>
      </c>
      <c r="C18" s="71"/>
      <c r="D18" s="218">
        <f t="shared" si="5"/>
        <v>82.329432626829217</v>
      </c>
      <c r="E18" s="218">
        <f t="shared" si="1"/>
        <v>49.223789621765633</v>
      </c>
      <c r="F18" s="218">
        <f t="shared" si="1"/>
        <v>0</v>
      </c>
      <c r="G18" s="69">
        <f t="shared" si="2"/>
        <v>131.55322224859486</v>
      </c>
      <c r="H18" s="69">
        <f t="shared" si="3"/>
        <v>10.962768520716239</v>
      </c>
      <c r="J18" s="69">
        <f t="shared" si="4"/>
        <v>90.104946745612921</v>
      </c>
      <c r="L18" s="79"/>
      <c r="M18" s="69"/>
      <c r="N18" s="69"/>
      <c r="P18" s="79"/>
      <c r="R18" s="79"/>
      <c r="S18" s="79"/>
      <c r="U18" s="79"/>
      <c r="V18" s="79"/>
      <c r="W18" s="79"/>
    </row>
    <row r="19" spans="2:23">
      <c r="B19" s="68">
        <f t="shared" si="0"/>
        <v>2035</v>
      </c>
      <c r="C19" s="71"/>
      <c r="D19" s="218">
        <f t="shared" si="5"/>
        <v>84.157146031144819</v>
      </c>
      <c r="E19" s="218">
        <f t="shared" si="1"/>
        <v>50.316557751368826</v>
      </c>
      <c r="F19" s="218">
        <f t="shared" si="1"/>
        <v>0</v>
      </c>
      <c r="G19" s="69">
        <f t="shared" si="2"/>
        <v>134.47370378251364</v>
      </c>
      <c r="H19" s="69">
        <f t="shared" si="3"/>
        <v>11.206141981876137</v>
      </c>
      <c r="J19" s="69">
        <f t="shared" si="4"/>
        <v>92.105276563365507</v>
      </c>
      <c r="L19" s="79"/>
      <c r="M19" s="69"/>
      <c r="N19" s="69"/>
      <c r="P19" s="79"/>
      <c r="R19" s="79"/>
      <c r="S19" s="79"/>
      <c r="U19" s="79"/>
      <c r="V19" s="79"/>
      <c r="W19" s="79"/>
    </row>
    <row r="20" spans="2:23">
      <c r="B20" s="68">
        <f t="shared" si="0"/>
        <v>2036</v>
      </c>
      <c r="C20" s="71"/>
      <c r="D20" s="218">
        <f t="shared" si="5"/>
        <v>86.02543467303623</v>
      </c>
      <c r="E20" s="218">
        <f t="shared" si="1"/>
        <v>51.433585333449216</v>
      </c>
      <c r="F20" s="218">
        <f t="shared" si="1"/>
        <v>0</v>
      </c>
      <c r="G20" s="69">
        <f t="shared" si="2"/>
        <v>137.45902000648545</v>
      </c>
      <c r="H20" s="69">
        <f t="shared" si="3"/>
        <v>11.454918333873787</v>
      </c>
      <c r="J20" s="69">
        <f t="shared" si="4"/>
        <v>94.150013703072219</v>
      </c>
      <c r="L20" s="79"/>
      <c r="M20" s="69"/>
      <c r="N20" s="69"/>
      <c r="P20" s="79"/>
      <c r="R20" s="79"/>
      <c r="S20" s="79"/>
      <c r="U20" s="79"/>
      <c r="V20" s="79"/>
      <c r="W20" s="79"/>
    </row>
    <row r="21" spans="2:23">
      <c r="B21" s="68">
        <f t="shared" si="0"/>
        <v>2037</v>
      </c>
      <c r="C21" s="71"/>
      <c r="D21" s="218">
        <f t="shared" si="5"/>
        <v>87.935199322777635</v>
      </c>
      <c r="E21" s="218">
        <f t="shared" si="1"/>
        <v>52.575410927851792</v>
      </c>
      <c r="F21" s="218">
        <f t="shared" si="1"/>
        <v>0</v>
      </c>
      <c r="G21" s="69">
        <f t="shared" si="2"/>
        <v>140.51061025062944</v>
      </c>
      <c r="H21" s="69">
        <f t="shared" si="3"/>
        <v>11.709217520885787</v>
      </c>
      <c r="J21" s="69">
        <f t="shared" si="4"/>
        <v>96.240144007280435</v>
      </c>
      <c r="L21" s="79"/>
      <c r="M21" s="69"/>
      <c r="N21" s="69"/>
      <c r="P21" s="79"/>
      <c r="R21" s="79"/>
      <c r="S21" s="79"/>
      <c r="U21" s="79"/>
      <c r="V21" s="79"/>
      <c r="W21" s="79"/>
    </row>
    <row r="22" spans="2:23">
      <c r="B22" s="68">
        <f t="shared" si="0"/>
        <v>2038</v>
      </c>
      <c r="C22" s="71"/>
      <c r="D22" s="218">
        <f t="shared" si="5"/>
        <v>89.887360747743301</v>
      </c>
      <c r="E22" s="218">
        <f t="shared" si="1"/>
        <v>53.742585050450103</v>
      </c>
      <c r="F22" s="218">
        <f t="shared" si="1"/>
        <v>0</v>
      </c>
      <c r="G22" s="69">
        <f t="shared" si="2"/>
        <v>143.6299457981934</v>
      </c>
      <c r="H22" s="69">
        <f t="shared" si="3"/>
        <v>11.969162149849451</v>
      </c>
      <c r="J22" s="69">
        <f t="shared" si="4"/>
        <v>98.376675204242062</v>
      </c>
      <c r="L22" s="79"/>
      <c r="M22" s="69"/>
      <c r="N22" s="69"/>
      <c r="P22" s="79"/>
      <c r="R22" s="79"/>
      <c r="S22" s="79"/>
      <c r="U22" s="79"/>
      <c r="V22" s="79"/>
      <c r="W22" s="79"/>
    </row>
    <row r="23" spans="2:23">
      <c r="B23" s="68">
        <f t="shared" si="0"/>
        <v>2039</v>
      </c>
      <c r="C23" s="71"/>
      <c r="D23" s="218">
        <f t="shared" si="5"/>
        <v>91.882860156343199</v>
      </c>
      <c r="E23" s="218">
        <f t="shared" si="1"/>
        <v>54.935670438570092</v>
      </c>
      <c r="F23" s="218">
        <f t="shared" si="1"/>
        <v>0</v>
      </c>
      <c r="G23" s="69">
        <f t="shared" si="2"/>
        <v>146.81853059491328</v>
      </c>
      <c r="H23" s="69">
        <f t="shared" si="3"/>
        <v>12.234877549576106</v>
      </c>
      <c r="J23" s="69">
        <f t="shared" si="4"/>
        <v>100.56063739377622</v>
      </c>
      <c r="L23" s="79"/>
      <c r="M23" s="69"/>
      <c r="N23" s="69"/>
      <c r="P23" s="79"/>
      <c r="R23" s="79"/>
      <c r="S23" s="79"/>
      <c r="U23" s="79"/>
      <c r="V23" s="79"/>
      <c r="W23" s="79"/>
    </row>
    <row r="24" spans="2:23">
      <c r="B24" s="68">
        <f t="shared" si="0"/>
        <v>2040</v>
      </c>
      <c r="C24" s="71"/>
      <c r="D24" s="218">
        <f t="shared" si="5"/>
        <v>93.922659651814016</v>
      </c>
      <c r="E24" s="218">
        <f t="shared" si="1"/>
        <v>56.15524232230635</v>
      </c>
      <c r="F24" s="218">
        <f t="shared" si="1"/>
        <v>0</v>
      </c>
      <c r="G24" s="69">
        <f t="shared" si="2"/>
        <v>150.07790197412038</v>
      </c>
      <c r="H24" s="69">
        <f t="shared" si="3"/>
        <v>12.506491831176698</v>
      </c>
      <c r="J24" s="69">
        <f t="shared" si="4"/>
        <v>102.79308354391807</v>
      </c>
      <c r="L24" s="79"/>
      <c r="M24" s="69"/>
      <c r="N24" s="69"/>
      <c r="P24" s="79"/>
      <c r="R24" s="79"/>
      <c r="S24" s="79"/>
      <c r="U24" s="79"/>
      <c r="V24" s="79"/>
      <c r="W24" s="79"/>
    </row>
    <row r="25" spans="2:23">
      <c r="B25" s="68">
        <f t="shared" si="0"/>
        <v>2041</v>
      </c>
      <c r="C25" s="71"/>
      <c r="D25" s="218">
        <f t="shared" si="5"/>
        <v>96.007742696084293</v>
      </c>
      <c r="E25" s="218">
        <f t="shared" si="1"/>
        <v>57.401888701861552</v>
      </c>
      <c r="F25" s="218">
        <f t="shared" si="1"/>
        <v>0</v>
      </c>
      <c r="G25" s="69">
        <f t="shared" si="2"/>
        <v>153.40963139794584</v>
      </c>
      <c r="H25" s="69">
        <f t="shared" si="3"/>
        <v>12.784135949828821</v>
      </c>
      <c r="J25" s="69">
        <f t="shared" si="4"/>
        <v>105.07508999859304</v>
      </c>
      <c r="L25" s="79"/>
      <c r="M25" s="69"/>
      <c r="N25" s="69"/>
      <c r="P25" s="79"/>
      <c r="R25" s="79"/>
      <c r="S25" s="79"/>
      <c r="U25" s="79"/>
      <c r="V25" s="79"/>
      <c r="W25" s="79"/>
    </row>
    <row r="26" spans="2:23">
      <c r="B26" s="68">
        <f t="shared" si="0"/>
        <v>2042</v>
      </c>
      <c r="C26" s="71"/>
      <c r="D26" s="218">
        <f t="shared" si="5"/>
        <v>98.139114583937371</v>
      </c>
      <c r="E26" s="218">
        <f t="shared" si="5"/>
        <v>58.676210631042878</v>
      </c>
      <c r="F26" s="218">
        <f t="shared" si="5"/>
        <v>0</v>
      </c>
      <c r="G26" s="69">
        <f t="shared" si="2"/>
        <v>156.81532521498025</v>
      </c>
      <c r="H26" s="69">
        <f t="shared" si="3"/>
        <v>13.06794376791502</v>
      </c>
      <c r="J26" s="69">
        <f t="shared" si="4"/>
        <v>107.40775699656182</v>
      </c>
      <c r="L26" s="79"/>
      <c r="M26" s="69"/>
      <c r="N26" s="69"/>
    </row>
    <row r="27" spans="2:23">
      <c r="B27" s="68">
        <f t="shared" si="0"/>
        <v>2043</v>
      </c>
      <c r="C27" s="71"/>
      <c r="D27" s="218">
        <f t="shared" si="5"/>
        <v>100.31780292770078</v>
      </c>
      <c r="E27" s="218">
        <f t="shared" si="5"/>
        <v>59.97882250705203</v>
      </c>
      <c r="F27" s="218">
        <f t="shared" si="5"/>
        <v>0</v>
      </c>
      <c r="G27" s="69">
        <f t="shared" si="2"/>
        <v>160.2966254347528</v>
      </c>
      <c r="H27" s="69">
        <f t="shared" si="3"/>
        <v>13.358052119562734</v>
      </c>
      <c r="J27" s="69">
        <f t="shared" si="4"/>
        <v>109.79220920188548</v>
      </c>
      <c r="L27" s="79"/>
      <c r="M27" s="69"/>
      <c r="N27" s="69"/>
    </row>
    <row r="28" spans="2:23">
      <c r="B28" s="68">
        <f t="shared" si="0"/>
        <v>2044</v>
      </c>
      <c r="C28" s="71"/>
      <c r="D28" s="218">
        <f t="shared" si="5"/>
        <v>102.54485815269574</v>
      </c>
      <c r="E28" s="218">
        <f t="shared" si="5"/>
        <v>61.310352366708585</v>
      </c>
      <c r="F28" s="218">
        <f t="shared" si="5"/>
        <v>0</v>
      </c>
      <c r="G28" s="69">
        <f t="shared" si="2"/>
        <v>163.85521051940432</v>
      </c>
      <c r="H28" s="69">
        <f t="shared" si="3"/>
        <v>13.654600876617026</v>
      </c>
      <c r="J28" s="69">
        <f t="shared" si="4"/>
        <v>112.22959624616735</v>
      </c>
      <c r="L28" s="79"/>
      <c r="M28" s="69"/>
      <c r="N28" s="69"/>
    </row>
    <row r="29" spans="2:23">
      <c r="B29" s="68">
        <f t="shared" si="0"/>
        <v>2045</v>
      </c>
      <c r="C29" s="71"/>
      <c r="D29" s="218">
        <f t="shared" ref="D29:F44" si="6">D28*(1+Inflation)</f>
        <v>104.82135400368558</v>
      </c>
      <c r="E29" s="218">
        <f t="shared" si="6"/>
        <v>62.671442189249518</v>
      </c>
      <c r="F29" s="218">
        <f t="shared" si="6"/>
        <v>0</v>
      </c>
      <c r="G29" s="69">
        <f t="shared" si="2"/>
        <v>167.49279619293509</v>
      </c>
      <c r="H29" s="69">
        <f t="shared" si="3"/>
        <v>13.957733016077924</v>
      </c>
      <c r="J29" s="69">
        <f t="shared" si="4"/>
        <v>114.72109328283226</v>
      </c>
      <c r="L29" s="79"/>
      <c r="M29" s="69"/>
      <c r="N29" s="69"/>
    </row>
    <row r="30" spans="2:23">
      <c r="B30" s="68">
        <f t="shared" si="0"/>
        <v>2046</v>
      </c>
      <c r="C30" s="71"/>
      <c r="D30" s="218">
        <f t="shared" si="6"/>
        <v>107.14838806256741</v>
      </c>
      <c r="E30" s="218">
        <f t="shared" si="6"/>
        <v>64.062748205850852</v>
      </c>
      <c r="F30" s="218">
        <f t="shared" si="6"/>
        <v>0</v>
      </c>
      <c r="G30" s="69">
        <f t="shared" si="2"/>
        <v>171.21113626841827</v>
      </c>
      <c r="H30" s="69">
        <f t="shared" si="3"/>
        <v>14.267594689034857</v>
      </c>
      <c r="J30" s="69">
        <f t="shared" si="4"/>
        <v>117.26790155371116</v>
      </c>
      <c r="L30" s="79"/>
      <c r="M30" s="69"/>
      <c r="N30" s="69"/>
    </row>
    <row r="31" spans="2:23">
      <c r="B31" s="68">
        <f t="shared" si="0"/>
        <v>2047</v>
      </c>
      <c r="C31" s="71"/>
      <c r="D31" s="218">
        <f t="shared" si="6"/>
        <v>109.5270822775564</v>
      </c>
      <c r="E31" s="218">
        <f t="shared" si="6"/>
        <v>65.484941216020744</v>
      </c>
      <c r="F31" s="218">
        <f t="shared" si="6"/>
        <v>0</v>
      </c>
      <c r="G31" s="69">
        <f t="shared" si="2"/>
        <v>175.01202349357715</v>
      </c>
      <c r="H31" s="69">
        <f t="shared" si="3"/>
        <v>14.584335291131429</v>
      </c>
      <c r="J31" s="69">
        <f t="shared" si="4"/>
        <v>119.87124896820353</v>
      </c>
      <c r="L31" s="79"/>
      <c r="M31" s="69"/>
      <c r="N31" s="69"/>
    </row>
    <row r="32" spans="2:23">
      <c r="B32" s="68">
        <f t="shared" si="0"/>
        <v>2048</v>
      </c>
      <c r="C32" s="71"/>
      <c r="D32" s="218">
        <f t="shared" si="6"/>
        <v>111.95858350411815</v>
      </c>
      <c r="E32" s="218">
        <f t="shared" si="6"/>
        <v>66.938706911016411</v>
      </c>
      <c r="F32" s="218">
        <f t="shared" si="6"/>
        <v>0</v>
      </c>
      <c r="G32" s="69">
        <f t="shared" si="2"/>
        <v>178.89729041513456</v>
      </c>
      <c r="H32" s="69">
        <f t="shared" si="3"/>
        <v>14.908107534594548</v>
      </c>
      <c r="J32" s="69">
        <f t="shared" si="4"/>
        <v>122.53239069529765</v>
      </c>
      <c r="L32" s="79"/>
      <c r="M32" s="69"/>
      <c r="N32" s="69"/>
    </row>
    <row r="33" spans="2:14">
      <c r="B33" s="68">
        <f t="shared" si="0"/>
        <v>2049</v>
      </c>
      <c r="C33" s="71"/>
      <c r="D33" s="218">
        <f t="shared" si="6"/>
        <v>114.44406405790957</v>
      </c>
      <c r="E33" s="218">
        <f t="shared" si="6"/>
        <v>68.424746204440979</v>
      </c>
      <c r="F33" s="218">
        <f t="shared" si="6"/>
        <v>0</v>
      </c>
      <c r="G33" s="69">
        <f t="shared" si="2"/>
        <v>182.86881026235056</v>
      </c>
      <c r="H33" s="69">
        <f t="shared" si="3"/>
        <v>15.239067521862546</v>
      </c>
      <c r="J33" s="69">
        <f t="shared" si="4"/>
        <v>125.25260976873327</v>
      </c>
      <c r="L33" s="79"/>
      <c r="M33" s="69"/>
      <c r="N33" s="69"/>
    </row>
    <row r="34" spans="2:14">
      <c r="B34" s="68">
        <f t="shared" si="0"/>
        <v>2050</v>
      </c>
      <c r="C34" s="71"/>
      <c r="D34" s="218">
        <f t="shared" si="6"/>
        <v>116.98472227999517</v>
      </c>
      <c r="E34" s="218">
        <f t="shared" si="6"/>
        <v>69.943775570179568</v>
      </c>
      <c r="F34" s="218">
        <f t="shared" si="6"/>
        <v>0</v>
      </c>
      <c r="G34" s="69">
        <f t="shared" si="2"/>
        <v>186.92849785017472</v>
      </c>
      <c r="H34" s="69">
        <f t="shared" si="3"/>
        <v>15.577374820847893</v>
      </c>
      <c r="J34" s="69">
        <f t="shared" si="4"/>
        <v>128.03321770559913</v>
      </c>
      <c r="L34" s="79"/>
      <c r="M34" s="69"/>
      <c r="N34" s="69"/>
    </row>
    <row r="35" spans="2:14">
      <c r="B35" s="68">
        <f t="shared" si="0"/>
        <v>2051</v>
      </c>
      <c r="C35" s="71"/>
      <c r="D35" s="218">
        <f t="shared" si="6"/>
        <v>119.58178311461106</v>
      </c>
      <c r="E35" s="218">
        <f t="shared" si="6"/>
        <v>71.49652738783756</v>
      </c>
      <c r="F35" s="218">
        <f t="shared" si="6"/>
        <v>0</v>
      </c>
      <c r="G35" s="69">
        <f t="shared" si="2"/>
        <v>191.07831050244863</v>
      </c>
      <c r="H35" s="69">
        <f t="shared" si="3"/>
        <v>15.923192541870719</v>
      </c>
      <c r="J35" s="69">
        <f t="shared" si="4"/>
        <v>130.87555513866346</v>
      </c>
      <c r="L35" s="79"/>
      <c r="M35" s="69"/>
      <c r="N35" s="69"/>
    </row>
    <row r="36" spans="2:14">
      <c r="B36" s="68">
        <f t="shared" si="0"/>
        <v>2052</v>
      </c>
      <c r="C36" s="71"/>
      <c r="D36" s="218">
        <f t="shared" si="6"/>
        <v>122.23649869975542</v>
      </c>
      <c r="E36" s="218">
        <f t="shared" si="6"/>
        <v>73.083750295847551</v>
      </c>
      <c r="F36" s="218">
        <f t="shared" si="6"/>
        <v>0</v>
      </c>
      <c r="G36" s="69">
        <f t="shared" si="2"/>
        <v>195.32024899560298</v>
      </c>
      <c r="H36" s="69">
        <f t="shared" si="3"/>
        <v>16.276687416300248</v>
      </c>
      <c r="J36" s="69">
        <f t="shared" si="4"/>
        <v>133.78099246274178</v>
      </c>
      <c r="L36" s="79"/>
      <c r="M36" s="69"/>
      <c r="N36" s="69"/>
    </row>
    <row r="37" spans="2:14">
      <c r="B37" s="68">
        <f t="shared" si="0"/>
        <v>2053</v>
      </c>
      <c r="C37" s="71"/>
      <c r="D37" s="218">
        <f t="shared" si="6"/>
        <v>124.95014897088998</v>
      </c>
      <c r="E37" s="218">
        <f t="shared" si="6"/>
        <v>74.706209552415373</v>
      </c>
      <c r="F37" s="218">
        <f t="shared" si="6"/>
        <v>0</v>
      </c>
      <c r="G37" s="69">
        <f t="shared" si="2"/>
        <v>199.65635852330536</v>
      </c>
      <c r="H37" s="69">
        <f t="shared" si="3"/>
        <v>16.638029876942113</v>
      </c>
      <c r="J37" s="69">
        <f t="shared" si="4"/>
        <v>136.75093049541462</v>
      </c>
      <c r="L37" s="79"/>
      <c r="M37" s="69"/>
      <c r="N37" s="69"/>
    </row>
    <row r="38" spans="2:14">
      <c r="B38" s="68">
        <f t="shared" si="0"/>
        <v>2054</v>
      </c>
      <c r="C38" s="71"/>
      <c r="D38" s="218">
        <f t="shared" si="6"/>
        <v>127.72404227804374</v>
      </c>
      <c r="E38" s="218">
        <f t="shared" si="6"/>
        <v>76.364687404479</v>
      </c>
      <c r="F38" s="218">
        <f t="shared" si="6"/>
        <v>0</v>
      </c>
      <c r="G38" s="69">
        <f t="shared" si="2"/>
        <v>204.08872968252274</v>
      </c>
      <c r="H38" s="69">
        <f t="shared" si="3"/>
        <v>17.007394140210227</v>
      </c>
      <c r="J38" s="69">
        <f t="shared" si="4"/>
        <v>139.78680115241283</v>
      </c>
      <c r="L38" s="79"/>
      <c r="M38" s="69"/>
      <c r="N38" s="69"/>
    </row>
    <row r="39" spans="2:14">
      <c r="B39" s="68">
        <f t="shared" si="0"/>
        <v>2055</v>
      </c>
      <c r="C39" s="71"/>
      <c r="D39" s="218">
        <f t="shared" si="6"/>
        <v>130.5595160166163</v>
      </c>
      <c r="E39" s="218">
        <f t="shared" si="6"/>
        <v>78.059983464858433</v>
      </c>
      <c r="F39" s="218">
        <f t="shared" si="6"/>
        <v>0</v>
      </c>
      <c r="G39" s="69">
        <f t="shared" si="2"/>
        <v>208.61949948147475</v>
      </c>
      <c r="H39" s="69">
        <f t="shared" si="3"/>
        <v>17.384958290122896</v>
      </c>
      <c r="J39" s="69">
        <f t="shared" si="4"/>
        <v>142.89006813799639</v>
      </c>
      <c r="L39" s="79"/>
      <c r="M39" s="69"/>
      <c r="N39" s="69"/>
    </row>
    <row r="40" spans="2:14">
      <c r="B40" s="68">
        <f t="shared" si="0"/>
        <v>2056</v>
      </c>
      <c r="C40" s="71"/>
      <c r="D40" s="218">
        <f t="shared" si="6"/>
        <v>133.45793727218518</v>
      </c>
      <c r="E40" s="218">
        <f t="shared" si="6"/>
        <v>79.792915097778291</v>
      </c>
      <c r="F40" s="218">
        <f t="shared" si="6"/>
        <v>0</v>
      </c>
      <c r="G40" s="69">
        <f t="shared" si="2"/>
        <v>213.25085236996347</v>
      </c>
      <c r="H40" s="69">
        <f t="shared" si="3"/>
        <v>17.770904364163624</v>
      </c>
      <c r="J40" s="69">
        <f t="shared" si="4"/>
        <v>146.06222765065991</v>
      </c>
      <c r="L40" s="79"/>
      <c r="M40" s="69"/>
      <c r="N40" s="69"/>
    </row>
    <row r="41" spans="2:14">
      <c r="B41" s="68">
        <f t="shared" si="0"/>
        <v>2057</v>
      </c>
      <c r="C41" s="71"/>
      <c r="D41" s="218">
        <f t="shared" si="6"/>
        <v>136.42070347962769</v>
      </c>
      <c r="E41" s="218">
        <f t="shared" si="6"/>
        <v>81.564317812948971</v>
      </c>
      <c r="F41" s="218">
        <f t="shared" si="6"/>
        <v>0</v>
      </c>
      <c r="G41" s="69">
        <f t="shared" si="2"/>
        <v>217.98502129257668</v>
      </c>
      <c r="H41" s="69">
        <f t="shared" si="3"/>
        <v>18.165418441048057</v>
      </c>
      <c r="J41" s="69">
        <f t="shared" si="4"/>
        <v>149.30480910450459</v>
      </c>
      <c r="L41" s="79"/>
      <c r="M41" s="69"/>
      <c r="N41" s="69"/>
    </row>
    <row r="42" spans="2:14">
      <c r="B42" s="68">
        <f t="shared" si="0"/>
        <v>2058</v>
      </c>
      <c r="C42" s="71"/>
      <c r="D42" s="218">
        <f t="shared" si="6"/>
        <v>139.44924309687542</v>
      </c>
      <c r="E42" s="218">
        <f t="shared" si="6"/>
        <v>83.375045668396439</v>
      </c>
      <c r="F42" s="218">
        <f t="shared" si="6"/>
        <v>0</v>
      </c>
      <c r="G42" s="69">
        <f t="shared" si="2"/>
        <v>222.82428876527186</v>
      </c>
      <c r="H42" s="69">
        <f t="shared" si="3"/>
        <v>18.568690730439322</v>
      </c>
      <c r="J42" s="69">
        <f t="shared" si="4"/>
        <v>152.61937586662455</v>
      </c>
      <c r="L42" s="79"/>
      <c r="M42" s="69"/>
      <c r="N42" s="69"/>
    </row>
    <row r="43" spans="2:14">
      <c r="B43" s="68">
        <f t="shared" si="0"/>
        <v>2059</v>
      </c>
      <c r="C43" s="71"/>
      <c r="D43" s="218">
        <f t="shared" si="6"/>
        <v>142.54501629362605</v>
      </c>
      <c r="E43" s="218">
        <f t="shared" si="6"/>
        <v>85.225971682234842</v>
      </c>
      <c r="F43" s="218">
        <f t="shared" si="6"/>
        <v>0</v>
      </c>
      <c r="G43" s="69">
        <f t="shared" si="2"/>
        <v>227.77098797586089</v>
      </c>
      <c r="H43" s="69">
        <f t="shared" si="3"/>
        <v>18.980915664655075</v>
      </c>
      <c r="J43" s="69">
        <f t="shared" si="4"/>
        <v>156.00752601086361</v>
      </c>
      <c r="L43" s="79"/>
      <c r="M43" s="69"/>
      <c r="N43" s="69"/>
    </row>
    <row r="44" spans="2:14">
      <c r="B44" s="68">
        <f t="shared" si="0"/>
        <v>2060</v>
      </c>
      <c r="C44" s="71"/>
      <c r="D44" s="218">
        <f t="shared" si="6"/>
        <v>145.70951565534455</v>
      </c>
      <c r="E44" s="218">
        <f t="shared" si="6"/>
        <v>87.11798825358045</v>
      </c>
      <c r="F44" s="218">
        <f t="shared" si="6"/>
        <v>0</v>
      </c>
      <c r="G44" s="69">
        <f t="shared" si="2"/>
        <v>232.827503908925</v>
      </c>
      <c r="H44" s="69">
        <f t="shared" si="3"/>
        <v>19.402291992410415</v>
      </c>
      <c r="J44" s="69">
        <f t="shared" si="4"/>
        <v>159.47089308830479</v>
      </c>
      <c r="L44" s="79"/>
      <c r="M44" s="69"/>
      <c r="N44" s="69"/>
    </row>
    <row r="45" spans="2:14">
      <c r="B45" s="68"/>
      <c r="C45" s="71"/>
      <c r="D45" s="218"/>
      <c r="E45" s="218"/>
      <c r="F45" s="218"/>
      <c r="G45" s="69"/>
      <c r="H45" s="69"/>
      <c r="J45" s="69"/>
      <c r="L45" s="79"/>
      <c r="M45" s="69"/>
      <c r="N45" s="69"/>
    </row>
    <row r="46" spans="2:14">
      <c r="B46" s="68"/>
      <c r="C46" s="71"/>
      <c r="D46" s="69"/>
      <c r="E46" s="69"/>
      <c r="F46" s="202"/>
      <c r="G46" s="69"/>
      <c r="J46" s="69"/>
      <c r="L46" s="79"/>
      <c r="M46" s="69"/>
      <c r="N46" s="69"/>
    </row>
    <row r="47" spans="2:14">
      <c r="B47" s="68" t="s">
        <v>308</v>
      </c>
      <c r="C47" s="71"/>
      <c r="D47" s="69"/>
      <c r="E47" s="69"/>
      <c r="F47" s="69"/>
      <c r="G47" s="69"/>
      <c r="H47" s="69"/>
      <c r="J47" s="69"/>
    </row>
    <row r="48" spans="2:14">
      <c r="C48" s="71"/>
      <c r="D48" s="341">
        <f>-PMT(Discount_Rate,COUNT(D$15:D$34),NPV(Discount_Rate,D$15:D$34))</f>
        <v>91.587300410707797</v>
      </c>
      <c r="E48" s="341">
        <f>-PMT(Discount_Rate,COUNT(E$15:E$34),NPV(Discount_Rate,E$15:E$34))</f>
        <v>54.758958778163482</v>
      </c>
      <c r="F48" s="342"/>
      <c r="G48" s="341">
        <f>-PMT(Discount_Rate,COUNT(G$15:G$34),NPV(Discount_Rate,G$15:G$34))</f>
        <v>146.34625918887133</v>
      </c>
      <c r="H48" s="341">
        <f>-PMT(Discount_Rate,COUNT(H$15:H$34),NPV(Discount_Rate,H$15:H$34))</f>
        <v>12.195521599072608</v>
      </c>
      <c r="I48" s="343"/>
      <c r="J48" s="341">
        <f>-PMT(Discount_Rate,COUNT(J$15:J$34),NPV(Discount_Rate,J$15:J$34))</f>
        <v>100.23716382799405</v>
      </c>
    </row>
    <row r="49" spans="2:16" ht="14.25">
      <c r="B49" s="74" t="s">
        <v>25</v>
      </c>
      <c r="C49" s="75"/>
      <c r="D49" s="75"/>
      <c r="E49" s="75"/>
      <c r="F49" s="75"/>
      <c r="H49" s="79"/>
      <c r="J49" s="75"/>
    </row>
    <row r="51" spans="2:16">
      <c r="B51" s="61" t="s">
        <v>59</v>
      </c>
      <c r="C51" s="76" t="s">
        <v>3</v>
      </c>
      <c r="D51" s="146" t="s">
        <v>296</v>
      </c>
    </row>
    <row r="52" spans="2:16">
      <c r="C52" s="76" t="str">
        <f>C7</f>
        <v>(a)</v>
      </c>
      <c r="D52" s="61" t="s">
        <v>61</v>
      </c>
    </row>
    <row r="53" spans="2:16">
      <c r="C53" s="76" t="str">
        <f>D7</f>
        <v>(b)</v>
      </c>
      <c r="D53" s="70" t="str">
        <f>"= "&amp;C7&amp;" x "&amp;C60</f>
        <v>= (a) x 0.04452</v>
      </c>
    </row>
    <row r="54" spans="2:16">
      <c r="C54" s="76"/>
      <c r="D54" s="70"/>
    </row>
    <row r="55" spans="2:16">
      <c r="C55" s="76"/>
      <c r="D55" s="70"/>
    </row>
    <row r="56" spans="2:16">
      <c r="C56" s="76"/>
      <c r="D56"/>
    </row>
    <row r="57" spans="2:16">
      <c r="C57" s="144">
        <v>20</v>
      </c>
      <c r="D57" s="61" t="s">
        <v>140</v>
      </c>
      <c r="M57" s="61" t="s">
        <v>80</v>
      </c>
      <c r="N57" s="68">
        <v>2028</v>
      </c>
      <c r="P57" s="153" t="s">
        <v>304</v>
      </c>
    </row>
    <row r="58" spans="2:16">
      <c r="B58"/>
      <c r="C58" s="79">
        <v>0</v>
      </c>
      <c r="D58" s="61" t="s">
        <v>83</v>
      </c>
      <c r="L58" s="143"/>
      <c r="P58" s="153"/>
    </row>
    <row r="59" spans="2:16">
      <c r="B59"/>
      <c r="C59" s="77"/>
      <c r="M59" s="61" t="s">
        <v>145</v>
      </c>
      <c r="N59" s="143">
        <v>34.455799999999996</v>
      </c>
    </row>
    <row r="60" spans="2:16">
      <c r="C60" s="151">
        <v>4.4519999999999997E-2</v>
      </c>
      <c r="D60" s="61" t="s">
        <v>305</v>
      </c>
      <c r="E60" s="148"/>
      <c r="H60" s="81"/>
      <c r="I60" s="81"/>
      <c r="L60" s="82"/>
    </row>
    <row r="61" spans="2:16">
      <c r="C61" s="157">
        <v>0.16666666666666666</v>
      </c>
      <c r="D61" s="61" t="s">
        <v>15</v>
      </c>
    </row>
    <row r="62" spans="2:16">
      <c r="C62" s="157"/>
      <c r="D62" s="80"/>
      <c r="J62" s="346"/>
    </row>
    <row r="63" spans="2:16">
      <c r="C63" s="152"/>
    </row>
    <row r="64" spans="2:16" ht="15">
      <c r="C64" s="105"/>
      <c r="D64" s="105"/>
      <c r="E64" s="105"/>
      <c r="F64" s="105"/>
      <c r="G64" s="198"/>
      <c r="J64" s="68"/>
    </row>
    <row r="65" spans="3:10" ht="15">
      <c r="C65" s="198"/>
      <c r="D65" s="105"/>
      <c r="E65" s="195"/>
      <c r="F65" s="203"/>
      <c r="G65" s="198"/>
      <c r="J65" s="68"/>
    </row>
    <row r="66" spans="3:10" ht="15">
      <c r="C66" s="198"/>
      <c r="D66" s="105"/>
      <c r="E66" s="195"/>
      <c r="F66" s="203"/>
      <c r="G66" s="198"/>
      <c r="J66" s="68"/>
    </row>
    <row r="67" spans="3:10" ht="15">
      <c r="C67" s="198"/>
      <c r="D67" s="105"/>
      <c r="E67" s="195"/>
      <c r="F67" s="203"/>
      <c r="G67" s="198"/>
      <c r="J67" s="68"/>
    </row>
    <row r="68" spans="3:10" ht="15">
      <c r="C68" s="198"/>
      <c r="D68" s="105"/>
      <c r="E68" s="195"/>
      <c r="F68" s="203"/>
      <c r="G68" s="198"/>
      <c r="J68" s="68"/>
    </row>
    <row r="69" spans="3:10" ht="15">
      <c r="C69" s="198"/>
      <c r="D69" s="105"/>
      <c r="E69" s="195"/>
      <c r="F69" s="203"/>
      <c r="G69" s="198"/>
      <c r="J69" s="68"/>
    </row>
    <row r="70" spans="3:10" ht="15">
      <c r="C70" s="198"/>
      <c r="D70" s="105"/>
      <c r="E70" s="195"/>
      <c r="F70" s="203"/>
      <c r="G70" s="198"/>
      <c r="J70" s="68"/>
    </row>
    <row r="71" spans="3:10" ht="15">
      <c r="C71" s="198"/>
      <c r="D71" s="105"/>
      <c r="E71" s="195"/>
      <c r="F71" s="203"/>
      <c r="G71" s="198"/>
      <c r="J71" s="68"/>
    </row>
    <row r="72" spans="3:10" ht="15">
      <c r="C72" s="198"/>
      <c r="D72" s="105"/>
      <c r="E72" s="195"/>
      <c r="F72" s="203"/>
      <c r="G72" s="198"/>
      <c r="J72" s="68"/>
    </row>
    <row r="73" spans="3:10" ht="15">
      <c r="C73" s="198"/>
      <c r="D73" s="105"/>
      <c r="E73" s="195"/>
      <c r="F73" s="203"/>
      <c r="G73" s="198"/>
      <c r="J73" s="68"/>
    </row>
    <row r="74" spans="3:10" ht="15">
      <c r="C74" s="198"/>
      <c r="D74" s="105"/>
      <c r="E74" s="195"/>
      <c r="F74" s="203"/>
    </row>
    <row r="75" spans="3:10" ht="15">
      <c r="C75" s="105"/>
      <c r="D75" s="105"/>
      <c r="E75" s="105"/>
      <c r="F75" s="105"/>
      <c r="G75" s="105"/>
    </row>
    <row r="76" spans="3:10" ht="15">
      <c r="C76" s="105"/>
      <c r="D76" s="105"/>
      <c r="E76" s="105"/>
      <c r="F76" s="105"/>
      <c r="G76" s="105"/>
    </row>
    <row r="77" spans="3:10" ht="15">
      <c r="C77" s="105"/>
      <c r="D77" s="105"/>
      <c r="E77" s="199"/>
      <c r="F77" s="199"/>
      <c r="G77" s="105"/>
    </row>
    <row r="80" spans="3:10">
      <c r="C80" s="78"/>
      <c r="D80" s="80"/>
    </row>
    <row r="81" spans="3:4">
      <c r="C81" s="78"/>
      <c r="D81" s="80"/>
    </row>
    <row r="82" spans="3:4">
      <c r="C82" s="78"/>
      <c r="D82" s="80"/>
    </row>
    <row r="83" spans="3:4">
      <c r="C83" s="78"/>
      <c r="D83" s="80"/>
    </row>
    <row r="84" spans="3:4">
      <c r="C84" s="78"/>
      <c r="D84" s="80"/>
    </row>
    <row r="85" spans="3:4">
      <c r="C85" s="78"/>
      <c r="D85" s="80"/>
    </row>
    <row r="86" spans="3:4">
      <c r="C86" s="78"/>
      <c r="D86" s="80"/>
    </row>
    <row r="87" spans="3:4">
      <c r="C87" s="78"/>
      <c r="D87" s="80"/>
    </row>
    <row r="88" spans="3:4">
      <c r="C88" s="78"/>
      <c r="D88" s="80"/>
    </row>
    <row r="89" spans="3:4">
      <c r="C89" s="78"/>
      <c r="D89" s="80"/>
    </row>
  </sheetData>
  <printOptions horizontalCentered="1"/>
  <pageMargins left="0.8" right="0.3" top="0.4" bottom="0.4" header="0.5" footer="0.2"/>
  <pageSetup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E6D2-2735-4B03-B0B3-54E00678DD00}">
  <sheetPr>
    <tabColor rgb="FFCCFFCC"/>
    <pageSetUpPr fitToPage="1"/>
  </sheetPr>
  <dimension ref="B1:AC116"/>
  <sheetViews>
    <sheetView view="pageBreakPreview" zoomScale="80" zoomScaleNormal="60" zoomScaleSheetLayoutView="80" workbookViewId="0">
      <selection activeCell="D113" sqref="D113"/>
    </sheetView>
  </sheetViews>
  <sheetFormatPr defaultColWidth="9.33203125" defaultRowHeight="12.75"/>
  <cols>
    <col min="1" max="1" width="2.83203125" customWidth="1"/>
    <col min="2" max="2" width="10.83203125" customWidth="1"/>
    <col min="3" max="3" width="14.1640625" customWidth="1"/>
    <col min="4" max="4" width="15.5" customWidth="1"/>
    <col min="5" max="5" width="10" customWidth="1"/>
    <col min="6" max="6" width="10.5" customWidth="1"/>
    <col min="7" max="7" width="24.1640625" customWidth="1"/>
    <col min="8" max="8" width="11.83203125" customWidth="1"/>
    <col min="9" max="9" width="11.1640625" customWidth="1"/>
    <col min="10" max="10" width="14.33203125" customWidth="1"/>
    <col min="11" max="11" width="14.1640625" customWidth="1"/>
    <col min="12" max="12" width="14.33203125" customWidth="1"/>
    <col min="13" max="13" width="9.33203125" customWidth="1"/>
    <col min="14" max="19" width="11.33203125" customWidth="1"/>
    <col min="20" max="20" width="10.33203125" customWidth="1"/>
    <col min="21" max="21" width="12" customWidth="1"/>
    <col min="22" max="22" width="11.5" customWidth="1"/>
    <col min="25" max="25" width="13.6640625" customWidth="1"/>
    <col min="27" max="28" width="9.33203125" style="61"/>
  </cols>
  <sheetData>
    <row r="1" spans="2:29" s="61" customFormat="1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1" t="s">
        <v>291</v>
      </c>
      <c r="C2" s="210"/>
      <c r="D2" s="210"/>
      <c r="E2" s="210"/>
      <c r="F2" s="210"/>
      <c r="G2" s="210"/>
      <c r="H2" s="210"/>
      <c r="I2" s="210"/>
      <c r="J2" s="210"/>
      <c r="K2" s="210"/>
      <c r="N2" t="s">
        <v>208</v>
      </c>
    </row>
    <row r="3" spans="2:29">
      <c r="B3" s="210"/>
      <c r="C3" s="210"/>
      <c r="D3" s="210"/>
      <c r="E3" s="210"/>
      <c r="F3" s="210"/>
      <c r="G3" s="210"/>
      <c r="H3" s="210"/>
      <c r="I3" s="210"/>
      <c r="J3" s="210"/>
      <c r="U3" s="61"/>
      <c r="V3" s="61"/>
      <c r="W3" s="61"/>
      <c r="X3" s="61"/>
      <c r="Y3" s="61"/>
      <c r="Z3" s="61"/>
      <c r="AC3" s="61"/>
    </row>
    <row r="4" spans="2:29" ht="51.75" customHeight="1">
      <c r="B4" s="13" t="s">
        <v>0</v>
      </c>
      <c r="C4" s="14" t="s">
        <v>10</v>
      </c>
      <c r="D4" s="14" t="s">
        <v>150</v>
      </c>
      <c r="E4" s="14" t="s">
        <v>73</v>
      </c>
      <c r="F4" s="14" t="s">
        <v>151</v>
      </c>
      <c r="G4" s="14" t="s">
        <v>152</v>
      </c>
      <c r="H4" s="211" t="s">
        <v>21</v>
      </c>
      <c r="I4" s="14" t="s">
        <v>13</v>
      </c>
      <c r="J4" s="211" t="s">
        <v>153</v>
      </c>
      <c r="K4" s="14" t="s">
        <v>48</v>
      </c>
      <c r="T4" s="61"/>
      <c r="U4" s="61"/>
      <c r="V4" s="61"/>
      <c r="W4" s="61"/>
      <c r="X4" s="61"/>
      <c r="Y4" s="61"/>
      <c r="Z4" s="61"/>
    </row>
    <row r="5" spans="2:29" ht="48" customHeight="1">
      <c r="B5" s="212"/>
      <c r="C5" s="15" t="s">
        <v>8</v>
      </c>
      <c r="D5" s="16" t="s">
        <v>9</v>
      </c>
      <c r="E5" s="16" t="s">
        <v>9</v>
      </c>
      <c r="F5" s="16" t="s">
        <v>9</v>
      </c>
      <c r="G5" s="16" t="s">
        <v>9</v>
      </c>
      <c r="H5" s="16" t="s">
        <v>154</v>
      </c>
      <c r="I5" s="15" t="s">
        <v>31</v>
      </c>
      <c r="J5" s="15" t="s">
        <v>31</v>
      </c>
      <c r="K5" s="15" t="s">
        <v>31</v>
      </c>
      <c r="T5" s="61"/>
      <c r="U5" s="61"/>
      <c r="V5" s="61"/>
      <c r="W5" s="61"/>
      <c r="X5" s="61"/>
      <c r="Y5" s="100"/>
      <c r="Z5" s="100"/>
    </row>
    <row r="6" spans="2:29">
      <c r="C6" s="213" t="s">
        <v>1</v>
      </c>
      <c r="D6" s="213" t="s">
        <v>2</v>
      </c>
      <c r="E6" s="213" t="s">
        <v>3</v>
      </c>
      <c r="F6" s="213" t="s">
        <v>4</v>
      </c>
      <c r="G6" s="213" t="s">
        <v>5</v>
      </c>
      <c r="H6" s="213" t="s">
        <v>7</v>
      </c>
      <c r="I6" s="213" t="s">
        <v>22</v>
      </c>
      <c r="J6" s="67" t="s">
        <v>23</v>
      </c>
      <c r="K6" s="67" t="s">
        <v>24</v>
      </c>
      <c r="T6" s="61"/>
      <c r="U6" s="61"/>
      <c r="V6" s="61"/>
      <c r="W6" s="61"/>
      <c r="X6" s="61"/>
      <c r="Y6" s="61"/>
      <c r="Z6" s="61"/>
    </row>
    <row r="7" spans="2:29" ht="6" customHeight="1">
      <c r="T7" s="61"/>
      <c r="U7" s="61"/>
      <c r="V7" s="61"/>
      <c r="W7" s="61"/>
      <c r="X7" s="61"/>
      <c r="Y7" s="61"/>
      <c r="Z7" s="61"/>
    </row>
    <row r="8" spans="2:29" ht="15.75">
      <c r="B8" s="38" t="str">
        <f>C76</f>
        <v xml:space="preserve">Utah South -  CCCT Dry "H", 2X1, DF, with SCR (GCC.PX.UTS._.DF_.H_2x1) </v>
      </c>
      <c r="H8" s="210"/>
      <c r="J8" s="210"/>
      <c r="K8" s="210"/>
      <c r="T8" s="61"/>
      <c r="U8" s="61"/>
      <c r="V8" s="61"/>
      <c r="W8" s="61"/>
      <c r="X8" s="61"/>
      <c r="Y8" s="61"/>
      <c r="Z8" s="61"/>
    </row>
    <row r="9" spans="2:29" ht="18.95" customHeight="1">
      <c r="B9" s="145"/>
      <c r="C9" s="214"/>
      <c r="D9" s="215"/>
      <c r="E9" s="216"/>
      <c r="F9" s="216"/>
      <c r="G9" s="216"/>
      <c r="H9" s="216"/>
      <c r="I9" s="216"/>
      <c r="J9" s="216"/>
      <c r="K9" s="216"/>
      <c r="T9" s="61"/>
      <c r="U9" s="79"/>
      <c r="V9" s="79"/>
      <c r="W9" s="79"/>
      <c r="X9" s="61"/>
      <c r="Y9" s="79"/>
      <c r="Z9" s="79"/>
    </row>
    <row r="10" spans="2:29">
      <c r="B10" s="145">
        <v>2025</v>
      </c>
      <c r="C10" s="261">
        <f>C92+C93</f>
        <v>1520.4383865841332</v>
      </c>
      <c r="D10" s="215"/>
      <c r="E10" s="69"/>
      <c r="F10" s="188">
        <f>C103</f>
        <v>47.790148433332732</v>
      </c>
      <c r="G10" s="216"/>
      <c r="H10" s="265">
        <f>$D$111</f>
        <v>5.716678296246049</v>
      </c>
      <c r="I10" s="262">
        <f>$C$104</f>
        <v>2.7729594859595257</v>
      </c>
      <c r="J10" s="216"/>
      <c r="K10" s="216"/>
      <c r="N10" s="218"/>
      <c r="O10" s="218"/>
      <c r="T10" s="61"/>
      <c r="U10" s="79"/>
      <c r="V10" s="79"/>
      <c r="W10" s="143"/>
      <c r="X10" s="79"/>
      <c r="Y10" s="79"/>
      <c r="Z10" s="79"/>
    </row>
    <row r="11" spans="2:29">
      <c r="B11" s="145">
        <f t="shared" ref="B11:B63" si="0">B10+1</f>
        <v>2026</v>
      </c>
      <c r="C11" s="217">
        <f t="shared" ref="C11:C16" si="1">C10*(1+Inflation)</f>
        <v>1554.1921187663011</v>
      </c>
      <c r="D11" s="215"/>
      <c r="E11" s="69"/>
      <c r="F11" s="69">
        <f t="shared" ref="F11:F30" si="2">F10*(1+Inflation)</f>
        <v>48.851089728552715</v>
      </c>
      <c r="G11" s="216"/>
      <c r="H11" s="69">
        <f t="shared" ref="H11:I30" si="3">H10*(1+Inflation)</f>
        <v>5.8435885544227109</v>
      </c>
      <c r="I11" s="69">
        <f t="shared" si="3"/>
        <v>2.8345191865478272</v>
      </c>
      <c r="J11" s="216"/>
      <c r="K11" s="216"/>
      <c r="N11" s="218"/>
      <c r="O11" s="218"/>
      <c r="T11" s="61"/>
      <c r="U11" s="79"/>
      <c r="V11" s="79"/>
      <c r="W11" s="143"/>
      <c r="X11" s="79"/>
      <c r="Y11" s="79"/>
      <c r="Z11" s="79"/>
    </row>
    <row r="12" spans="2:29">
      <c r="B12" s="145">
        <f t="shared" si="0"/>
        <v>2027</v>
      </c>
      <c r="C12" s="217">
        <f t="shared" si="1"/>
        <v>1588.6951838029129</v>
      </c>
      <c r="D12" s="215"/>
      <c r="E12" s="69"/>
      <c r="F12" s="69">
        <f t="shared" si="2"/>
        <v>49.935583920526582</v>
      </c>
      <c r="G12" s="216"/>
      <c r="H12" s="69">
        <f t="shared" si="3"/>
        <v>5.9733162203308954</v>
      </c>
      <c r="I12" s="69">
        <f t="shared" ref="I12" si="4">I11*(1+Inflation)</f>
        <v>2.8974455124891891</v>
      </c>
      <c r="J12" s="216"/>
      <c r="K12" s="216"/>
      <c r="N12" s="218"/>
      <c r="O12" s="218"/>
      <c r="T12" s="61"/>
      <c r="U12" s="79"/>
      <c r="V12" s="79"/>
      <c r="W12" s="79"/>
      <c r="X12" s="79"/>
      <c r="Y12" s="79"/>
      <c r="Z12" s="79"/>
    </row>
    <row r="13" spans="2:29">
      <c r="B13" s="145">
        <f t="shared" si="0"/>
        <v>2028</v>
      </c>
      <c r="C13" s="217">
        <f t="shared" si="1"/>
        <v>1623.9642168833375</v>
      </c>
      <c r="D13" s="215"/>
      <c r="E13" s="188">
        <f>$D$114</f>
        <v>19.115769303333334</v>
      </c>
      <c r="F13" s="69">
        <f t="shared" si="2"/>
        <v>51.044153883562274</v>
      </c>
      <c r="G13" s="216"/>
      <c r="H13" s="69">
        <f t="shared" si="3"/>
        <v>6.1059238404222409</v>
      </c>
      <c r="I13" s="69">
        <f t="shared" ref="I13" si="5">I12*(1+Inflation)</f>
        <v>2.9617688028664491</v>
      </c>
      <c r="J13" s="216"/>
      <c r="K13" s="216"/>
      <c r="N13" s="218"/>
      <c r="O13" s="218"/>
      <c r="T13" s="219"/>
      <c r="U13" s="79"/>
      <c r="V13" s="79"/>
      <c r="W13" s="79"/>
      <c r="X13" s="79"/>
      <c r="Y13" s="79"/>
      <c r="Z13" s="79"/>
    </row>
    <row r="14" spans="2:29">
      <c r="B14" s="145">
        <f t="shared" si="0"/>
        <v>2029</v>
      </c>
      <c r="C14" s="217">
        <f t="shared" si="1"/>
        <v>1660.0162224981475</v>
      </c>
      <c r="D14" s="215"/>
      <c r="E14" s="69">
        <f t="shared" ref="E14:E20" si="6">E13*(1+Inflation)</f>
        <v>19.540139381867334</v>
      </c>
      <c r="F14" s="69">
        <f t="shared" si="2"/>
        <v>52.177334099777354</v>
      </c>
      <c r="G14" s="216"/>
      <c r="H14" s="69">
        <f t="shared" si="3"/>
        <v>6.2414753496796145</v>
      </c>
      <c r="I14" s="69">
        <f t="shared" ref="I14" si="7">I13*(1+Inflation)</f>
        <v>3.0275200702900844</v>
      </c>
      <c r="J14" s="216"/>
      <c r="K14" s="216"/>
      <c r="N14" s="218"/>
      <c r="O14" s="218"/>
      <c r="T14" s="61"/>
      <c r="U14" s="79"/>
      <c r="V14" s="79"/>
      <c r="W14" s="79"/>
      <c r="X14" s="79"/>
      <c r="Y14" s="79"/>
      <c r="Z14" s="79"/>
    </row>
    <row r="15" spans="2:29">
      <c r="B15" s="145">
        <f t="shared" si="0"/>
        <v>2030</v>
      </c>
      <c r="C15" s="217">
        <f t="shared" si="1"/>
        <v>1696.8685826376063</v>
      </c>
      <c r="D15" s="69"/>
      <c r="E15" s="69">
        <f t="shared" si="6"/>
        <v>19.97393047614479</v>
      </c>
      <c r="F15" s="69">
        <f t="shared" si="2"/>
        <v>53.335670916792409</v>
      </c>
      <c r="G15" s="216"/>
      <c r="H15" s="69">
        <f t="shared" si="3"/>
        <v>6.3800361024425021</v>
      </c>
      <c r="I15" s="69">
        <f t="shared" ref="I15" si="8">I14*(1+Inflation)</f>
        <v>3.0947310158505243</v>
      </c>
      <c r="J15" s="216"/>
      <c r="K15" s="216"/>
      <c r="N15" s="218"/>
      <c r="O15" s="218"/>
      <c r="T15" s="61"/>
      <c r="U15" s="79"/>
      <c r="V15" s="79"/>
      <c r="W15" s="79"/>
      <c r="X15" s="79"/>
      <c r="Y15" s="79"/>
      <c r="Z15" s="79"/>
    </row>
    <row r="16" spans="2:29" s="220" customFormat="1">
      <c r="B16" s="145">
        <f t="shared" si="0"/>
        <v>2031</v>
      </c>
      <c r="C16" s="217">
        <f t="shared" si="1"/>
        <v>1734.5390651721611</v>
      </c>
      <c r="D16" s="69"/>
      <c r="E16" s="69">
        <f t="shared" si="6"/>
        <v>20.417351732715204</v>
      </c>
      <c r="F16" s="69">
        <f t="shared" si="2"/>
        <v>54.519722811145201</v>
      </c>
      <c r="G16" s="216"/>
      <c r="H16" s="69">
        <f t="shared" si="3"/>
        <v>6.521672903916726</v>
      </c>
      <c r="I16" s="69">
        <f t="shared" ref="I16" si="9">I15*(1+Inflation)</f>
        <v>3.1634340444024058</v>
      </c>
      <c r="J16" s="216"/>
      <c r="K16" s="216"/>
      <c r="L16"/>
      <c r="M16"/>
      <c r="N16" s="218"/>
      <c r="O16" s="218"/>
      <c r="T16" s="61"/>
      <c r="U16" s="79"/>
      <c r="V16" s="79"/>
      <c r="W16" s="79"/>
      <c r="X16" s="79"/>
      <c r="Y16" s="79"/>
      <c r="Z16" s="79"/>
      <c r="AA16" s="61"/>
      <c r="AB16" s="61"/>
    </row>
    <row r="17" spans="2:28" s="220" customFormat="1">
      <c r="B17" s="145">
        <f t="shared" si="0"/>
        <v>2032</v>
      </c>
      <c r="C17" s="217">
        <f t="shared" ref="C17" si="10">C16*(1+Inflation)</f>
        <v>1773.0458324189831</v>
      </c>
      <c r="D17" s="69"/>
      <c r="E17" s="69">
        <f t="shared" si="6"/>
        <v>20.870616941181481</v>
      </c>
      <c r="F17" s="69">
        <f t="shared" si="2"/>
        <v>55.730060657552627</v>
      </c>
      <c r="G17" s="216"/>
      <c r="H17" s="69">
        <f t="shared" si="3"/>
        <v>6.6664540423836778</v>
      </c>
      <c r="I17" s="69">
        <f t="shared" ref="I17" si="11">I16*(1+Inflation)</f>
        <v>3.2336622801881392</v>
      </c>
      <c r="J17" s="216"/>
      <c r="K17" s="216"/>
      <c r="L17"/>
      <c r="M17"/>
      <c r="N17" s="218"/>
      <c r="O17" s="218"/>
      <c r="T17" s="61"/>
      <c r="U17" s="79"/>
      <c r="V17" s="79"/>
      <c r="W17" s="79"/>
      <c r="X17" s="79"/>
      <c r="Y17" s="79"/>
      <c r="Z17" s="79"/>
      <c r="AA17" s="61"/>
      <c r="AB17" s="61"/>
    </row>
    <row r="18" spans="2:28" s="220" customFormat="1">
      <c r="B18" s="145">
        <f t="shared" si="0"/>
        <v>2033</v>
      </c>
      <c r="C18" s="217">
        <f t="shared" ref="C18" si="12">C17*(1+Inflation)</f>
        <v>1812.4074498986845</v>
      </c>
      <c r="D18" s="69"/>
      <c r="E18" s="69">
        <f t="shared" si="6"/>
        <v>21.33394463727571</v>
      </c>
      <c r="F18" s="69">
        <f t="shared" si="2"/>
        <v>56.967268004150299</v>
      </c>
      <c r="G18" s="216"/>
      <c r="H18" s="69">
        <f t="shared" si="3"/>
        <v>6.8144493221245952</v>
      </c>
      <c r="I18" s="69">
        <f t="shared" ref="I18" si="13">I17*(1+Inflation)</f>
        <v>3.3054495828083157</v>
      </c>
      <c r="J18" s="216"/>
      <c r="K18" s="216"/>
      <c r="L18"/>
      <c r="M18"/>
      <c r="N18" s="218"/>
      <c r="O18" s="218"/>
      <c r="T18" s="61"/>
      <c r="U18" s="79"/>
      <c r="V18" s="79"/>
      <c r="W18" s="79"/>
      <c r="X18" s="79"/>
      <c r="Y18" s="79"/>
      <c r="Z18" s="79"/>
      <c r="AA18" s="61"/>
      <c r="AB18" s="61"/>
    </row>
    <row r="19" spans="2:28" s="220" customFormat="1">
      <c r="B19" s="145">
        <f t="shared" si="0"/>
        <v>2034</v>
      </c>
      <c r="C19" s="217">
        <f t="shared" ref="C19" si="14">C18*(1+Inflation)</f>
        <v>1852.6428952864353</v>
      </c>
      <c r="D19" s="69"/>
      <c r="E19" s="69">
        <f t="shared" si="6"/>
        <v>21.807558208223231</v>
      </c>
      <c r="F19" s="69">
        <f t="shared" si="2"/>
        <v>58.231941353842437</v>
      </c>
      <c r="G19" s="216"/>
      <c r="H19" s="69">
        <f t="shared" si="3"/>
        <v>6.9657300970757614</v>
      </c>
      <c r="I19" s="69">
        <f t="shared" ref="I19" si="15">I18*(1+Inflation)</f>
        <v>3.3788305635466602</v>
      </c>
      <c r="J19" s="216"/>
      <c r="K19" s="216"/>
      <c r="L19"/>
      <c r="M19"/>
      <c r="N19" s="218"/>
      <c r="O19" s="218"/>
      <c r="Q19" s="221"/>
      <c r="T19" s="61"/>
      <c r="U19" s="79"/>
      <c r="V19" s="79"/>
      <c r="W19" s="79"/>
      <c r="X19" s="79"/>
      <c r="Y19" s="79"/>
      <c r="Z19" s="79"/>
      <c r="AA19" s="61"/>
      <c r="AB19" s="61"/>
    </row>
    <row r="20" spans="2:28" s="220" customFormat="1">
      <c r="B20" s="145">
        <f t="shared" si="0"/>
        <v>2035</v>
      </c>
      <c r="C20" s="217">
        <f t="shared" ref="C20" si="16">C19*(1+Inflation)</f>
        <v>1893.7715675617942</v>
      </c>
      <c r="D20" s="188">
        <f>ROUND(C20*$C$107,2)</f>
        <v>118.06</v>
      </c>
      <c r="E20" s="69">
        <f t="shared" si="6"/>
        <v>22.291686000445786</v>
      </c>
      <c r="F20" s="69">
        <f t="shared" si="2"/>
        <v>59.52469045189774</v>
      </c>
      <c r="G20" s="216">
        <f>ROUND(D20+E20+F20,2)</f>
        <v>199.88</v>
      </c>
      <c r="H20" s="69">
        <f t="shared" si="3"/>
        <v>7.1203693052308434</v>
      </c>
      <c r="I20" s="69">
        <f t="shared" ref="I20" si="17">I19*(1+Inflation)</f>
        <v>3.453840602057396</v>
      </c>
      <c r="J20" s="216">
        <f t="shared" ref="J20:J56" si="18">ROUND($K$87*H20/1000+I20,2)</f>
        <v>47.31</v>
      </c>
      <c r="K20" s="216">
        <f t="shared" ref="K20:K56" si="19">ROUND(G20*1000/8760/$G$87+J20,2)</f>
        <v>76.56</v>
      </c>
      <c r="L20"/>
      <c r="M20"/>
      <c r="N20"/>
      <c r="T20" s="61"/>
      <c r="U20" s="79"/>
      <c r="V20" s="79"/>
      <c r="W20" s="79"/>
      <c r="X20" s="79"/>
      <c r="Y20" s="79"/>
      <c r="Z20" s="79"/>
      <c r="AA20" s="61"/>
      <c r="AB20" s="61"/>
    </row>
    <row r="21" spans="2:28">
      <c r="B21" s="145">
        <f t="shared" si="0"/>
        <v>2036</v>
      </c>
      <c r="C21" s="217"/>
      <c r="D21" s="69">
        <f t="shared" ref="D21:E30" si="20">D20*(1+Inflation)</f>
        <v>120.680932</v>
      </c>
      <c r="E21" s="69">
        <f t="shared" si="20"/>
        <v>22.786561429655681</v>
      </c>
      <c r="F21" s="69">
        <f t="shared" si="2"/>
        <v>60.846138579929871</v>
      </c>
      <c r="G21" s="216">
        <f t="shared" ref="G21:G31" si="21">ROUND(D21+E21+F21,2)</f>
        <v>204.31</v>
      </c>
      <c r="H21" s="69">
        <f t="shared" si="3"/>
        <v>7.2784415038069685</v>
      </c>
      <c r="I21" s="69">
        <f t="shared" ref="I21" si="22">I20*(1+Inflation)</f>
        <v>3.5305158634230702</v>
      </c>
      <c r="J21" s="216">
        <f t="shared" si="18"/>
        <v>48.36</v>
      </c>
      <c r="K21" s="216">
        <f t="shared" si="19"/>
        <v>78.260000000000005</v>
      </c>
      <c r="T21" s="61"/>
      <c r="U21" s="79"/>
      <c r="V21" s="79"/>
      <c r="W21" s="79"/>
      <c r="X21" s="79"/>
      <c r="Y21" s="79"/>
      <c r="Z21" s="79"/>
    </row>
    <row r="22" spans="2:28">
      <c r="B22" s="145">
        <f t="shared" si="0"/>
        <v>2037</v>
      </c>
      <c r="C22" s="217"/>
      <c r="D22" s="69">
        <f t="shared" si="20"/>
        <v>123.36004869039999</v>
      </c>
      <c r="E22" s="69">
        <f t="shared" si="20"/>
        <v>23.292423093394035</v>
      </c>
      <c r="F22" s="69">
        <f t="shared" si="2"/>
        <v>62.196922856404314</v>
      </c>
      <c r="G22" s="216">
        <f t="shared" si="21"/>
        <v>208.85</v>
      </c>
      <c r="H22" s="69">
        <f t="shared" si="3"/>
        <v>7.4400229051914835</v>
      </c>
      <c r="I22" s="69">
        <f t="shared" ref="I22" si="23">I21*(1+Inflation)</f>
        <v>3.6088933155910623</v>
      </c>
      <c r="J22" s="216">
        <f t="shared" si="18"/>
        <v>49.43</v>
      </c>
      <c r="K22" s="216">
        <f t="shared" si="19"/>
        <v>80</v>
      </c>
    </row>
    <row r="23" spans="2:28">
      <c r="B23" s="145">
        <f t="shared" si="0"/>
        <v>2038</v>
      </c>
      <c r="C23" s="217"/>
      <c r="D23" s="69">
        <f t="shared" si="20"/>
        <v>126.09864177132687</v>
      </c>
      <c r="E23" s="69">
        <f t="shared" si="20"/>
        <v>23.809514886067383</v>
      </c>
      <c r="F23" s="69">
        <f t="shared" si="2"/>
        <v>63.577694543816492</v>
      </c>
      <c r="G23" s="216">
        <f t="shared" si="21"/>
        <v>213.49</v>
      </c>
      <c r="H23" s="69">
        <f t="shared" si="3"/>
        <v>7.6051914136867342</v>
      </c>
      <c r="I23" s="69">
        <f t="shared" ref="I23" si="24">I22*(1+Inflation)</f>
        <v>3.6890107471971838</v>
      </c>
      <c r="J23" s="216">
        <f t="shared" si="18"/>
        <v>50.53</v>
      </c>
      <c r="K23" s="216">
        <f t="shared" si="19"/>
        <v>81.77</v>
      </c>
    </row>
    <row r="24" spans="2:28">
      <c r="B24" s="145">
        <f t="shared" si="0"/>
        <v>2039</v>
      </c>
      <c r="C24" s="217"/>
      <c r="D24" s="69">
        <f t="shared" si="20"/>
        <v>128.89803161865032</v>
      </c>
      <c r="E24" s="69">
        <f t="shared" si="20"/>
        <v>24.338086116538079</v>
      </c>
      <c r="F24" s="69">
        <f t="shared" si="2"/>
        <v>64.989119362689223</v>
      </c>
      <c r="G24" s="216">
        <f t="shared" si="21"/>
        <v>218.23</v>
      </c>
      <c r="H24" s="69">
        <f t="shared" si="3"/>
        <v>7.7740266630705799</v>
      </c>
      <c r="I24" s="69">
        <f t="shared" ref="I24" si="25">I23*(1+Inflation)</f>
        <v>3.7709067857849612</v>
      </c>
      <c r="J24" s="216">
        <f t="shared" si="18"/>
        <v>51.65</v>
      </c>
      <c r="K24" s="216">
        <f t="shared" si="19"/>
        <v>83.59</v>
      </c>
    </row>
    <row r="25" spans="2:28">
      <c r="B25" s="145">
        <f t="shared" si="0"/>
        <v>2040</v>
      </c>
      <c r="C25" s="217"/>
      <c r="D25" s="69">
        <f t="shared" si="20"/>
        <v>131.75956792058435</v>
      </c>
      <c r="E25" s="69">
        <f t="shared" si="20"/>
        <v>24.878391628325225</v>
      </c>
      <c r="F25" s="69">
        <f t="shared" si="2"/>
        <v>66.431877812540918</v>
      </c>
      <c r="G25" s="216">
        <f t="shared" si="21"/>
        <v>223.07</v>
      </c>
      <c r="H25" s="69">
        <f t="shared" si="3"/>
        <v>7.9466100549907468</v>
      </c>
      <c r="I25" s="69">
        <f t="shared" ref="I25" si="26">I24*(1+Inflation)</f>
        <v>3.8546209164293872</v>
      </c>
      <c r="J25" s="216">
        <f t="shared" si="18"/>
        <v>52.8</v>
      </c>
      <c r="K25" s="216">
        <f t="shared" si="19"/>
        <v>85.45</v>
      </c>
    </row>
    <row r="26" spans="2:28">
      <c r="B26" s="145">
        <f t="shared" si="0"/>
        <v>2041</v>
      </c>
      <c r="C26" s="217"/>
      <c r="D26" s="69">
        <f t="shared" si="20"/>
        <v>134.68463032842132</v>
      </c>
      <c r="E26" s="69">
        <f t="shared" si="20"/>
        <v>25.430691922474047</v>
      </c>
      <c r="F26" s="69">
        <f t="shared" si="2"/>
        <v>67.906665499979326</v>
      </c>
      <c r="G26" s="216">
        <f t="shared" si="21"/>
        <v>228.02</v>
      </c>
      <c r="H26" s="69">
        <f t="shared" si="3"/>
        <v>8.1230247982115422</v>
      </c>
      <c r="I26" s="69">
        <f t="shared" ref="I26" si="27">I25*(1+Inflation)</f>
        <v>3.9401935007741198</v>
      </c>
      <c r="J26" s="216">
        <f t="shared" si="18"/>
        <v>53.97</v>
      </c>
      <c r="K26" s="216">
        <f t="shared" si="19"/>
        <v>87.34</v>
      </c>
    </row>
    <row r="27" spans="2:28">
      <c r="B27" s="145">
        <f t="shared" si="0"/>
        <v>2042</v>
      </c>
      <c r="C27" s="217"/>
      <c r="D27" s="69">
        <f t="shared" si="20"/>
        <v>137.67462912171229</v>
      </c>
      <c r="E27" s="69">
        <f t="shared" si="20"/>
        <v>25.995253283152969</v>
      </c>
      <c r="F27" s="69">
        <f t="shared" si="2"/>
        <v>69.414193474078871</v>
      </c>
      <c r="G27" s="216">
        <f t="shared" si="21"/>
        <v>233.08</v>
      </c>
      <c r="H27" s="69">
        <f t="shared" si="3"/>
        <v>8.3033559487318378</v>
      </c>
      <c r="I27" s="69">
        <f t="shared" ref="I27" si="28">I26*(1+Inflation)</f>
        <v>4.0276657964913056</v>
      </c>
      <c r="J27" s="216">
        <f t="shared" si="18"/>
        <v>55.17</v>
      </c>
      <c r="K27" s="216">
        <f t="shared" si="19"/>
        <v>89.28</v>
      </c>
    </row>
    <row r="28" spans="2:28">
      <c r="B28" s="145">
        <f t="shared" si="0"/>
        <v>2043</v>
      </c>
      <c r="C28" s="217"/>
      <c r="D28" s="69">
        <f t="shared" si="20"/>
        <v>140.7310058882143</v>
      </c>
      <c r="E28" s="69">
        <f t="shared" si="20"/>
        <v>26.572347906038964</v>
      </c>
      <c r="F28" s="69">
        <f t="shared" si="2"/>
        <v>70.955188569203429</v>
      </c>
      <c r="G28" s="216">
        <f t="shared" si="21"/>
        <v>238.26</v>
      </c>
      <c r="H28" s="69">
        <f t="shared" si="3"/>
        <v>8.4876904507936839</v>
      </c>
      <c r="I28" s="69">
        <f t="shared" ref="I28" si="29">I27*(1+Inflation)</f>
        <v>4.1170799771734128</v>
      </c>
      <c r="J28" s="216">
        <f t="shared" si="18"/>
        <v>56.39</v>
      </c>
      <c r="K28" s="216">
        <f t="shared" si="19"/>
        <v>91.26</v>
      </c>
    </row>
    <row r="29" spans="2:28">
      <c r="B29" s="145">
        <f t="shared" si="0"/>
        <v>2044</v>
      </c>
      <c r="C29" s="217"/>
      <c r="D29" s="69">
        <f t="shared" si="20"/>
        <v>143.85523421893265</v>
      </c>
      <c r="E29" s="69">
        <f t="shared" si="20"/>
        <v>27.162254029553029</v>
      </c>
      <c r="F29" s="69">
        <f t="shared" si="2"/>
        <v>72.530393755439746</v>
      </c>
      <c r="G29" s="216">
        <f t="shared" si="21"/>
        <v>243.55</v>
      </c>
      <c r="H29" s="69">
        <f t="shared" si="3"/>
        <v>8.6761171788013041</v>
      </c>
      <c r="I29" s="69">
        <f t="shared" ref="I29" si="30">I28*(1+Inflation)</f>
        <v>4.2084791526666629</v>
      </c>
      <c r="J29" s="216">
        <f t="shared" si="18"/>
        <v>57.64</v>
      </c>
      <c r="K29" s="216">
        <f t="shared" si="19"/>
        <v>93.28</v>
      </c>
    </row>
    <row r="30" spans="2:28">
      <c r="B30" s="145">
        <f t="shared" si="0"/>
        <v>2045</v>
      </c>
      <c r="C30" s="217"/>
      <c r="D30" s="69">
        <f t="shared" si="20"/>
        <v>147.04882041859295</v>
      </c>
      <c r="E30" s="69">
        <f t="shared" si="20"/>
        <v>27.765256069009105</v>
      </c>
      <c r="F30" s="69">
        <f t="shared" si="2"/>
        <v>74.140568496810502</v>
      </c>
      <c r="G30" s="216">
        <f t="shared" si="21"/>
        <v>248.95</v>
      </c>
      <c r="H30" s="69">
        <f t="shared" si="3"/>
        <v>8.8687269801706936</v>
      </c>
      <c r="I30" s="69">
        <f t="shared" ref="I30" si="31">I29*(1+Inflation)</f>
        <v>4.3019073898558631</v>
      </c>
      <c r="J30" s="216">
        <f t="shared" si="18"/>
        <v>58.92</v>
      </c>
      <c r="K30" s="216">
        <f t="shared" si="19"/>
        <v>95.35</v>
      </c>
    </row>
    <row r="31" spans="2:28">
      <c r="B31" s="145">
        <f t="shared" si="0"/>
        <v>2046</v>
      </c>
      <c r="C31" s="217"/>
      <c r="D31" s="69">
        <f t="shared" ref="D31:E56" si="32">D30*(1+Inflation)</f>
        <v>150.31330423188572</v>
      </c>
      <c r="E31" s="69">
        <f t="shared" si="32"/>
        <v>28.381644753741107</v>
      </c>
      <c r="F31" s="69">
        <f t="shared" ref="F31:F63" si="33">F30*(1+Inflation)</f>
        <v>75.7864891174397</v>
      </c>
      <c r="G31" s="216">
        <f t="shared" si="21"/>
        <v>254.48</v>
      </c>
      <c r="H31" s="69">
        <f t="shared" ref="H31:I56" si="34">H30*(1+Inflation)</f>
        <v>9.0656127191304829</v>
      </c>
      <c r="I31" s="69">
        <f t="shared" si="34"/>
        <v>4.3974097339106635</v>
      </c>
      <c r="J31" s="216">
        <f t="shared" si="18"/>
        <v>60.23</v>
      </c>
      <c r="K31" s="216">
        <f t="shared" si="19"/>
        <v>97.47</v>
      </c>
    </row>
    <row r="32" spans="2:28">
      <c r="B32" s="145">
        <f t="shared" si="0"/>
        <v>2047</v>
      </c>
      <c r="C32" s="217"/>
      <c r="D32" s="69">
        <f t="shared" si="32"/>
        <v>153.6502595858336</v>
      </c>
      <c r="E32" s="69">
        <f t="shared" si="32"/>
        <v>29.011717267274157</v>
      </c>
      <c r="F32" s="69">
        <f t="shared" si="33"/>
        <v>77.468949175846859</v>
      </c>
      <c r="G32" s="216">
        <f t="shared" ref="G32:G40" si="35">ROUND(D32+E32+F32,2)</f>
        <v>260.13</v>
      </c>
      <c r="H32" s="69">
        <f t="shared" si="34"/>
        <v>9.2668693214951805</v>
      </c>
      <c r="I32" s="69">
        <f t="shared" si="34"/>
        <v>4.4950322300034804</v>
      </c>
      <c r="J32" s="216">
        <f t="shared" si="18"/>
        <v>61.57</v>
      </c>
      <c r="K32" s="216">
        <f t="shared" si="19"/>
        <v>99.64</v>
      </c>
    </row>
    <row r="33" spans="2:11">
      <c r="B33" s="145">
        <f t="shared" si="0"/>
        <v>2048</v>
      </c>
      <c r="C33" s="217"/>
      <c r="D33" s="69">
        <f t="shared" si="32"/>
        <v>157.06129534863911</v>
      </c>
      <c r="E33" s="69">
        <f t="shared" si="32"/>
        <v>29.655777390607643</v>
      </c>
      <c r="F33" s="69">
        <f t="shared" si="33"/>
        <v>79.188759847550656</v>
      </c>
      <c r="G33" s="216">
        <f t="shared" si="35"/>
        <v>265.91000000000003</v>
      </c>
      <c r="H33" s="69">
        <f t="shared" si="34"/>
        <v>9.4725938204323743</v>
      </c>
      <c r="I33" s="69">
        <f t="shared" si="34"/>
        <v>4.5948219455095574</v>
      </c>
      <c r="J33" s="216">
        <f t="shared" si="18"/>
        <v>62.94</v>
      </c>
      <c r="K33" s="216">
        <f t="shared" si="19"/>
        <v>101.86</v>
      </c>
    </row>
    <row r="34" spans="2:11">
      <c r="B34" s="145">
        <f t="shared" si="0"/>
        <v>2049</v>
      </c>
      <c r="C34" s="217"/>
      <c r="D34" s="69">
        <f t="shared" si="32"/>
        <v>160.54805610537889</v>
      </c>
      <c r="E34" s="69">
        <f t="shared" si="32"/>
        <v>30.314135648679134</v>
      </c>
      <c r="F34" s="69">
        <f t="shared" si="33"/>
        <v>80.946750316166288</v>
      </c>
      <c r="G34" s="216">
        <f t="shared" si="35"/>
        <v>271.81</v>
      </c>
      <c r="H34" s="69">
        <f t="shared" si="34"/>
        <v>9.6828854032459724</v>
      </c>
      <c r="I34" s="69">
        <f t="shared" si="34"/>
        <v>4.6968269926998696</v>
      </c>
      <c r="J34" s="216">
        <f t="shared" si="18"/>
        <v>64.33</v>
      </c>
      <c r="K34" s="216">
        <f t="shared" si="19"/>
        <v>104.11</v>
      </c>
    </row>
    <row r="35" spans="2:11">
      <c r="B35" s="145">
        <f t="shared" si="0"/>
        <v>2050</v>
      </c>
      <c r="C35" s="217"/>
      <c r="D35" s="69">
        <f t="shared" si="32"/>
        <v>164.11222295091829</v>
      </c>
      <c r="E35" s="69">
        <f t="shared" si="32"/>
        <v>30.987109460079811</v>
      </c>
      <c r="F35" s="69">
        <f t="shared" si="33"/>
        <v>82.743768173185174</v>
      </c>
      <c r="G35" s="216">
        <f t="shared" si="35"/>
        <v>277.83999999999997</v>
      </c>
      <c r="H35" s="69">
        <f t="shared" si="34"/>
        <v>9.8978454591980327</v>
      </c>
      <c r="I35" s="69">
        <f t="shared" si="34"/>
        <v>4.8010965519378068</v>
      </c>
      <c r="J35" s="216">
        <f t="shared" si="18"/>
        <v>65.760000000000005</v>
      </c>
      <c r="K35" s="216">
        <f t="shared" si="19"/>
        <v>106.42</v>
      </c>
    </row>
    <row r="36" spans="2:11">
      <c r="B36" s="145">
        <f t="shared" si="0"/>
        <v>2051</v>
      </c>
      <c r="C36" s="217"/>
      <c r="D36" s="69">
        <f t="shared" si="32"/>
        <v>167.75551430042867</v>
      </c>
      <c r="E36" s="69">
        <f t="shared" si="32"/>
        <v>31.675023290093584</v>
      </c>
      <c r="F36" s="69">
        <f t="shared" si="33"/>
        <v>84.58067982662989</v>
      </c>
      <c r="G36" s="216">
        <f t="shared" si="35"/>
        <v>284.01</v>
      </c>
      <c r="H36" s="69">
        <f t="shared" si="34"/>
        <v>10.11757762839223</v>
      </c>
      <c r="I36" s="69">
        <f t="shared" si="34"/>
        <v>4.9076808953908264</v>
      </c>
      <c r="J36" s="216">
        <f t="shared" si="18"/>
        <v>67.22</v>
      </c>
      <c r="K36" s="216">
        <f t="shared" si="19"/>
        <v>108.79</v>
      </c>
    </row>
    <row r="37" spans="2:11">
      <c r="B37" s="145">
        <f t="shared" si="0"/>
        <v>2052</v>
      </c>
      <c r="C37" s="217"/>
      <c r="D37" s="69">
        <f t="shared" si="32"/>
        <v>171.47968671789818</v>
      </c>
      <c r="E37" s="69">
        <f t="shared" si="32"/>
        <v>32.37820880713366</v>
      </c>
      <c r="F37" s="69">
        <f t="shared" si="33"/>
        <v>86.458370918781071</v>
      </c>
      <c r="G37" s="216">
        <f t="shared" si="35"/>
        <v>290.32</v>
      </c>
      <c r="H37" s="69">
        <f t="shared" si="34"/>
        <v>10.342187851742537</v>
      </c>
      <c r="I37" s="69">
        <f t="shared" si="34"/>
        <v>5.0166314112685031</v>
      </c>
      <c r="J37" s="216">
        <f t="shared" si="18"/>
        <v>68.709999999999994</v>
      </c>
      <c r="K37" s="216">
        <f t="shared" si="19"/>
        <v>111.2</v>
      </c>
    </row>
    <row r="38" spans="2:11">
      <c r="B38" s="145">
        <f t="shared" si="0"/>
        <v>2053</v>
      </c>
      <c r="C38" s="217"/>
      <c r="D38" s="69">
        <f t="shared" si="32"/>
        <v>175.28653576303552</v>
      </c>
      <c r="E38" s="69">
        <f t="shared" si="32"/>
        <v>33.097005042652029</v>
      </c>
      <c r="F38" s="69">
        <f t="shared" si="33"/>
        <v>88.377746753178016</v>
      </c>
      <c r="G38" s="216">
        <f t="shared" si="35"/>
        <v>296.76</v>
      </c>
      <c r="H38" s="69">
        <f t="shared" si="34"/>
        <v>10.571784422051222</v>
      </c>
      <c r="I38" s="69">
        <f t="shared" si="34"/>
        <v>5.1280006285986639</v>
      </c>
      <c r="J38" s="216">
        <f t="shared" si="18"/>
        <v>70.239999999999995</v>
      </c>
      <c r="K38" s="216">
        <f t="shared" si="19"/>
        <v>113.67</v>
      </c>
    </row>
    <row r="39" spans="2:11">
      <c r="B39" s="145">
        <f t="shared" si="0"/>
        <v>2054</v>
      </c>
      <c r="C39" s="217"/>
      <c r="D39" s="69">
        <f t="shared" si="32"/>
        <v>179.17789685697491</v>
      </c>
      <c r="E39" s="69">
        <f t="shared" si="32"/>
        <v>33.831758554598906</v>
      </c>
      <c r="F39" s="69">
        <f t="shared" si="33"/>
        <v>90.339732731098564</v>
      </c>
      <c r="G39" s="216">
        <f t="shared" si="35"/>
        <v>303.35000000000002</v>
      </c>
      <c r="H39" s="69">
        <f t="shared" si="34"/>
        <v>10.806478036220758</v>
      </c>
      <c r="I39" s="69">
        <f t="shared" si="34"/>
        <v>5.2418422425535542</v>
      </c>
      <c r="J39" s="216">
        <f t="shared" si="18"/>
        <v>71.8</v>
      </c>
      <c r="K39" s="216">
        <f t="shared" si="19"/>
        <v>116.2</v>
      </c>
    </row>
    <row r="40" spans="2:11">
      <c r="B40" s="145">
        <f t="shared" si="0"/>
        <v>2055</v>
      </c>
      <c r="C40" s="217"/>
      <c r="D40" s="69">
        <f t="shared" si="32"/>
        <v>183.15564616719976</v>
      </c>
      <c r="E40" s="69">
        <f t="shared" si="32"/>
        <v>34.582823594511005</v>
      </c>
      <c r="F40" s="69">
        <f t="shared" si="33"/>
        <v>92.345274797728948</v>
      </c>
      <c r="G40" s="216">
        <f t="shared" si="35"/>
        <v>310.08</v>
      </c>
      <c r="H40" s="69">
        <f t="shared" si="34"/>
        <v>11.04638184862486</v>
      </c>
      <c r="I40" s="69">
        <f t="shared" si="34"/>
        <v>5.3582111403382431</v>
      </c>
      <c r="J40" s="216">
        <f t="shared" si="18"/>
        <v>73.39</v>
      </c>
      <c r="K40" s="216">
        <f t="shared" si="19"/>
        <v>118.77</v>
      </c>
    </row>
    <row r="41" spans="2:11">
      <c r="B41" s="145">
        <f t="shared" si="0"/>
        <v>2056</v>
      </c>
      <c r="C41" s="217"/>
      <c r="D41" s="69">
        <f t="shared" si="32"/>
        <v>187.22170151211159</v>
      </c>
      <c r="E41" s="69">
        <f t="shared" si="32"/>
        <v>35.350562278309148</v>
      </c>
      <c r="F41" s="69">
        <f t="shared" si="33"/>
        <v>94.395339898238532</v>
      </c>
      <c r="G41" s="216">
        <f t="shared" ref="G41:G52" si="36">ROUND(D41+E41+F41,2)</f>
        <v>316.97000000000003</v>
      </c>
      <c r="H41" s="69">
        <f t="shared" si="34"/>
        <v>11.291611525664331</v>
      </c>
      <c r="I41" s="69">
        <f t="shared" si="34"/>
        <v>5.4771634276537524</v>
      </c>
      <c r="J41" s="216">
        <f t="shared" si="18"/>
        <v>75.02</v>
      </c>
      <c r="K41" s="216">
        <f t="shared" si="19"/>
        <v>121.41</v>
      </c>
    </row>
    <row r="42" spans="2:11">
      <c r="B42" s="145">
        <f t="shared" si="0"/>
        <v>2057</v>
      </c>
      <c r="C42" s="217"/>
      <c r="D42" s="69">
        <f t="shared" si="32"/>
        <v>191.37802328568048</v>
      </c>
      <c r="E42" s="69">
        <f t="shared" si="32"/>
        <v>36.135344760887612</v>
      </c>
      <c r="F42" s="69">
        <f t="shared" si="33"/>
        <v>96.49091644397943</v>
      </c>
      <c r="G42" s="216">
        <f t="shared" si="36"/>
        <v>324</v>
      </c>
      <c r="H42" s="69">
        <f t="shared" si="34"/>
        <v>11.542285301534079</v>
      </c>
      <c r="I42" s="69">
        <f t="shared" si="34"/>
        <v>5.5987564557476661</v>
      </c>
      <c r="J42" s="216">
        <f t="shared" si="18"/>
        <v>76.69</v>
      </c>
      <c r="K42" s="216">
        <f t="shared" si="19"/>
        <v>124.11</v>
      </c>
    </row>
    <row r="43" spans="2:11">
      <c r="B43" s="145">
        <f t="shared" si="0"/>
        <v>2058</v>
      </c>
      <c r="C43" s="217"/>
      <c r="D43" s="69">
        <f t="shared" si="32"/>
        <v>195.6266154026226</v>
      </c>
      <c r="E43" s="69">
        <f t="shared" si="32"/>
        <v>36.937549414579316</v>
      </c>
      <c r="F43" s="69">
        <f t="shared" si="33"/>
        <v>98.633014789035769</v>
      </c>
      <c r="G43" s="216">
        <f t="shared" si="36"/>
        <v>331.2</v>
      </c>
      <c r="H43" s="69">
        <f t="shared" si="34"/>
        <v>11.798524035228136</v>
      </c>
      <c r="I43" s="69">
        <f t="shared" si="34"/>
        <v>5.7230488490652647</v>
      </c>
      <c r="J43" s="216">
        <f t="shared" si="18"/>
        <v>78.39</v>
      </c>
      <c r="K43" s="216">
        <f t="shared" si="19"/>
        <v>126.86</v>
      </c>
    </row>
    <row r="44" spans="2:11">
      <c r="B44" s="145">
        <f t="shared" si="0"/>
        <v>2059</v>
      </c>
      <c r="C44" s="217"/>
      <c r="D44" s="69">
        <f t="shared" si="32"/>
        <v>199.96952626456081</v>
      </c>
      <c r="E44" s="69">
        <f t="shared" si="32"/>
        <v>37.757563011582974</v>
      </c>
      <c r="F44" s="69">
        <f t="shared" si="33"/>
        <v>100.82266771735236</v>
      </c>
      <c r="G44" s="216">
        <f t="shared" si="36"/>
        <v>338.55</v>
      </c>
      <c r="H44" s="69">
        <f t="shared" si="34"/>
        <v>12.060451268810199</v>
      </c>
      <c r="I44" s="69">
        <f t="shared" si="34"/>
        <v>5.8501005335145138</v>
      </c>
      <c r="J44" s="216">
        <f t="shared" si="18"/>
        <v>80.13</v>
      </c>
      <c r="K44" s="216">
        <f t="shared" si="19"/>
        <v>129.68</v>
      </c>
    </row>
    <row r="45" spans="2:11">
      <c r="B45" s="145">
        <f t="shared" si="0"/>
        <v>2060</v>
      </c>
      <c r="C45" s="217"/>
      <c r="D45" s="69">
        <f t="shared" si="32"/>
        <v>204.40884974763406</v>
      </c>
      <c r="E45" s="69">
        <f t="shared" si="32"/>
        <v>38.595780910440119</v>
      </c>
      <c r="F45" s="69">
        <f t="shared" si="33"/>
        <v>103.06093094067758</v>
      </c>
      <c r="G45" s="216">
        <f t="shared" si="36"/>
        <v>346.07</v>
      </c>
      <c r="H45" s="69">
        <f t="shared" si="34"/>
        <v>12.328193286977786</v>
      </c>
      <c r="I45" s="69">
        <f t="shared" si="34"/>
        <v>5.9799727653585357</v>
      </c>
      <c r="J45" s="216">
        <f t="shared" si="18"/>
        <v>81.91</v>
      </c>
      <c r="K45" s="216">
        <f t="shared" si="19"/>
        <v>132.56</v>
      </c>
    </row>
    <row r="46" spans="2:11">
      <c r="B46" s="145">
        <f t="shared" si="0"/>
        <v>2061</v>
      </c>
      <c r="C46" s="217"/>
      <c r="D46" s="69">
        <f t="shared" si="32"/>
        <v>208.94672621203154</v>
      </c>
      <c r="E46" s="69">
        <f t="shared" si="32"/>
        <v>39.452607246651887</v>
      </c>
      <c r="F46" s="69">
        <f t="shared" si="33"/>
        <v>105.34888360756062</v>
      </c>
      <c r="G46" s="216">
        <f t="shared" si="36"/>
        <v>353.75</v>
      </c>
      <c r="H46" s="69">
        <f t="shared" si="34"/>
        <v>12.601879177948693</v>
      </c>
      <c r="I46" s="69">
        <f t="shared" si="34"/>
        <v>6.1127281607494952</v>
      </c>
      <c r="J46" s="216">
        <f t="shared" si="18"/>
        <v>83.73</v>
      </c>
      <c r="K46" s="216">
        <f t="shared" si="19"/>
        <v>135.5</v>
      </c>
    </row>
    <row r="47" spans="2:11">
      <c r="B47" s="145">
        <f t="shared" si="0"/>
        <v>2062</v>
      </c>
      <c r="C47" s="217"/>
      <c r="D47" s="69">
        <f t="shared" si="32"/>
        <v>213.58534353393864</v>
      </c>
      <c r="E47" s="69">
        <f t="shared" si="32"/>
        <v>40.328455127527562</v>
      </c>
      <c r="F47" s="69">
        <f t="shared" si="33"/>
        <v>107.68762882364847</v>
      </c>
      <c r="G47" s="216">
        <f t="shared" si="36"/>
        <v>361.6</v>
      </c>
      <c r="H47" s="69">
        <f t="shared" si="34"/>
        <v>12.881640895699153</v>
      </c>
      <c r="I47" s="69">
        <f t="shared" si="34"/>
        <v>6.2484307259181344</v>
      </c>
      <c r="J47" s="216">
        <f t="shared" si="18"/>
        <v>85.59</v>
      </c>
      <c r="K47" s="216">
        <f t="shared" si="19"/>
        <v>138.51</v>
      </c>
    </row>
    <row r="48" spans="2:11">
      <c r="B48" s="145">
        <f t="shared" si="0"/>
        <v>2063</v>
      </c>
      <c r="C48" s="217"/>
      <c r="D48" s="69">
        <f t="shared" si="32"/>
        <v>218.32693816039207</v>
      </c>
      <c r="E48" s="69">
        <f t="shared" si="32"/>
        <v>41.223746831358675</v>
      </c>
      <c r="F48" s="69">
        <f t="shared" si="33"/>
        <v>110.07829418353346</v>
      </c>
      <c r="G48" s="216">
        <f t="shared" si="36"/>
        <v>369.63</v>
      </c>
      <c r="H48" s="69">
        <f t="shared" si="34"/>
        <v>13.167613323583675</v>
      </c>
      <c r="I48" s="69">
        <f t="shared" si="34"/>
        <v>6.3871458880335172</v>
      </c>
      <c r="J48" s="216">
        <f t="shared" si="18"/>
        <v>87.49</v>
      </c>
      <c r="K48" s="216">
        <f t="shared" si="19"/>
        <v>141.59</v>
      </c>
    </row>
    <row r="49" spans="2:11">
      <c r="B49" s="145">
        <f t="shared" si="0"/>
        <v>2064</v>
      </c>
      <c r="C49" s="217"/>
      <c r="D49" s="69">
        <f t="shared" si="32"/>
        <v>223.17379618755277</v>
      </c>
      <c r="E49" s="69">
        <f t="shared" si="32"/>
        <v>42.13891401101484</v>
      </c>
      <c r="F49" s="69">
        <f t="shared" si="33"/>
        <v>112.52203231440789</v>
      </c>
      <c r="G49" s="216">
        <f t="shared" si="36"/>
        <v>377.83</v>
      </c>
      <c r="H49" s="69">
        <f t="shared" si="34"/>
        <v>13.459934339367232</v>
      </c>
      <c r="I49" s="69">
        <f t="shared" si="34"/>
        <v>6.5289405267478617</v>
      </c>
      <c r="J49" s="216">
        <f t="shared" si="18"/>
        <v>89.43</v>
      </c>
      <c r="K49" s="216">
        <f t="shared" si="19"/>
        <v>144.72999999999999</v>
      </c>
    </row>
    <row r="50" spans="2:11">
      <c r="B50" s="145">
        <f t="shared" si="0"/>
        <v>2065</v>
      </c>
      <c r="C50" s="217"/>
      <c r="D50" s="69">
        <f t="shared" si="32"/>
        <v>228.12825446291643</v>
      </c>
      <c r="E50" s="69">
        <f t="shared" si="32"/>
        <v>43.074397902059367</v>
      </c>
      <c r="F50" s="69">
        <f t="shared" si="33"/>
        <v>115.02002143178775</v>
      </c>
      <c r="G50" s="216">
        <f t="shared" si="36"/>
        <v>386.22</v>
      </c>
      <c r="H50" s="69">
        <f t="shared" si="34"/>
        <v>13.758744881701185</v>
      </c>
      <c r="I50" s="69">
        <f t="shared" si="34"/>
        <v>6.6738830064416641</v>
      </c>
      <c r="J50" s="216">
        <f t="shared" si="18"/>
        <v>91.41</v>
      </c>
      <c r="K50" s="216">
        <f t="shared" si="19"/>
        <v>147.93</v>
      </c>
    </row>
    <row r="51" spans="2:11">
      <c r="B51" s="145">
        <f t="shared" si="0"/>
        <v>2066</v>
      </c>
      <c r="C51" s="217"/>
      <c r="D51" s="69">
        <f t="shared" si="32"/>
        <v>233.19270171199318</v>
      </c>
      <c r="E51" s="69">
        <f t="shared" si="32"/>
        <v>44.030649535485082</v>
      </c>
      <c r="F51" s="69">
        <f t="shared" si="33"/>
        <v>117.57346590757344</v>
      </c>
      <c r="G51" s="216">
        <f t="shared" si="36"/>
        <v>394.8</v>
      </c>
      <c r="H51" s="69">
        <f t="shared" si="34"/>
        <v>14.064189018074952</v>
      </c>
      <c r="I51" s="69">
        <f t="shared" si="34"/>
        <v>6.8220432091846694</v>
      </c>
      <c r="J51" s="216">
        <f t="shared" si="18"/>
        <v>93.44</v>
      </c>
      <c r="K51" s="216">
        <f t="shared" si="19"/>
        <v>151.22</v>
      </c>
    </row>
    <row r="52" spans="2:11">
      <c r="B52" s="145">
        <f t="shared" si="0"/>
        <v>2067</v>
      </c>
      <c r="C52" s="217"/>
      <c r="D52" s="69">
        <f t="shared" si="32"/>
        <v>238.36957968999943</v>
      </c>
      <c r="E52" s="69">
        <f t="shared" si="32"/>
        <v>45.008129955172848</v>
      </c>
      <c r="F52" s="69">
        <f t="shared" si="33"/>
        <v>120.18359685072157</v>
      </c>
      <c r="G52" s="216">
        <f t="shared" si="36"/>
        <v>403.56</v>
      </c>
      <c r="H52" s="69">
        <f t="shared" si="34"/>
        <v>14.376414014276216</v>
      </c>
      <c r="I52" s="69">
        <f t="shared" si="34"/>
        <v>6.9734925684285693</v>
      </c>
      <c r="J52" s="216">
        <f t="shared" si="18"/>
        <v>95.52</v>
      </c>
      <c r="K52" s="216">
        <f t="shared" si="19"/>
        <v>154.58000000000001</v>
      </c>
    </row>
    <row r="53" spans="2:11">
      <c r="B53" s="145">
        <f t="shared" si="0"/>
        <v>2068</v>
      </c>
      <c r="C53" s="217"/>
      <c r="D53" s="69">
        <f t="shared" si="32"/>
        <v>243.66138435911742</v>
      </c>
      <c r="E53" s="69">
        <f t="shared" si="32"/>
        <v>46.007310440177683</v>
      </c>
      <c r="F53" s="69">
        <f t="shared" si="33"/>
        <v>122.85167270080758</v>
      </c>
      <c r="G53" s="216">
        <f>ROUND(D53+E53+F53,2)</f>
        <v>412.52</v>
      </c>
      <c r="H53" s="69">
        <f t="shared" si="34"/>
        <v>14.695570405393148</v>
      </c>
      <c r="I53" s="69">
        <f t="shared" si="34"/>
        <v>7.1283041034476833</v>
      </c>
      <c r="J53" s="216">
        <f t="shared" si="18"/>
        <v>97.64</v>
      </c>
      <c r="K53" s="216">
        <f t="shared" si="19"/>
        <v>158.01</v>
      </c>
    </row>
    <row r="54" spans="2:11">
      <c r="B54" s="145">
        <f t="shared" si="0"/>
        <v>2069</v>
      </c>
      <c r="C54" s="217"/>
      <c r="D54" s="69">
        <f t="shared" si="32"/>
        <v>249.07066709188982</v>
      </c>
      <c r="E54" s="69">
        <f t="shared" si="32"/>
        <v>47.028672731949626</v>
      </c>
      <c r="F54" s="69">
        <f t="shared" si="33"/>
        <v>125.57897983476551</v>
      </c>
      <c r="G54" s="216">
        <f>ROUND(D54+E54+F54,2)</f>
        <v>421.68</v>
      </c>
      <c r="H54" s="69">
        <f t="shared" si="34"/>
        <v>15.021812068392876</v>
      </c>
      <c r="I54" s="69">
        <f t="shared" si="34"/>
        <v>7.2865524545442222</v>
      </c>
      <c r="J54" s="216">
        <f t="shared" si="18"/>
        <v>99.81</v>
      </c>
      <c r="K54" s="216">
        <f t="shared" si="19"/>
        <v>161.52000000000001</v>
      </c>
    </row>
    <row r="55" spans="2:11">
      <c r="B55" s="145">
        <f t="shared" si="0"/>
        <v>2070</v>
      </c>
      <c r="C55" s="217"/>
      <c r="D55" s="69">
        <f t="shared" si="32"/>
        <v>254.60003590132976</v>
      </c>
      <c r="E55" s="69">
        <f t="shared" si="32"/>
        <v>48.072709266598906</v>
      </c>
      <c r="F55" s="69">
        <f t="shared" si="33"/>
        <v>128.36683318709728</v>
      </c>
      <c r="G55" s="216">
        <f>ROUND(D55+E55+F55,2)</f>
        <v>431.04</v>
      </c>
      <c r="H55" s="69">
        <f t="shared" si="34"/>
        <v>15.355296296311197</v>
      </c>
      <c r="I55" s="69">
        <f t="shared" si="34"/>
        <v>7.4483139190351038</v>
      </c>
      <c r="J55" s="216">
        <f t="shared" si="18"/>
        <v>102.02</v>
      </c>
      <c r="K55" s="216">
        <f t="shared" si="19"/>
        <v>165.1</v>
      </c>
    </row>
    <row r="56" spans="2:11">
      <c r="B56" s="145">
        <f t="shared" si="0"/>
        <v>2071</v>
      </c>
      <c r="C56" s="217"/>
      <c r="D56" s="69">
        <f t="shared" si="32"/>
        <v>260.25215669833926</v>
      </c>
      <c r="E56" s="69">
        <f t="shared" si="32"/>
        <v>49.139923412317401</v>
      </c>
      <c r="F56" s="69">
        <f t="shared" si="33"/>
        <v>131.21657688385085</v>
      </c>
      <c r="G56" s="216">
        <f>ROUND(D56+E56+F56,2)</f>
        <v>440.61</v>
      </c>
      <c r="H56" s="69">
        <f t="shared" si="34"/>
        <v>15.696183874089305</v>
      </c>
      <c r="I56" s="69">
        <f t="shared" si="34"/>
        <v>7.6136664880376834</v>
      </c>
      <c r="J56" s="216">
        <f t="shared" si="18"/>
        <v>104.29</v>
      </c>
      <c r="K56" s="216">
        <f t="shared" si="19"/>
        <v>168.77</v>
      </c>
    </row>
    <row r="57" spans="2:11">
      <c r="B57" s="145">
        <f t="shared" si="0"/>
        <v>2072</v>
      </c>
      <c r="C57" s="217"/>
      <c r="D57" s="69">
        <f t="shared" ref="D57:E57" si="37">D56*(1+Inflation)</f>
        <v>266.02975457704241</v>
      </c>
      <c r="E57" s="69">
        <f t="shared" si="37"/>
        <v>50.23082971207085</v>
      </c>
      <c r="F57" s="69">
        <f t="shared" si="33"/>
        <v>134.12958489067233</v>
      </c>
      <c r="G57" s="216">
        <f t="shared" ref="G57:G62" si="38">ROUND(D57+E57+F57,2)</f>
        <v>450.39</v>
      </c>
      <c r="H57" s="69">
        <f t="shared" ref="H57:I57" si="39">H56*(1+Inflation)</f>
        <v>16.044639156094089</v>
      </c>
      <c r="I57" s="69">
        <f t="shared" si="39"/>
        <v>7.7826898840721199</v>
      </c>
      <c r="J57" s="216">
        <f t="shared" ref="J57:J62" si="40">ROUND($K$87*H57/1000+I57,2)</f>
        <v>106.6</v>
      </c>
      <c r="K57" s="216">
        <f t="shared" ref="K57:K62" si="41">ROUND(G57*1000/8760/$G$87+J57,2)</f>
        <v>172.52</v>
      </c>
    </row>
    <row r="58" spans="2:11">
      <c r="B58" s="145">
        <f t="shared" si="0"/>
        <v>2073</v>
      </c>
      <c r="C58" s="217"/>
      <c r="D58" s="69">
        <f t="shared" ref="D58:E58" si="42">D57*(1+Inflation)</f>
        <v>271.93561512865273</v>
      </c>
      <c r="E58" s="69">
        <f t="shared" si="42"/>
        <v>51.345954131678823</v>
      </c>
      <c r="F58" s="69">
        <f t="shared" si="33"/>
        <v>137.10726167524527</v>
      </c>
      <c r="G58" s="216">
        <f t="shared" si="38"/>
        <v>460.39</v>
      </c>
      <c r="H58" s="69">
        <f t="shared" ref="H58:I58" si="43">H57*(1+Inflation)</f>
        <v>16.400830145359379</v>
      </c>
      <c r="I58" s="69">
        <f t="shared" si="43"/>
        <v>7.9554655994985213</v>
      </c>
      <c r="J58" s="216">
        <f t="shared" si="40"/>
        <v>108.97</v>
      </c>
      <c r="K58" s="216">
        <f t="shared" si="41"/>
        <v>176.35</v>
      </c>
    </row>
    <row r="59" spans="2:11">
      <c r="B59" s="145">
        <f t="shared" si="0"/>
        <v>2074</v>
      </c>
      <c r="C59" s="217"/>
      <c r="D59" s="69">
        <f t="shared" ref="D59:E59" si="44">D58*(1+Inflation)</f>
        <v>277.97258578450879</v>
      </c>
      <c r="E59" s="69">
        <f t="shared" si="44"/>
        <v>52.485834313402094</v>
      </c>
      <c r="F59" s="69">
        <f t="shared" si="33"/>
        <v>140.15104288443573</v>
      </c>
      <c r="G59" s="216">
        <f t="shared" si="38"/>
        <v>470.61</v>
      </c>
      <c r="H59" s="69">
        <f t="shared" ref="H59:I59" si="45">H58*(1+Inflation)</f>
        <v>16.764928574586357</v>
      </c>
      <c r="I59" s="69">
        <f t="shared" si="45"/>
        <v>8.1320769358073886</v>
      </c>
      <c r="J59" s="216">
        <f t="shared" si="40"/>
        <v>111.39</v>
      </c>
      <c r="K59" s="216">
        <f t="shared" si="41"/>
        <v>180.27</v>
      </c>
    </row>
    <row r="60" spans="2:11">
      <c r="B60" s="145">
        <f t="shared" si="0"/>
        <v>2075</v>
      </c>
      <c r="C60" s="217"/>
      <c r="D60" s="69">
        <f t="shared" ref="D60:E60" si="46">D59*(1+Inflation)</f>
        <v>284.14357718892489</v>
      </c>
      <c r="E60" s="69">
        <f t="shared" si="46"/>
        <v>53.651019835159623</v>
      </c>
      <c r="F60" s="69">
        <f t="shared" si="33"/>
        <v>143.26239603647019</v>
      </c>
      <c r="G60" s="216">
        <f t="shared" si="38"/>
        <v>481.06</v>
      </c>
      <c r="H60" s="69">
        <f t="shared" ref="H60:I60" si="47">H59*(1+Inflation)</f>
        <v>17.137109988942175</v>
      </c>
      <c r="I60" s="69">
        <f t="shared" si="47"/>
        <v>8.312609043782313</v>
      </c>
      <c r="J60" s="216">
        <f t="shared" si="40"/>
        <v>113.86</v>
      </c>
      <c r="K60" s="216">
        <f t="shared" si="41"/>
        <v>184.26</v>
      </c>
    </row>
    <row r="61" spans="2:11">
      <c r="B61" s="145">
        <f t="shared" si="0"/>
        <v>2076</v>
      </c>
      <c r="C61" s="217"/>
      <c r="D61" s="69">
        <f t="shared" ref="D61:E61" si="48">D60*(1+Inflation)</f>
        <v>290.451564602519</v>
      </c>
      <c r="E61" s="69">
        <f t="shared" si="48"/>
        <v>54.842072475500167</v>
      </c>
      <c r="F61" s="69">
        <f t="shared" si="33"/>
        <v>146.44282122847983</v>
      </c>
      <c r="G61" s="216">
        <f t="shared" si="38"/>
        <v>491.74</v>
      </c>
      <c r="H61" s="69">
        <f t="shared" ref="H61:I61" si="49">H60*(1+Inflation)</f>
        <v>17.517553830696691</v>
      </c>
      <c r="I61" s="69">
        <f t="shared" si="49"/>
        <v>8.497148964554281</v>
      </c>
      <c r="J61" s="216">
        <f t="shared" si="40"/>
        <v>116.39</v>
      </c>
      <c r="K61" s="216">
        <f t="shared" si="41"/>
        <v>188.36</v>
      </c>
    </row>
    <row r="62" spans="2:11">
      <c r="B62" s="145">
        <f t="shared" si="0"/>
        <v>2077</v>
      </c>
      <c r="C62" s="217"/>
      <c r="D62" s="69">
        <f t="shared" ref="D62:E63" si="50">D61*(1+Inflation)</f>
        <v>296.89958933669493</v>
      </c>
      <c r="E62" s="69">
        <f t="shared" si="50"/>
        <v>56.059566484456269</v>
      </c>
      <c r="F62" s="69">
        <f t="shared" si="33"/>
        <v>149.69385185975207</v>
      </c>
      <c r="G62" s="216">
        <f t="shared" si="38"/>
        <v>502.65</v>
      </c>
      <c r="H62" s="69">
        <f t="shared" ref="H62:I63" si="51">H61*(1+Inflation)</f>
        <v>17.906443525738158</v>
      </c>
      <c r="I62" s="69">
        <f t="shared" si="51"/>
        <v>8.6857856715673858</v>
      </c>
      <c r="J62" s="216">
        <f t="shared" si="40"/>
        <v>118.97</v>
      </c>
      <c r="K62" s="216">
        <f t="shared" si="41"/>
        <v>192.53</v>
      </c>
    </row>
    <row r="63" spans="2:11">
      <c r="B63" s="145">
        <f t="shared" si="0"/>
        <v>2078</v>
      </c>
      <c r="C63" s="217"/>
      <c r="D63" s="69">
        <f t="shared" si="50"/>
        <v>303.49076021996956</v>
      </c>
      <c r="E63" s="69">
        <f t="shared" si="50"/>
        <v>57.304088860411198</v>
      </c>
      <c r="F63" s="69">
        <f t="shared" si="33"/>
        <v>153.01705537103857</v>
      </c>
      <c r="G63" s="216">
        <f t="shared" ref="G63" si="52">ROUND(D63+E63+F63,2)</f>
        <v>513.80999999999995</v>
      </c>
      <c r="H63" s="69">
        <f t="shared" si="51"/>
        <v>18.303966572009546</v>
      </c>
      <c r="I63" s="69">
        <f t="shared" si="51"/>
        <v>8.8786101134761815</v>
      </c>
      <c r="J63" s="216">
        <f t="shared" ref="J63" si="53">ROUND($K$87*H63/1000+I63,2)</f>
        <v>121.61</v>
      </c>
      <c r="K63" s="216">
        <f t="shared" ref="K63" si="54">ROUND(G63*1000/8760/$G$87+J63,2)</f>
        <v>196.81</v>
      </c>
    </row>
    <row r="64" spans="2:11">
      <c r="B64" s="145"/>
      <c r="C64" s="217"/>
      <c r="D64" s="69"/>
      <c r="E64" s="69"/>
      <c r="F64" s="69"/>
      <c r="G64" s="216"/>
      <c r="H64" s="69"/>
      <c r="I64" s="69"/>
      <c r="J64" s="216"/>
      <c r="K64" s="216"/>
    </row>
    <row r="65" spans="2:29">
      <c r="M65" s="145"/>
      <c r="O65" s="222"/>
      <c r="AA65"/>
      <c r="AC65" s="61"/>
    </row>
    <row r="66" spans="2:29">
      <c r="B66" s="68" t="s">
        <v>176</v>
      </c>
      <c r="C66" s="61"/>
      <c r="D66" s="61"/>
      <c r="E66" s="61"/>
      <c r="F66" s="61"/>
      <c r="G66" s="70">
        <f>-PMT(Discount_Rate,COUNT(G$20:G$59),NPV(Discount_Rate,G$20:G$59))</f>
        <v>267.16666863489758</v>
      </c>
      <c r="H66" s="61"/>
      <c r="I66" s="61"/>
      <c r="J66" s="70">
        <f>-PMT(Discount_Rate,COUNT(J$20:J$59),NPV(Discount_Rate,J$20:J$59))</f>
        <v>63.234577554981016</v>
      </c>
      <c r="K66" s="70">
        <f>-PMT(Discount_Rate,COUNT(K$20:K$59),NPV(Discount_Rate,K$20:K$59))</f>
        <v>102.33462036575582</v>
      </c>
      <c r="L66" s="70"/>
      <c r="M66" s="216"/>
      <c r="O66" s="222"/>
      <c r="AA66"/>
      <c r="AC66" s="61"/>
    </row>
    <row r="67" spans="2:29">
      <c r="M67" s="145"/>
      <c r="O67" s="222"/>
      <c r="AA67"/>
      <c r="AC67" s="61"/>
    </row>
    <row r="68" spans="2:29" ht="14.25">
      <c r="B68" s="4" t="s">
        <v>25</v>
      </c>
      <c r="C68" s="17"/>
      <c r="D68" s="17"/>
      <c r="E68" s="17"/>
      <c r="F68" s="17"/>
      <c r="G68" s="17"/>
      <c r="H68" s="17"/>
      <c r="I68" s="17"/>
      <c r="J68" s="17"/>
      <c r="K68" s="17"/>
      <c r="M68" s="222"/>
      <c r="N68" s="222"/>
    </row>
    <row r="70" spans="2:29">
      <c r="B70" t="s">
        <v>175</v>
      </c>
      <c r="D70" s="146" t="s">
        <v>237</v>
      </c>
      <c r="G70" s="223"/>
    </row>
    <row r="71" spans="2:29">
      <c r="C71" s="159" t="str">
        <f>C6</f>
        <v>(a)</v>
      </c>
      <c r="D71" s="146" t="s">
        <v>174</v>
      </c>
      <c r="G71" s="223"/>
    </row>
    <row r="72" spans="2:29">
      <c r="C72" s="159" t="str">
        <f>D6</f>
        <v>(b)</v>
      </c>
      <c r="D72" s="216" t="str">
        <f>"= "&amp;C6&amp;" x "&amp;TEXT(C107,"0.000%")&amp;E107</f>
        <v>= (a) x 6.234%  Real Payment Factor@ 00% ITC</v>
      </c>
    </row>
    <row r="73" spans="2:29">
      <c r="C73" s="159" t="str">
        <f>H6</f>
        <v>(f)</v>
      </c>
      <c r="D73" s="224" t="s">
        <v>173</v>
      </c>
    </row>
    <row r="74" spans="2:29">
      <c r="C74" s="159" t="str">
        <f>J6</f>
        <v>(h)</v>
      </c>
      <c r="D74" s="216" t="str">
        <f>"= "&amp;H6&amp;" / (8.76 x 'Capacity Factor' ) + "&amp;I6</f>
        <v>= (f) / (8.76 x 'Capacity Factor' ) + (g)</v>
      </c>
    </row>
    <row r="75" spans="2:29" ht="13.5" thickBot="1"/>
    <row r="76" spans="2:29" ht="13.5" thickBot="1">
      <c r="C76" s="37" t="s">
        <v>235</v>
      </c>
      <c r="D76" s="225"/>
      <c r="E76" s="225"/>
      <c r="F76" s="225"/>
      <c r="G76" s="225"/>
      <c r="H76" s="225"/>
      <c r="I76" s="225"/>
      <c r="J76" s="226"/>
      <c r="K76" s="227"/>
      <c r="N76" t="s">
        <v>234</v>
      </c>
    </row>
    <row r="77" spans="2:29" ht="5.25" customHeight="1"/>
    <row r="78" spans="2:29" ht="5.25" customHeight="1"/>
    <row r="79" spans="2:29">
      <c r="C79" s="228" t="s">
        <v>155</v>
      </c>
      <c r="D79" s="229"/>
      <c r="E79" s="228"/>
      <c r="F79" s="230" t="s">
        <v>32</v>
      </c>
      <c r="G79" s="230" t="s">
        <v>156</v>
      </c>
      <c r="H79" s="230" t="s">
        <v>157</v>
      </c>
      <c r="I79" s="230" t="s">
        <v>158</v>
      </c>
      <c r="N79" t="s">
        <v>208</v>
      </c>
    </row>
    <row r="80" spans="2:29">
      <c r="C80" s="220" t="s">
        <v>234</v>
      </c>
      <c r="F80" s="231">
        <f>C91</f>
        <v>1058.9010000000001</v>
      </c>
      <c r="G80" s="36">
        <f>F80/F82</f>
        <v>1</v>
      </c>
      <c r="H80" s="232">
        <f>C92</f>
        <v>1508.5523898865165</v>
      </c>
      <c r="I80" s="233">
        <f>C103</f>
        <v>47.790148433332732</v>
      </c>
      <c r="O80" s="61"/>
      <c r="P80" s="61"/>
      <c r="Q80" s="61"/>
      <c r="R80" s="61"/>
      <c r="S80" s="61"/>
      <c r="T80" s="61"/>
    </row>
    <row r="81" spans="2:20">
      <c r="C81" s="220"/>
      <c r="F81" s="234"/>
      <c r="G81" s="235"/>
      <c r="H81" s="236"/>
      <c r="I81" s="237"/>
      <c r="O81" s="238"/>
      <c r="P81" s="61"/>
      <c r="Q81" s="61"/>
      <c r="R81" s="61"/>
      <c r="S81" s="61"/>
      <c r="T81" s="61"/>
    </row>
    <row r="82" spans="2:20">
      <c r="C82" s="220" t="s">
        <v>159</v>
      </c>
      <c r="F82" s="231">
        <f>F80+F81</f>
        <v>1058.9010000000001</v>
      </c>
      <c r="G82" s="36">
        <f>G80+G81</f>
        <v>1</v>
      </c>
      <c r="H82" s="232">
        <f>ROUND(((F80*H80)+(F81*H81))/F82,0)</f>
        <v>1509</v>
      </c>
      <c r="I82" s="233">
        <f>ROUND(((F80*I80)+(F81*I81))/F82,2)</f>
        <v>47.79</v>
      </c>
      <c r="O82" s="238"/>
      <c r="P82" s="61"/>
      <c r="Q82" s="61"/>
      <c r="R82" s="61"/>
      <c r="S82" s="61"/>
      <c r="T82" s="61"/>
    </row>
    <row r="83" spans="2:20">
      <c r="C83" s="220"/>
      <c r="F83" s="231"/>
      <c r="G83" s="36"/>
      <c r="H83" s="239"/>
      <c r="I83" s="240"/>
      <c r="O83" s="61"/>
      <c r="P83" s="61"/>
      <c r="Q83" s="61"/>
      <c r="R83" s="61"/>
      <c r="S83" s="61"/>
      <c r="T83" s="61"/>
    </row>
    <row r="84" spans="2:20">
      <c r="C84" s="241" t="s">
        <v>155</v>
      </c>
      <c r="D84" s="229"/>
      <c r="E84" s="228"/>
      <c r="F84" s="230" t="s">
        <v>32</v>
      </c>
      <c r="G84" s="230" t="s">
        <v>33</v>
      </c>
      <c r="H84" s="230" t="s">
        <v>160</v>
      </c>
      <c r="I84" s="230" t="s">
        <v>156</v>
      </c>
      <c r="J84" s="230" t="s">
        <v>161</v>
      </c>
      <c r="K84" s="230" t="s">
        <v>162</v>
      </c>
    </row>
    <row r="85" spans="2:20">
      <c r="C85" s="242" t="str">
        <f>C80</f>
        <v>CCCT Dry "H", 2X1, DF, with SCR</v>
      </c>
      <c r="D85" s="243"/>
      <c r="E85" s="243"/>
      <c r="F85">
        <f>C91</f>
        <v>1058.9010000000001</v>
      </c>
      <c r="G85" s="36">
        <f>C108</f>
        <v>0.78</v>
      </c>
      <c r="H85" s="86">
        <f>G85*F85</f>
        <v>825.94278000000008</v>
      </c>
      <c r="I85" s="36">
        <f>H85/H87</f>
        <v>1</v>
      </c>
      <c r="J85" s="240">
        <f>C104</f>
        <v>2.7729594859595257</v>
      </c>
      <c r="K85" s="244">
        <f>C105</f>
        <v>6158.732</v>
      </c>
    </row>
    <row r="86" spans="2:20">
      <c r="C86" s="242">
        <f>C81</f>
        <v>0</v>
      </c>
      <c r="D86" s="243"/>
      <c r="E86" s="243"/>
      <c r="F86" s="245">
        <f>D91</f>
        <v>0</v>
      </c>
      <c r="G86" s="235">
        <f>D108</f>
        <v>0</v>
      </c>
      <c r="H86" s="246">
        <f>G86*F86</f>
        <v>0</v>
      </c>
      <c r="I86" s="235">
        <f>1-I85</f>
        <v>0</v>
      </c>
      <c r="J86" s="247">
        <f>D104</f>
        <v>0</v>
      </c>
      <c r="K86" s="248">
        <f>D105</f>
        <v>0</v>
      </c>
    </row>
    <row r="87" spans="2:20">
      <c r="C87" s="220" t="s">
        <v>163</v>
      </c>
      <c r="F87">
        <f>F85+F86</f>
        <v>1058.9010000000001</v>
      </c>
      <c r="G87" s="249">
        <f>ROUND(H87/F87,3)</f>
        <v>0.78</v>
      </c>
      <c r="H87" s="86">
        <f>SUM(H85:H86)</f>
        <v>825.94278000000008</v>
      </c>
      <c r="I87" s="36">
        <f>I85+I86</f>
        <v>1</v>
      </c>
      <c r="J87" s="240">
        <f>ROUND(($I85*J85)+($I86*J86),2)</f>
        <v>2.77</v>
      </c>
      <c r="K87" s="204">
        <f>ROUND(($I85*K85)+($I86*K86),0)</f>
        <v>6159</v>
      </c>
    </row>
    <row r="88" spans="2:20">
      <c r="G88" s="249"/>
      <c r="I88" s="36"/>
      <c r="J88" s="240"/>
      <c r="K88" s="250" t="s">
        <v>164</v>
      </c>
    </row>
    <row r="90" spans="2:20">
      <c r="C90" s="230" t="s">
        <v>236</v>
      </c>
      <c r="D90" s="230"/>
      <c r="E90" s="312" t="str">
        <f>D70</f>
        <v>Plant Costs  - 2025 IRP Update</v>
      </c>
      <c r="F90" s="251"/>
      <c r="G90" s="251"/>
      <c r="H90" s="251"/>
      <c r="I90" s="251"/>
      <c r="J90" s="251"/>
      <c r="K90" s="252"/>
    </row>
    <row r="91" spans="2:20">
      <c r="C91">
        <v>1058.9010000000001</v>
      </c>
      <c r="E91" t="s">
        <v>165</v>
      </c>
      <c r="H91" s="253"/>
    </row>
    <row r="92" spans="2:20">
      <c r="B92" t="s">
        <v>238</v>
      </c>
      <c r="C92" s="254">
        <v>1508.5523898865165</v>
      </c>
      <c r="E92" s="220" t="s">
        <v>239</v>
      </c>
      <c r="H92" s="253"/>
    </row>
    <row r="93" spans="2:20">
      <c r="B93" t="s">
        <v>238</v>
      </c>
      <c r="C93" s="254">
        <v>11.885996697616648</v>
      </c>
      <c r="E93" s="220" t="s">
        <v>249</v>
      </c>
      <c r="H93" s="253"/>
    </row>
    <row r="94" spans="2:20">
      <c r="B94" t="s">
        <v>238</v>
      </c>
      <c r="C94" s="260">
        <v>38.410855343500728</v>
      </c>
      <c r="D94" s="240"/>
      <c r="E94" t="s">
        <v>166</v>
      </c>
    </row>
    <row r="95" spans="2:20">
      <c r="C95" s="41">
        <v>6158.732</v>
      </c>
      <c r="D95" s="240"/>
      <c r="E95" s="137" t="s">
        <v>240</v>
      </c>
    </row>
    <row r="96" spans="2:20">
      <c r="C96" s="41">
        <v>156515.69936476802</v>
      </c>
      <c r="D96" s="240"/>
      <c r="E96" s="3" t="s">
        <v>241</v>
      </c>
    </row>
    <row r="97" spans="2:10">
      <c r="C97" s="309">
        <v>0.17385</v>
      </c>
      <c r="D97" s="240"/>
      <c r="E97" s="3" t="s">
        <v>242</v>
      </c>
    </row>
    <row r="98" spans="2:10">
      <c r="C98" s="309">
        <v>2.6700000000000001E-3</v>
      </c>
      <c r="D98" s="240"/>
      <c r="E98" s="3" t="s">
        <v>243</v>
      </c>
    </row>
    <row r="99" spans="2:10">
      <c r="C99" s="309">
        <v>1.5E-3</v>
      </c>
      <c r="D99" s="240"/>
      <c r="E99" s="3" t="s">
        <v>244</v>
      </c>
    </row>
    <row r="100" spans="2:10">
      <c r="C100" s="309">
        <f>C98+C99</f>
        <v>4.1700000000000001E-3</v>
      </c>
      <c r="D100" s="240"/>
      <c r="E100" s="3" t="s">
        <v>245</v>
      </c>
    </row>
    <row r="101" spans="2:10">
      <c r="C101" s="310">
        <f>C96*C97*365</f>
        <v>9931742.8321161959</v>
      </c>
      <c r="D101" s="240"/>
      <c r="E101" s="3" t="s">
        <v>246</v>
      </c>
    </row>
    <row r="102" spans="2:10">
      <c r="C102" s="260">
        <f>C101/C91/1000</f>
        <v>9.3792930898320002</v>
      </c>
      <c r="D102" s="240"/>
      <c r="E102" s="3" t="s">
        <v>247</v>
      </c>
    </row>
    <row r="103" spans="2:10">
      <c r="C103" s="260">
        <f>C94+C102</f>
        <v>47.790148433332732</v>
      </c>
      <c r="D103" s="240"/>
      <c r="E103" s="3" t="s">
        <v>248</v>
      </c>
    </row>
    <row r="104" spans="2:10">
      <c r="B104" t="s">
        <v>238</v>
      </c>
      <c r="C104" s="255">
        <v>2.7729594859595257</v>
      </c>
      <c r="D104" s="240"/>
      <c r="E104" t="s">
        <v>167</v>
      </c>
    </row>
    <row r="105" spans="2:10">
      <c r="C105" s="204">
        <v>6158.732</v>
      </c>
      <c r="D105" s="204"/>
      <c r="E105" t="s">
        <v>168</v>
      </c>
    </row>
    <row r="106" spans="2:10">
      <c r="C106" s="256">
        <v>0</v>
      </c>
      <c r="D106" s="204"/>
      <c r="E106" t="s">
        <v>169</v>
      </c>
    </row>
    <row r="107" spans="2:10">
      <c r="C107" s="257">
        <v>6.234E-2</v>
      </c>
      <c r="D107" s="257"/>
      <c r="E107" t="str">
        <f>"  Real Payment Factor@ "&amp;TEXT(C106,"00%")&amp;" ITC"</f>
        <v xml:space="preserve">  Real Payment Factor@ 00% ITC</v>
      </c>
    </row>
    <row r="108" spans="2:10">
      <c r="C108" s="205">
        <v>0.78</v>
      </c>
      <c r="D108" s="205"/>
      <c r="E108" t="s">
        <v>35</v>
      </c>
      <c r="I108" s="256"/>
      <c r="J108" s="258"/>
    </row>
    <row r="109" spans="2:10">
      <c r="D109" s="36">
        <f>ROUND(H87/F87,3)</f>
        <v>0.78</v>
      </c>
      <c r="E109" t="s">
        <v>170</v>
      </c>
      <c r="I109" s="256"/>
      <c r="J109" s="258"/>
    </row>
    <row r="110" spans="2:10">
      <c r="B110" t="s">
        <v>238</v>
      </c>
      <c r="C110" s="79"/>
      <c r="D110" s="61"/>
      <c r="E110" s="61" t="s">
        <v>83</v>
      </c>
      <c r="I110" s="256"/>
      <c r="J110" s="258"/>
    </row>
    <row r="111" spans="2:10">
      <c r="C111" s="45"/>
      <c r="D111" s="206">
        <v>5.716678296246049</v>
      </c>
      <c r="E111" s="61" t="s">
        <v>171</v>
      </c>
      <c r="F111" s="263"/>
      <c r="I111" s="256"/>
      <c r="J111" s="258"/>
    </row>
    <row r="112" spans="2:10">
      <c r="D112" s="45">
        <f>(D111/1000000)*1000*C105</f>
        <v>35.20748955679602</v>
      </c>
      <c r="E112" s="61" t="s">
        <v>172</v>
      </c>
    </row>
    <row r="113" spans="2:5">
      <c r="D113" s="36">
        <v>2.5000000000000001E-2</v>
      </c>
      <c r="E113" s="61" t="s">
        <v>303</v>
      </c>
    </row>
    <row r="114" spans="2:5">
      <c r="B114" t="s">
        <v>289</v>
      </c>
      <c r="D114" s="45">
        <f>'2025 IRPUpdt Assumptions'!$L$145</f>
        <v>19.115769303333334</v>
      </c>
      <c r="E114" s="61" t="s">
        <v>83</v>
      </c>
    </row>
    <row r="115" spans="2:5">
      <c r="D115" s="264"/>
    </row>
    <row r="116" spans="2:5">
      <c r="D116" s="259"/>
    </row>
  </sheetData>
  <printOptions horizontalCentered="1"/>
  <pageMargins left="0.8" right="0.3" top="0.4" bottom="0.4" header="0.5" footer="0.2"/>
  <pageSetup scale="36" orientation="landscape" r:id="rId1"/>
  <headerFooter alignWithMargins="0"/>
  <rowBreaks count="1" manualBreakCount="1">
    <brk id="71" max="10" man="1"/>
  </rowBreaks>
  <ignoredErrors>
    <ignoredError sqref="D2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C952-C1E6-4F7F-A418-8C107C994985}">
  <sheetPr>
    <tabColor rgb="FFCCFFCC"/>
    <pageSetUpPr fitToPage="1"/>
  </sheetPr>
  <dimension ref="B1:AC116"/>
  <sheetViews>
    <sheetView view="pageBreakPreview" topLeftCell="A12" zoomScale="60" zoomScaleNormal="60" workbookViewId="0">
      <selection activeCell="N79" sqref="N79"/>
    </sheetView>
  </sheetViews>
  <sheetFormatPr defaultColWidth="9.33203125" defaultRowHeight="12.75"/>
  <cols>
    <col min="1" max="1" width="2.83203125" customWidth="1"/>
    <col min="2" max="2" width="10.83203125" customWidth="1"/>
    <col min="3" max="3" width="14.1640625" customWidth="1"/>
    <col min="4" max="4" width="15.5" customWidth="1"/>
    <col min="5" max="5" width="10" customWidth="1"/>
    <col min="6" max="6" width="10.5" customWidth="1"/>
    <col min="7" max="7" width="10.5" bestFit="1" customWidth="1"/>
    <col min="8" max="8" width="11.83203125" customWidth="1"/>
    <col min="9" max="9" width="11.1640625" customWidth="1"/>
    <col min="10" max="10" width="14.33203125" customWidth="1"/>
    <col min="11" max="11" width="14.1640625" customWidth="1"/>
    <col min="12" max="12" width="14.33203125" customWidth="1"/>
    <col min="13" max="13" width="9.33203125" customWidth="1"/>
    <col min="14" max="19" width="11.33203125" customWidth="1"/>
    <col min="20" max="20" width="10.33203125" customWidth="1"/>
    <col min="21" max="21" width="12" customWidth="1"/>
    <col min="22" max="22" width="11.5" customWidth="1"/>
    <col min="25" max="25" width="13.6640625" customWidth="1"/>
    <col min="27" max="28" width="9.33203125" style="61"/>
  </cols>
  <sheetData>
    <row r="1" spans="2:29" s="61" customFormat="1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1" t="s">
        <v>291</v>
      </c>
      <c r="C2" s="210"/>
      <c r="D2" s="210"/>
      <c r="E2" s="210"/>
      <c r="F2" s="210"/>
      <c r="G2" s="210"/>
      <c r="H2" s="210"/>
      <c r="I2" s="210"/>
      <c r="J2" s="210"/>
      <c r="K2" s="210"/>
      <c r="N2" t="s">
        <v>208</v>
      </c>
    </row>
    <row r="3" spans="2:29">
      <c r="B3" s="210"/>
      <c r="C3" s="210"/>
      <c r="D3" s="210"/>
      <c r="E3" s="210"/>
      <c r="F3" s="210"/>
      <c r="G3" s="210"/>
      <c r="H3" s="210"/>
      <c r="I3" s="210"/>
      <c r="J3" s="210"/>
      <c r="U3" s="61"/>
      <c r="V3" s="61"/>
      <c r="W3" s="61"/>
      <c r="X3" s="61"/>
      <c r="Y3" s="61"/>
      <c r="Z3" s="61"/>
      <c r="AC3" s="61"/>
    </row>
    <row r="4" spans="2:29" ht="51.75" customHeight="1">
      <c r="B4" s="13" t="s">
        <v>0</v>
      </c>
      <c r="C4" s="14" t="s">
        <v>10</v>
      </c>
      <c r="D4" s="14" t="s">
        <v>150</v>
      </c>
      <c r="E4" s="14" t="s">
        <v>73</v>
      </c>
      <c r="F4" s="14" t="s">
        <v>151</v>
      </c>
      <c r="G4" s="14" t="s">
        <v>152</v>
      </c>
      <c r="H4" s="211" t="s">
        <v>21</v>
      </c>
      <c r="I4" s="14" t="s">
        <v>13</v>
      </c>
      <c r="J4" s="211" t="s">
        <v>153</v>
      </c>
      <c r="K4" s="14" t="s">
        <v>48</v>
      </c>
      <c r="T4" s="61"/>
      <c r="U4" s="61"/>
      <c r="V4" s="61"/>
      <c r="W4" s="61"/>
      <c r="X4" s="61"/>
      <c r="Y4" s="61"/>
      <c r="Z4" s="61"/>
    </row>
    <row r="5" spans="2:29" ht="48" customHeight="1">
      <c r="B5" s="212"/>
      <c r="C5" s="15" t="s">
        <v>8</v>
      </c>
      <c r="D5" s="16" t="s">
        <v>9</v>
      </c>
      <c r="E5" s="16" t="s">
        <v>9</v>
      </c>
      <c r="F5" s="16" t="s">
        <v>9</v>
      </c>
      <c r="G5" s="16" t="s">
        <v>9</v>
      </c>
      <c r="H5" s="16" t="s">
        <v>154</v>
      </c>
      <c r="I5" s="15" t="s">
        <v>31</v>
      </c>
      <c r="J5" s="15" t="s">
        <v>31</v>
      </c>
      <c r="K5" s="15" t="s">
        <v>31</v>
      </c>
      <c r="T5" s="61"/>
      <c r="U5" s="61"/>
      <c r="V5" s="61"/>
      <c r="W5" s="61"/>
      <c r="X5" s="61"/>
      <c r="Y5" s="100"/>
      <c r="Z5" s="100"/>
    </row>
    <row r="6" spans="2:29">
      <c r="C6" s="213" t="s">
        <v>1</v>
      </c>
      <c r="D6" s="213" t="s">
        <v>2</v>
      </c>
      <c r="E6" s="213" t="s">
        <v>3</v>
      </c>
      <c r="F6" s="213" t="s">
        <v>4</v>
      </c>
      <c r="G6" s="213" t="s">
        <v>5</v>
      </c>
      <c r="H6" s="213" t="s">
        <v>7</v>
      </c>
      <c r="I6" s="213" t="s">
        <v>22</v>
      </c>
      <c r="J6" s="67" t="s">
        <v>23</v>
      </c>
      <c r="K6" s="67" t="s">
        <v>24</v>
      </c>
      <c r="T6" s="61"/>
      <c r="U6" s="61"/>
      <c r="V6" s="61"/>
      <c r="W6" s="61"/>
      <c r="X6" s="61"/>
      <c r="Y6" s="61"/>
      <c r="Z6" s="61"/>
    </row>
    <row r="7" spans="2:29" ht="6" customHeight="1">
      <c r="T7" s="61"/>
      <c r="U7" s="61"/>
      <c r="V7" s="61"/>
      <c r="W7" s="61"/>
      <c r="X7" s="61"/>
      <c r="Y7" s="61"/>
      <c r="Z7" s="61"/>
    </row>
    <row r="8" spans="2:29" ht="15.75">
      <c r="B8" s="38" t="str">
        <f>C76</f>
        <v xml:space="preserve">Utah South -  CCCT Dry "H", 2X1, DF, with SCR (GCC.PX.UTS._.DF_.H_2x1) </v>
      </c>
      <c r="H8" s="210"/>
      <c r="J8" s="210"/>
      <c r="K8" s="210"/>
      <c r="T8" s="61"/>
      <c r="U8" s="61"/>
      <c r="V8" s="61"/>
      <c r="W8" s="61"/>
      <c r="X8" s="61"/>
      <c r="Y8" s="61"/>
      <c r="Z8" s="61"/>
    </row>
    <row r="9" spans="2:29" ht="18.95" customHeight="1">
      <c r="B9" s="145"/>
      <c r="C9" s="214"/>
      <c r="D9" s="215"/>
      <c r="E9" s="216"/>
      <c r="F9" s="216"/>
      <c r="G9" s="216"/>
      <c r="H9" s="216"/>
      <c r="I9" s="216"/>
      <c r="J9" s="216"/>
      <c r="K9" s="216"/>
      <c r="T9" s="61"/>
      <c r="U9" s="79"/>
      <c r="V9" s="79"/>
      <c r="W9" s="79"/>
      <c r="X9" s="61"/>
      <c r="Y9" s="79"/>
      <c r="Z9" s="79"/>
    </row>
    <row r="10" spans="2:29">
      <c r="B10" s="145">
        <v>2025</v>
      </c>
      <c r="C10" s="261">
        <f>C92+C93</f>
        <v>1520.4383865841332</v>
      </c>
      <c r="D10" s="215"/>
      <c r="E10" s="69"/>
      <c r="F10" s="188">
        <f>C103</f>
        <v>47.790148433332732</v>
      </c>
      <c r="G10" s="216"/>
      <c r="H10" s="265">
        <f>$D$111</f>
        <v>5.716678296246049</v>
      </c>
      <c r="I10" s="262">
        <f>$C$104</f>
        <v>2.7729594859595257</v>
      </c>
      <c r="J10" s="216"/>
      <c r="K10" s="216"/>
      <c r="N10" s="218"/>
      <c r="O10" s="218"/>
      <c r="T10" s="61"/>
      <c r="U10" s="79"/>
      <c r="V10" s="79"/>
      <c r="W10" s="143"/>
      <c r="X10" s="79"/>
      <c r="Y10" s="79"/>
      <c r="Z10" s="79"/>
    </row>
    <row r="11" spans="2:29">
      <c r="B11" s="145">
        <f t="shared" ref="B11:B63" si="0">B10+1</f>
        <v>2026</v>
      </c>
      <c r="C11" s="217">
        <f t="shared" ref="C11:C21" si="1">C10*(1+Inflation)</f>
        <v>1554.1921187663011</v>
      </c>
      <c r="D11" s="215"/>
      <c r="E11" s="69"/>
      <c r="F11" s="69">
        <f t="shared" ref="F11:F63" si="2">F10*(1+Inflation)</f>
        <v>48.851089728552715</v>
      </c>
      <c r="G11" s="216"/>
      <c r="H11" s="69">
        <f t="shared" ref="H11:I26" si="3">H10*(1+Inflation)</f>
        <v>5.8435885544227109</v>
      </c>
      <c r="I11" s="69">
        <f t="shared" si="3"/>
        <v>2.8345191865478272</v>
      </c>
      <c r="J11" s="216"/>
      <c r="K11" s="216"/>
      <c r="N11" s="218"/>
      <c r="O11" s="218"/>
      <c r="T11" s="61"/>
      <c r="U11" s="79"/>
      <c r="V11" s="79"/>
      <c r="W11" s="143"/>
      <c r="X11" s="79"/>
      <c r="Y11" s="79"/>
      <c r="Z11" s="79"/>
    </row>
    <row r="12" spans="2:29">
      <c r="B12" s="145">
        <f t="shared" si="0"/>
        <v>2027</v>
      </c>
      <c r="C12" s="217">
        <f t="shared" si="1"/>
        <v>1588.6951838029129</v>
      </c>
      <c r="D12" s="215"/>
      <c r="E12" s="69"/>
      <c r="F12" s="69">
        <f t="shared" si="2"/>
        <v>49.935583920526582</v>
      </c>
      <c r="G12" s="216"/>
      <c r="H12" s="69">
        <f t="shared" si="3"/>
        <v>5.9733162203308954</v>
      </c>
      <c r="I12" s="69">
        <f t="shared" si="3"/>
        <v>2.8974455124891891</v>
      </c>
      <c r="J12" s="216"/>
      <c r="K12" s="216"/>
      <c r="N12" s="218"/>
      <c r="O12" s="218"/>
      <c r="T12" s="61"/>
      <c r="U12" s="79"/>
      <c r="V12" s="79"/>
      <c r="W12" s="79"/>
      <c r="X12" s="79"/>
      <c r="Y12" s="79"/>
      <c r="Z12" s="79"/>
    </row>
    <row r="13" spans="2:29">
      <c r="B13" s="145">
        <f t="shared" si="0"/>
        <v>2028</v>
      </c>
      <c r="C13" s="217">
        <f t="shared" si="1"/>
        <v>1623.9642168833375</v>
      </c>
      <c r="D13" s="215"/>
      <c r="E13" s="188">
        <f>$D$114</f>
        <v>19.115769303333334</v>
      </c>
      <c r="F13" s="69">
        <f t="shared" si="2"/>
        <v>51.044153883562274</v>
      </c>
      <c r="G13" s="216"/>
      <c r="H13" s="69">
        <f t="shared" si="3"/>
        <v>6.1059238404222409</v>
      </c>
      <c r="I13" s="69">
        <f t="shared" si="3"/>
        <v>2.9617688028664491</v>
      </c>
      <c r="J13" s="216"/>
      <c r="K13" s="216"/>
      <c r="N13" s="218"/>
      <c r="O13" s="218"/>
      <c r="T13" s="219"/>
      <c r="U13" s="79"/>
      <c r="V13" s="79"/>
      <c r="W13" s="79"/>
      <c r="X13" s="79"/>
      <c r="Y13" s="79"/>
      <c r="Z13" s="79"/>
    </row>
    <row r="14" spans="2:29">
      <c r="B14" s="145">
        <f t="shared" si="0"/>
        <v>2029</v>
      </c>
      <c r="C14" s="217">
        <f t="shared" si="1"/>
        <v>1660.0162224981475</v>
      </c>
      <c r="D14" s="215"/>
      <c r="E14" s="69">
        <f t="shared" ref="E14:E20" si="4">E13*(1+Inflation)</f>
        <v>19.540139381867334</v>
      </c>
      <c r="F14" s="69">
        <f t="shared" si="2"/>
        <v>52.177334099777354</v>
      </c>
      <c r="G14" s="216"/>
      <c r="H14" s="69">
        <f t="shared" si="3"/>
        <v>6.2414753496796145</v>
      </c>
      <c r="I14" s="69">
        <f t="shared" si="3"/>
        <v>3.0275200702900844</v>
      </c>
      <c r="J14" s="216"/>
      <c r="K14" s="216"/>
      <c r="N14" s="218"/>
      <c r="O14" s="218"/>
      <c r="T14" s="61"/>
      <c r="U14" s="79"/>
      <c r="V14" s="79"/>
      <c r="W14" s="79"/>
      <c r="X14" s="79"/>
      <c r="Y14" s="79"/>
      <c r="Z14" s="79"/>
    </row>
    <row r="15" spans="2:29">
      <c r="B15" s="145">
        <f t="shared" si="0"/>
        <v>2030</v>
      </c>
      <c r="C15" s="217">
        <f t="shared" si="1"/>
        <v>1696.8685826376063</v>
      </c>
      <c r="D15" s="69"/>
      <c r="E15" s="69">
        <f t="shared" si="4"/>
        <v>19.97393047614479</v>
      </c>
      <c r="F15" s="69">
        <f t="shared" si="2"/>
        <v>53.335670916792409</v>
      </c>
      <c r="G15" s="216"/>
      <c r="H15" s="69">
        <f t="shared" si="3"/>
        <v>6.3800361024425021</v>
      </c>
      <c r="I15" s="69">
        <f t="shared" si="3"/>
        <v>3.0947310158505243</v>
      </c>
      <c r="J15" s="216"/>
      <c r="K15" s="216"/>
      <c r="N15" s="218"/>
      <c r="O15" s="218"/>
      <c r="T15" s="61"/>
      <c r="U15" s="79"/>
      <c r="V15" s="79"/>
      <c r="W15" s="79"/>
      <c r="X15" s="79"/>
      <c r="Y15" s="79"/>
      <c r="Z15" s="79"/>
    </row>
    <row r="16" spans="2:29" s="220" customFormat="1">
      <c r="B16" s="145">
        <f t="shared" si="0"/>
        <v>2031</v>
      </c>
      <c r="C16" s="217">
        <f t="shared" si="1"/>
        <v>1734.5390651721611</v>
      </c>
      <c r="D16" s="69"/>
      <c r="E16" s="69">
        <f t="shared" si="4"/>
        <v>20.417351732715204</v>
      </c>
      <c r="F16" s="69">
        <f t="shared" si="2"/>
        <v>54.519722811145201</v>
      </c>
      <c r="G16" s="216"/>
      <c r="H16" s="69">
        <f t="shared" si="3"/>
        <v>6.521672903916726</v>
      </c>
      <c r="I16" s="69">
        <f t="shared" si="3"/>
        <v>3.1634340444024058</v>
      </c>
      <c r="J16" s="216"/>
      <c r="K16" s="216"/>
      <c r="L16"/>
      <c r="M16"/>
      <c r="N16" s="218"/>
      <c r="O16" s="218"/>
      <c r="T16" s="61"/>
      <c r="U16" s="79"/>
      <c r="V16" s="79"/>
      <c r="W16" s="79"/>
      <c r="X16" s="79"/>
      <c r="Y16" s="79"/>
      <c r="Z16" s="79"/>
      <c r="AA16" s="61"/>
      <c r="AB16" s="61"/>
    </row>
    <row r="17" spans="2:28" s="220" customFormat="1">
      <c r="B17" s="145">
        <f t="shared" si="0"/>
        <v>2032</v>
      </c>
      <c r="C17" s="217">
        <f t="shared" si="1"/>
        <v>1773.0458324189831</v>
      </c>
      <c r="D17" s="69"/>
      <c r="E17" s="69">
        <f t="shared" si="4"/>
        <v>20.870616941181481</v>
      </c>
      <c r="F17" s="69">
        <f t="shared" si="2"/>
        <v>55.730060657552627</v>
      </c>
      <c r="G17" s="216"/>
      <c r="H17" s="69">
        <f t="shared" si="3"/>
        <v>6.6664540423836778</v>
      </c>
      <c r="I17" s="69">
        <f t="shared" si="3"/>
        <v>3.2336622801881392</v>
      </c>
      <c r="J17" s="216"/>
      <c r="K17" s="216"/>
      <c r="L17"/>
      <c r="M17"/>
      <c r="N17" s="218"/>
      <c r="O17" s="218"/>
      <c r="T17" s="61"/>
      <c r="U17" s="79"/>
      <c r="V17" s="79"/>
      <c r="W17" s="79"/>
      <c r="X17" s="79"/>
      <c r="Y17" s="79"/>
      <c r="Z17" s="79"/>
      <c r="AA17" s="61"/>
      <c r="AB17" s="61"/>
    </row>
    <row r="18" spans="2:28" s="220" customFormat="1">
      <c r="B18" s="145">
        <f t="shared" si="0"/>
        <v>2033</v>
      </c>
      <c r="C18" s="217">
        <f t="shared" si="1"/>
        <v>1812.4074498986845</v>
      </c>
      <c r="D18" s="69"/>
      <c r="E18" s="69">
        <f t="shared" si="4"/>
        <v>21.33394463727571</v>
      </c>
      <c r="F18" s="69">
        <f t="shared" si="2"/>
        <v>56.967268004150299</v>
      </c>
      <c r="G18" s="216"/>
      <c r="H18" s="69">
        <f t="shared" si="3"/>
        <v>6.8144493221245952</v>
      </c>
      <c r="I18" s="69">
        <f t="shared" si="3"/>
        <v>3.3054495828083157</v>
      </c>
      <c r="J18" s="216"/>
      <c r="K18" s="216"/>
      <c r="L18"/>
      <c r="M18"/>
      <c r="N18" s="218"/>
      <c r="O18" s="218"/>
      <c r="T18" s="61"/>
      <c r="U18" s="79"/>
      <c r="V18" s="79"/>
      <c r="W18" s="79"/>
      <c r="X18" s="79"/>
      <c r="Y18" s="79"/>
      <c r="Z18" s="79"/>
      <c r="AA18" s="61"/>
      <c r="AB18" s="61"/>
    </row>
    <row r="19" spans="2:28" s="220" customFormat="1">
      <c r="B19" s="145">
        <f t="shared" si="0"/>
        <v>2034</v>
      </c>
      <c r="C19" s="217">
        <f t="shared" si="1"/>
        <v>1852.6428952864353</v>
      </c>
      <c r="D19" s="69"/>
      <c r="E19" s="69">
        <f t="shared" si="4"/>
        <v>21.807558208223231</v>
      </c>
      <c r="F19" s="69">
        <f t="shared" si="2"/>
        <v>58.231941353842437</v>
      </c>
      <c r="G19" s="216"/>
      <c r="H19" s="69">
        <f t="shared" si="3"/>
        <v>6.9657300970757614</v>
      </c>
      <c r="I19" s="69">
        <f t="shared" si="3"/>
        <v>3.3788305635466602</v>
      </c>
      <c r="J19" s="216"/>
      <c r="K19" s="216"/>
      <c r="L19"/>
      <c r="M19"/>
      <c r="N19" s="218"/>
      <c r="O19" s="218"/>
      <c r="Q19" s="221"/>
      <c r="T19" s="61"/>
      <c r="U19" s="79"/>
      <c r="V19" s="79"/>
      <c r="W19" s="79"/>
      <c r="X19" s="79"/>
      <c r="Y19" s="79"/>
      <c r="Z19" s="79"/>
      <c r="AA19" s="61"/>
      <c r="AB19" s="61"/>
    </row>
    <row r="20" spans="2:28" s="220" customFormat="1">
      <c r="B20" s="145">
        <f t="shared" si="0"/>
        <v>2035</v>
      </c>
      <c r="C20" s="217">
        <f t="shared" si="1"/>
        <v>1893.7715675617942</v>
      </c>
      <c r="D20" s="69"/>
      <c r="E20" s="69">
        <f t="shared" si="4"/>
        <v>22.291686000445786</v>
      </c>
      <c r="F20" s="69">
        <f t="shared" si="2"/>
        <v>59.52469045189774</v>
      </c>
      <c r="G20" s="216"/>
      <c r="H20" s="69">
        <f t="shared" si="3"/>
        <v>7.1203693052308434</v>
      </c>
      <c r="I20" s="69">
        <f t="shared" si="3"/>
        <v>3.453840602057396</v>
      </c>
      <c r="J20" s="216"/>
      <c r="K20" s="216"/>
      <c r="L20"/>
      <c r="M20"/>
      <c r="N20"/>
      <c r="T20" s="61"/>
      <c r="U20" s="79"/>
      <c r="V20" s="79"/>
      <c r="W20" s="79"/>
      <c r="X20" s="79"/>
      <c r="Y20" s="79"/>
      <c r="Z20" s="79"/>
      <c r="AA20" s="61"/>
      <c r="AB20" s="61"/>
    </row>
    <row r="21" spans="2:28">
      <c r="B21" s="145">
        <f t="shared" si="0"/>
        <v>2036</v>
      </c>
      <c r="C21" s="217">
        <f t="shared" si="1"/>
        <v>1935.8132963616661</v>
      </c>
      <c r="D21" s="188">
        <f>ROUND(C21*$C$107,2)</f>
        <v>120.68</v>
      </c>
      <c r="E21" s="188">
        <f>E20*(1+Inflation)+$D$115</f>
        <v>37.222435644655683</v>
      </c>
      <c r="F21" s="69">
        <f t="shared" si="2"/>
        <v>60.846138579929871</v>
      </c>
      <c r="G21" s="216">
        <f t="shared" ref="G21:G52" si="5">ROUND(D21+E21+F21,2)</f>
        <v>218.75</v>
      </c>
      <c r="H21" s="69">
        <f t="shared" si="3"/>
        <v>7.2784415038069685</v>
      </c>
      <c r="I21" s="69">
        <f t="shared" si="3"/>
        <v>3.5305158634230702</v>
      </c>
      <c r="J21" s="216">
        <f t="shared" ref="J21:J63" si="6">ROUND($K$87*H21/1000+I21,2)</f>
        <v>48.36</v>
      </c>
      <c r="K21" s="216">
        <f t="shared" ref="K21:K63" si="7">ROUND(G21*1000/8760/$G$87+J21,2)</f>
        <v>80.37</v>
      </c>
      <c r="T21" s="61"/>
      <c r="U21" s="79"/>
      <c r="V21" s="79"/>
      <c r="W21" s="79"/>
      <c r="X21" s="79"/>
      <c r="Y21" s="79"/>
      <c r="Z21" s="79"/>
    </row>
    <row r="22" spans="2:28">
      <c r="B22" s="145">
        <f t="shared" si="0"/>
        <v>2037</v>
      </c>
      <c r="C22" s="217"/>
      <c r="D22" s="69">
        <f t="shared" ref="D22:E36" si="8">D21*(1+Inflation)</f>
        <v>123.35909600000001</v>
      </c>
      <c r="E22" s="69">
        <f t="shared" si="8"/>
        <v>38.048773715967037</v>
      </c>
      <c r="F22" s="69">
        <f t="shared" si="2"/>
        <v>62.196922856404314</v>
      </c>
      <c r="G22" s="216">
        <f t="shared" si="5"/>
        <v>223.6</v>
      </c>
      <c r="H22" s="69">
        <f t="shared" si="3"/>
        <v>7.4400229051914835</v>
      </c>
      <c r="I22" s="69">
        <f t="shared" si="3"/>
        <v>3.6088933155910623</v>
      </c>
      <c r="J22" s="216">
        <f t="shared" si="6"/>
        <v>49.43</v>
      </c>
      <c r="K22" s="216">
        <f t="shared" si="7"/>
        <v>82.15</v>
      </c>
    </row>
    <row r="23" spans="2:28">
      <c r="B23" s="145">
        <f t="shared" si="0"/>
        <v>2038</v>
      </c>
      <c r="C23" s="217"/>
      <c r="D23" s="69">
        <f t="shared" si="8"/>
        <v>126.09766793120001</v>
      </c>
      <c r="E23" s="69">
        <f t="shared" si="8"/>
        <v>38.893456492461503</v>
      </c>
      <c r="F23" s="69">
        <f t="shared" si="2"/>
        <v>63.577694543816492</v>
      </c>
      <c r="G23" s="216">
        <f t="shared" si="5"/>
        <v>228.57</v>
      </c>
      <c r="H23" s="69">
        <f t="shared" si="3"/>
        <v>7.6051914136867342</v>
      </c>
      <c r="I23" s="69">
        <f t="shared" si="3"/>
        <v>3.6890107471971838</v>
      </c>
      <c r="J23" s="216">
        <f t="shared" si="6"/>
        <v>50.53</v>
      </c>
      <c r="K23" s="216">
        <f t="shared" si="7"/>
        <v>83.98</v>
      </c>
    </row>
    <row r="24" spans="2:28">
      <c r="B24" s="145">
        <f t="shared" si="0"/>
        <v>2039</v>
      </c>
      <c r="C24" s="217"/>
      <c r="D24" s="69">
        <f t="shared" si="8"/>
        <v>128.89703615927266</v>
      </c>
      <c r="E24" s="69">
        <f t="shared" si="8"/>
        <v>39.756891226594149</v>
      </c>
      <c r="F24" s="69">
        <f t="shared" si="2"/>
        <v>64.989119362689223</v>
      </c>
      <c r="G24" s="216">
        <f t="shared" si="5"/>
        <v>233.64</v>
      </c>
      <c r="H24" s="69">
        <f t="shared" si="3"/>
        <v>7.7740266630705799</v>
      </c>
      <c r="I24" s="69">
        <f t="shared" si="3"/>
        <v>3.7709067857849612</v>
      </c>
      <c r="J24" s="216">
        <f t="shared" si="6"/>
        <v>51.65</v>
      </c>
      <c r="K24" s="216">
        <f t="shared" si="7"/>
        <v>85.84</v>
      </c>
    </row>
    <row r="25" spans="2:28">
      <c r="B25" s="145">
        <f t="shared" si="0"/>
        <v>2040</v>
      </c>
      <c r="C25" s="217"/>
      <c r="D25" s="69">
        <f t="shared" si="8"/>
        <v>131.75855036200852</v>
      </c>
      <c r="E25" s="69">
        <f t="shared" si="8"/>
        <v>40.639494211824541</v>
      </c>
      <c r="F25" s="69">
        <f t="shared" si="2"/>
        <v>66.431877812540918</v>
      </c>
      <c r="G25" s="216">
        <f t="shared" si="5"/>
        <v>238.83</v>
      </c>
      <c r="H25" s="69">
        <f t="shared" si="3"/>
        <v>7.9466100549907468</v>
      </c>
      <c r="I25" s="69">
        <f t="shared" si="3"/>
        <v>3.8546209164293872</v>
      </c>
      <c r="J25" s="216">
        <f t="shared" si="6"/>
        <v>52.8</v>
      </c>
      <c r="K25" s="216">
        <f t="shared" si="7"/>
        <v>87.75</v>
      </c>
    </row>
    <row r="26" spans="2:28">
      <c r="B26" s="145">
        <f t="shared" si="0"/>
        <v>2041</v>
      </c>
      <c r="C26" s="217"/>
      <c r="D26" s="69">
        <f t="shared" si="8"/>
        <v>134.68359018004512</v>
      </c>
      <c r="E26" s="69">
        <f t="shared" si="8"/>
        <v>41.541690983327044</v>
      </c>
      <c r="F26" s="69">
        <f t="shared" si="2"/>
        <v>67.906665499979326</v>
      </c>
      <c r="G26" s="216">
        <f t="shared" si="5"/>
        <v>244.13</v>
      </c>
      <c r="H26" s="69">
        <f t="shared" si="3"/>
        <v>8.1230247982115422</v>
      </c>
      <c r="I26" s="69">
        <f t="shared" si="3"/>
        <v>3.9401935007741198</v>
      </c>
      <c r="J26" s="216">
        <f t="shared" si="6"/>
        <v>53.97</v>
      </c>
      <c r="K26" s="216">
        <f t="shared" si="7"/>
        <v>89.7</v>
      </c>
    </row>
    <row r="27" spans="2:28">
      <c r="B27" s="145">
        <f t="shared" si="0"/>
        <v>2042</v>
      </c>
      <c r="C27" s="217"/>
      <c r="D27" s="69">
        <f t="shared" si="8"/>
        <v>137.67356588204211</v>
      </c>
      <c r="E27" s="69">
        <f t="shared" si="8"/>
        <v>42.463916523156904</v>
      </c>
      <c r="F27" s="69">
        <f t="shared" si="2"/>
        <v>69.414193474078871</v>
      </c>
      <c r="G27" s="216">
        <f t="shared" si="5"/>
        <v>249.55</v>
      </c>
      <c r="H27" s="69">
        <f t="shared" ref="H27:I42" si="9">H26*(1+Inflation)</f>
        <v>8.3033559487318378</v>
      </c>
      <c r="I27" s="69">
        <f t="shared" si="9"/>
        <v>4.0276657964913056</v>
      </c>
      <c r="J27" s="216">
        <f t="shared" si="6"/>
        <v>55.17</v>
      </c>
      <c r="K27" s="216">
        <f t="shared" si="7"/>
        <v>91.69</v>
      </c>
    </row>
    <row r="28" spans="2:28">
      <c r="B28" s="145">
        <f t="shared" si="0"/>
        <v>2043</v>
      </c>
      <c r="C28" s="217"/>
      <c r="D28" s="69">
        <f t="shared" si="8"/>
        <v>140.72991904462344</v>
      </c>
      <c r="E28" s="69">
        <f t="shared" si="8"/>
        <v>43.406615469970987</v>
      </c>
      <c r="F28" s="69">
        <f t="shared" si="2"/>
        <v>70.955188569203429</v>
      </c>
      <c r="G28" s="216">
        <f t="shared" si="5"/>
        <v>255.09</v>
      </c>
      <c r="H28" s="69">
        <f t="shared" si="9"/>
        <v>8.4876904507936839</v>
      </c>
      <c r="I28" s="69">
        <f t="shared" si="9"/>
        <v>4.1170799771734128</v>
      </c>
      <c r="J28" s="216">
        <f t="shared" si="6"/>
        <v>56.39</v>
      </c>
      <c r="K28" s="216">
        <f t="shared" si="7"/>
        <v>93.72</v>
      </c>
    </row>
    <row r="29" spans="2:28">
      <c r="B29" s="145">
        <f t="shared" si="0"/>
        <v>2044</v>
      </c>
      <c r="C29" s="217"/>
      <c r="D29" s="69">
        <f t="shared" si="8"/>
        <v>143.85412324741409</v>
      </c>
      <c r="E29" s="69">
        <f t="shared" si="8"/>
        <v>44.370242333404342</v>
      </c>
      <c r="F29" s="69">
        <f t="shared" si="2"/>
        <v>72.530393755439746</v>
      </c>
      <c r="G29" s="216">
        <f t="shared" si="5"/>
        <v>260.75</v>
      </c>
      <c r="H29" s="69">
        <f t="shared" si="9"/>
        <v>8.6761171788013041</v>
      </c>
      <c r="I29" s="69">
        <f t="shared" si="9"/>
        <v>4.2084791526666629</v>
      </c>
      <c r="J29" s="216">
        <f t="shared" si="6"/>
        <v>57.64</v>
      </c>
      <c r="K29" s="216">
        <f t="shared" si="7"/>
        <v>95.8</v>
      </c>
    </row>
    <row r="30" spans="2:28">
      <c r="B30" s="145">
        <f t="shared" si="0"/>
        <v>2045</v>
      </c>
      <c r="C30" s="217"/>
      <c r="D30" s="69">
        <f t="shared" si="8"/>
        <v>147.0476847835067</v>
      </c>
      <c r="E30" s="69">
        <f t="shared" si="8"/>
        <v>45.35526171320592</v>
      </c>
      <c r="F30" s="69">
        <f t="shared" si="2"/>
        <v>74.140568496810502</v>
      </c>
      <c r="G30" s="216">
        <f t="shared" si="5"/>
        <v>266.54000000000002</v>
      </c>
      <c r="H30" s="69">
        <f t="shared" si="9"/>
        <v>8.8687269801706936</v>
      </c>
      <c r="I30" s="69">
        <f t="shared" si="9"/>
        <v>4.3019073898558631</v>
      </c>
      <c r="J30" s="216">
        <f t="shared" si="6"/>
        <v>58.92</v>
      </c>
      <c r="K30" s="216">
        <f t="shared" si="7"/>
        <v>97.93</v>
      </c>
    </row>
    <row r="31" spans="2:28">
      <c r="B31" s="145">
        <f t="shared" si="0"/>
        <v>2046</v>
      </c>
      <c r="C31" s="217"/>
      <c r="D31" s="69">
        <f t="shared" si="8"/>
        <v>150.31214338570055</v>
      </c>
      <c r="E31" s="69">
        <f t="shared" si="8"/>
        <v>46.362148523239092</v>
      </c>
      <c r="F31" s="69">
        <f t="shared" si="2"/>
        <v>75.7864891174397</v>
      </c>
      <c r="G31" s="216">
        <f t="shared" si="5"/>
        <v>272.45999999999998</v>
      </c>
      <c r="H31" s="69">
        <f t="shared" si="9"/>
        <v>9.0656127191304829</v>
      </c>
      <c r="I31" s="69">
        <f t="shared" si="9"/>
        <v>4.3974097339106635</v>
      </c>
      <c r="J31" s="216">
        <f t="shared" si="6"/>
        <v>60.23</v>
      </c>
      <c r="K31" s="216">
        <f t="shared" si="7"/>
        <v>100.11</v>
      </c>
    </row>
    <row r="32" spans="2:28">
      <c r="B32" s="145">
        <f t="shared" si="0"/>
        <v>2047</v>
      </c>
      <c r="C32" s="217"/>
      <c r="D32" s="69">
        <f t="shared" si="8"/>
        <v>153.64907296886309</v>
      </c>
      <c r="E32" s="69">
        <f t="shared" si="8"/>
        <v>47.391388220454999</v>
      </c>
      <c r="F32" s="69">
        <f t="shared" si="2"/>
        <v>77.468949175846859</v>
      </c>
      <c r="G32" s="216">
        <f t="shared" si="5"/>
        <v>278.51</v>
      </c>
      <c r="H32" s="69">
        <f t="shared" si="9"/>
        <v>9.2668693214951805</v>
      </c>
      <c r="I32" s="69">
        <f t="shared" si="9"/>
        <v>4.4950322300034804</v>
      </c>
      <c r="J32" s="216">
        <f t="shared" si="6"/>
        <v>61.57</v>
      </c>
      <c r="K32" s="216">
        <f t="shared" si="7"/>
        <v>102.33</v>
      </c>
    </row>
    <row r="33" spans="2:11">
      <c r="B33" s="145">
        <f t="shared" si="0"/>
        <v>2048</v>
      </c>
      <c r="C33" s="217"/>
      <c r="D33" s="69">
        <f t="shared" si="8"/>
        <v>157.06008238877186</v>
      </c>
      <c r="E33" s="69">
        <f t="shared" si="8"/>
        <v>48.443477038949098</v>
      </c>
      <c r="F33" s="69">
        <f t="shared" si="2"/>
        <v>79.188759847550656</v>
      </c>
      <c r="G33" s="216">
        <f t="shared" si="5"/>
        <v>284.69</v>
      </c>
      <c r="H33" s="69">
        <f t="shared" si="9"/>
        <v>9.4725938204323743</v>
      </c>
      <c r="I33" s="69">
        <f t="shared" si="9"/>
        <v>4.5948219455095574</v>
      </c>
      <c r="J33" s="216">
        <f t="shared" si="6"/>
        <v>62.94</v>
      </c>
      <c r="K33" s="216">
        <f t="shared" si="7"/>
        <v>104.61</v>
      </c>
    </row>
    <row r="34" spans="2:11">
      <c r="B34" s="145">
        <f t="shared" si="0"/>
        <v>2049</v>
      </c>
      <c r="C34" s="217"/>
      <c r="D34" s="69">
        <f t="shared" si="8"/>
        <v>160.54681621780259</v>
      </c>
      <c r="E34" s="69">
        <f t="shared" si="8"/>
        <v>49.518922229213764</v>
      </c>
      <c r="F34" s="69">
        <f t="shared" si="2"/>
        <v>80.946750316166288</v>
      </c>
      <c r="G34" s="216">
        <f t="shared" si="5"/>
        <v>291.01</v>
      </c>
      <c r="H34" s="69">
        <f t="shared" si="9"/>
        <v>9.6828854032459724</v>
      </c>
      <c r="I34" s="69">
        <f t="shared" si="9"/>
        <v>4.6968269926998696</v>
      </c>
      <c r="J34" s="216">
        <f t="shared" si="6"/>
        <v>64.33</v>
      </c>
      <c r="K34" s="216">
        <f t="shared" si="7"/>
        <v>106.92</v>
      </c>
    </row>
    <row r="35" spans="2:11">
      <c r="B35" s="145">
        <f t="shared" si="0"/>
        <v>2050</v>
      </c>
      <c r="C35" s="217"/>
      <c r="D35" s="69">
        <f t="shared" si="8"/>
        <v>164.11095553783781</v>
      </c>
      <c r="E35" s="69">
        <f t="shared" si="8"/>
        <v>50.618242302702306</v>
      </c>
      <c r="F35" s="69">
        <f t="shared" si="2"/>
        <v>82.743768173185174</v>
      </c>
      <c r="G35" s="216">
        <f t="shared" si="5"/>
        <v>297.47000000000003</v>
      </c>
      <c r="H35" s="69">
        <f t="shared" si="9"/>
        <v>9.8978454591980327</v>
      </c>
      <c r="I35" s="69">
        <f t="shared" si="9"/>
        <v>4.8010965519378068</v>
      </c>
      <c r="J35" s="216">
        <f t="shared" si="6"/>
        <v>65.760000000000005</v>
      </c>
      <c r="K35" s="216">
        <f t="shared" si="7"/>
        <v>109.3</v>
      </c>
    </row>
    <row r="36" spans="2:11">
      <c r="B36" s="145">
        <f t="shared" si="0"/>
        <v>2051</v>
      </c>
      <c r="C36" s="217"/>
      <c r="D36" s="69">
        <f t="shared" si="8"/>
        <v>167.7542187507778</v>
      </c>
      <c r="E36" s="69">
        <f t="shared" si="8"/>
        <v>51.741967281822298</v>
      </c>
      <c r="F36" s="69">
        <f t="shared" si="2"/>
        <v>84.58067982662989</v>
      </c>
      <c r="G36" s="216">
        <f t="shared" si="5"/>
        <v>304.08</v>
      </c>
      <c r="H36" s="69">
        <f t="shared" si="9"/>
        <v>10.11757762839223</v>
      </c>
      <c r="I36" s="69">
        <f t="shared" si="9"/>
        <v>4.9076808953908264</v>
      </c>
      <c r="J36" s="216">
        <f t="shared" si="6"/>
        <v>67.22</v>
      </c>
      <c r="K36" s="216">
        <f t="shared" si="7"/>
        <v>111.72</v>
      </c>
    </row>
    <row r="37" spans="2:11">
      <c r="B37" s="145">
        <f t="shared" si="0"/>
        <v>2052</v>
      </c>
      <c r="C37" s="217"/>
      <c r="D37" s="69">
        <f t="shared" ref="D37:E52" si="10">D36*(1+Inflation)</f>
        <v>171.47836240704507</v>
      </c>
      <c r="E37" s="69">
        <f t="shared" si="10"/>
        <v>52.890638955478749</v>
      </c>
      <c r="F37" s="69">
        <f t="shared" si="2"/>
        <v>86.458370918781071</v>
      </c>
      <c r="G37" s="216">
        <f t="shared" si="5"/>
        <v>310.83</v>
      </c>
      <c r="H37" s="69">
        <f t="shared" si="9"/>
        <v>10.342187851742537</v>
      </c>
      <c r="I37" s="69">
        <f t="shared" si="9"/>
        <v>5.0166314112685031</v>
      </c>
      <c r="J37" s="216">
        <f t="shared" si="6"/>
        <v>68.709999999999994</v>
      </c>
      <c r="K37" s="216">
        <f t="shared" si="7"/>
        <v>114.2</v>
      </c>
    </row>
    <row r="38" spans="2:11">
      <c r="B38" s="145">
        <f t="shared" si="0"/>
        <v>2053</v>
      </c>
      <c r="C38" s="217"/>
      <c r="D38" s="69">
        <f t="shared" si="10"/>
        <v>175.28518205248147</v>
      </c>
      <c r="E38" s="69">
        <f t="shared" si="10"/>
        <v>54.064811140290381</v>
      </c>
      <c r="F38" s="69">
        <f t="shared" si="2"/>
        <v>88.377746753178016</v>
      </c>
      <c r="G38" s="216">
        <f t="shared" si="5"/>
        <v>317.73</v>
      </c>
      <c r="H38" s="69">
        <f t="shared" si="9"/>
        <v>10.571784422051222</v>
      </c>
      <c r="I38" s="69">
        <f t="shared" si="9"/>
        <v>5.1280006285986639</v>
      </c>
      <c r="J38" s="216">
        <f t="shared" si="6"/>
        <v>70.239999999999995</v>
      </c>
      <c r="K38" s="216">
        <f t="shared" si="7"/>
        <v>116.74</v>
      </c>
    </row>
    <row r="39" spans="2:11">
      <c r="B39" s="145">
        <f t="shared" si="0"/>
        <v>2054</v>
      </c>
      <c r="C39" s="217"/>
      <c r="D39" s="69">
        <f t="shared" si="10"/>
        <v>179.17651309404656</v>
      </c>
      <c r="E39" s="69">
        <f t="shared" si="10"/>
        <v>55.26504994760483</v>
      </c>
      <c r="F39" s="69">
        <f t="shared" si="2"/>
        <v>90.339732731098564</v>
      </c>
      <c r="G39" s="216">
        <f t="shared" si="5"/>
        <v>324.77999999999997</v>
      </c>
      <c r="H39" s="69">
        <f t="shared" si="9"/>
        <v>10.806478036220758</v>
      </c>
      <c r="I39" s="69">
        <f t="shared" si="9"/>
        <v>5.2418422425535542</v>
      </c>
      <c r="J39" s="216">
        <f t="shared" si="6"/>
        <v>71.8</v>
      </c>
      <c r="K39" s="216">
        <f t="shared" si="7"/>
        <v>119.33</v>
      </c>
    </row>
    <row r="40" spans="2:11">
      <c r="B40" s="145">
        <f t="shared" si="0"/>
        <v>2055</v>
      </c>
      <c r="C40" s="217"/>
      <c r="D40" s="69">
        <f t="shared" si="10"/>
        <v>183.15423168473438</v>
      </c>
      <c r="E40" s="69">
        <f t="shared" si="10"/>
        <v>56.491934056441657</v>
      </c>
      <c r="F40" s="69">
        <f t="shared" si="2"/>
        <v>92.345274797728948</v>
      </c>
      <c r="G40" s="216">
        <f t="shared" si="5"/>
        <v>331.99</v>
      </c>
      <c r="H40" s="69">
        <f t="shared" si="9"/>
        <v>11.04638184862486</v>
      </c>
      <c r="I40" s="69">
        <f t="shared" si="9"/>
        <v>5.3582111403382431</v>
      </c>
      <c r="J40" s="216">
        <f t="shared" si="6"/>
        <v>73.39</v>
      </c>
      <c r="K40" s="216">
        <f t="shared" si="7"/>
        <v>121.98</v>
      </c>
    </row>
    <row r="41" spans="2:11">
      <c r="B41" s="145">
        <f t="shared" si="0"/>
        <v>2056</v>
      </c>
      <c r="C41" s="217"/>
      <c r="D41" s="69">
        <f t="shared" si="10"/>
        <v>187.22025562813548</v>
      </c>
      <c r="E41" s="69">
        <f t="shared" si="10"/>
        <v>57.746054992494663</v>
      </c>
      <c r="F41" s="69">
        <f t="shared" si="2"/>
        <v>94.395339898238532</v>
      </c>
      <c r="G41" s="216">
        <f t="shared" si="5"/>
        <v>339.36</v>
      </c>
      <c r="H41" s="69">
        <f t="shared" si="9"/>
        <v>11.291611525664331</v>
      </c>
      <c r="I41" s="69">
        <f t="shared" si="9"/>
        <v>5.4771634276537524</v>
      </c>
      <c r="J41" s="216">
        <f t="shared" si="6"/>
        <v>75.02</v>
      </c>
      <c r="K41" s="216">
        <f t="shared" si="7"/>
        <v>124.69</v>
      </c>
    </row>
    <row r="42" spans="2:11">
      <c r="B42" s="145">
        <f t="shared" si="0"/>
        <v>2057</v>
      </c>
      <c r="C42" s="217"/>
      <c r="D42" s="69">
        <f t="shared" si="10"/>
        <v>191.37654530308009</v>
      </c>
      <c r="E42" s="69">
        <f t="shared" si="10"/>
        <v>59.028017413328044</v>
      </c>
      <c r="F42" s="69">
        <f t="shared" si="2"/>
        <v>96.49091644397943</v>
      </c>
      <c r="G42" s="216">
        <f t="shared" si="5"/>
        <v>346.9</v>
      </c>
      <c r="H42" s="69">
        <f t="shared" si="9"/>
        <v>11.542285301534079</v>
      </c>
      <c r="I42" s="69">
        <f t="shared" si="9"/>
        <v>5.5987564557476661</v>
      </c>
      <c r="J42" s="216">
        <f t="shared" si="6"/>
        <v>76.69</v>
      </c>
      <c r="K42" s="216">
        <f t="shared" si="7"/>
        <v>127.46</v>
      </c>
    </row>
    <row r="43" spans="2:11">
      <c r="B43" s="145">
        <f t="shared" si="0"/>
        <v>2058</v>
      </c>
      <c r="C43" s="217"/>
      <c r="D43" s="69">
        <f t="shared" si="10"/>
        <v>195.62510460880847</v>
      </c>
      <c r="E43" s="69">
        <f t="shared" si="10"/>
        <v>60.338439399903926</v>
      </c>
      <c r="F43" s="69">
        <f t="shared" si="2"/>
        <v>98.633014789035769</v>
      </c>
      <c r="G43" s="216">
        <f t="shared" si="5"/>
        <v>354.6</v>
      </c>
      <c r="H43" s="69">
        <f t="shared" ref="H43:I58" si="11">H42*(1+Inflation)</f>
        <v>11.798524035228136</v>
      </c>
      <c r="I43" s="69">
        <f t="shared" si="11"/>
        <v>5.7230488490652647</v>
      </c>
      <c r="J43" s="216">
        <f t="shared" si="6"/>
        <v>78.39</v>
      </c>
      <c r="K43" s="216">
        <f t="shared" si="7"/>
        <v>130.29</v>
      </c>
    </row>
    <row r="44" spans="2:11">
      <c r="B44" s="145">
        <f t="shared" si="0"/>
        <v>2059</v>
      </c>
      <c r="C44" s="217"/>
      <c r="D44" s="69">
        <f t="shared" si="10"/>
        <v>199.96798193112403</v>
      </c>
      <c r="E44" s="69">
        <f t="shared" si="10"/>
        <v>61.677952754581796</v>
      </c>
      <c r="F44" s="69">
        <f t="shared" si="2"/>
        <v>100.82266771735236</v>
      </c>
      <c r="G44" s="216">
        <f t="shared" si="5"/>
        <v>362.47</v>
      </c>
      <c r="H44" s="69">
        <f t="shared" si="11"/>
        <v>12.060451268810199</v>
      </c>
      <c r="I44" s="69">
        <f t="shared" si="11"/>
        <v>5.8501005335145138</v>
      </c>
      <c r="J44" s="216">
        <f t="shared" si="6"/>
        <v>80.13</v>
      </c>
      <c r="K44" s="216">
        <f t="shared" si="7"/>
        <v>133.18</v>
      </c>
    </row>
    <row r="45" spans="2:11">
      <c r="B45" s="145">
        <f t="shared" si="0"/>
        <v>2060</v>
      </c>
      <c r="C45" s="217"/>
      <c r="D45" s="69">
        <f t="shared" si="10"/>
        <v>204.407271129995</v>
      </c>
      <c r="E45" s="69">
        <f t="shared" si="10"/>
        <v>63.047203305733511</v>
      </c>
      <c r="F45" s="69">
        <f t="shared" si="2"/>
        <v>103.06093094067758</v>
      </c>
      <c r="G45" s="216">
        <f t="shared" si="5"/>
        <v>370.52</v>
      </c>
      <c r="H45" s="69">
        <f t="shared" si="11"/>
        <v>12.328193286977786</v>
      </c>
      <c r="I45" s="69">
        <f t="shared" si="11"/>
        <v>5.9799727653585357</v>
      </c>
      <c r="J45" s="216">
        <f t="shared" si="6"/>
        <v>81.91</v>
      </c>
      <c r="K45" s="216">
        <f t="shared" si="7"/>
        <v>136.13999999999999</v>
      </c>
    </row>
    <row r="46" spans="2:11">
      <c r="B46" s="145">
        <f t="shared" si="0"/>
        <v>2061</v>
      </c>
      <c r="C46" s="217"/>
      <c r="D46" s="69">
        <f t="shared" si="10"/>
        <v>208.94511254908087</v>
      </c>
      <c r="E46" s="69">
        <f t="shared" si="10"/>
        <v>64.446851219120788</v>
      </c>
      <c r="F46" s="69">
        <f t="shared" si="2"/>
        <v>105.34888360756062</v>
      </c>
      <c r="G46" s="216">
        <f t="shared" si="5"/>
        <v>378.74</v>
      </c>
      <c r="H46" s="69">
        <f t="shared" si="11"/>
        <v>12.601879177948693</v>
      </c>
      <c r="I46" s="69">
        <f t="shared" si="11"/>
        <v>6.1127281607494952</v>
      </c>
      <c r="J46" s="216">
        <f t="shared" si="6"/>
        <v>83.73</v>
      </c>
      <c r="K46" s="216">
        <f t="shared" si="7"/>
        <v>139.16</v>
      </c>
    </row>
    <row r="47" spans="2:11">
      <c r="B47" s="145">
        <f t="shared" si="0"/>
        <v>2062</v>
      </c>
      <c r="C47" s="217"/>
      <c r="D47" s="69">
        <f t="shared" si="10"/>
        <v>213.58369404767046</v>
      </c>
      <c r="E47" s="69">
        <f t="shared" si="10"/>
        <v>65.877571316185268</v>
      </c>
      <c r="F47" s="69">
        <f t="shared" si="2"/>
        <v>107.68762882364847</v>
      </c>
      <c r="G47" s="216">
        <f t="shared" si="5"/>
        <v>387.15</v>
      </c>
      <c r="H47" s="69">
        <f t="shared" si="11"/>
        <v>12.881640895699153</v>
      </c>
      <c r="I47" s="69">
        <f t="shared" si="11"/>
        <v>6.2484307259181344</v>
      </c>
      <c r="J47" s="216">
        <f t="shared" si="6"/>
        <v>85.59</v>
      </c>
      <c r="K47" s="216">
        <f t="shared" si="7"/>
        <v>142.25</v>
      </c>
    </row>
    <row r="48" spans="2:11">
      <c r="B48" s="145">
        <f t="shared" si="0"/>
        <v>2063</v>
      </c>
      <c r="C48" s="217"/>
      <c r="D48" s="69">
        <f t="shared" si="10"/>
        <v>218.32525205552875</v>
      </c>
      <c r="E48" s="69">
        <f t="shared" si="10"/>
        <v>67.340053399404582</v>
      </c>
      <c r="F48" s="69">
        <f t="shared" si="2"/>
        <v>110.07829418353346</v>
      </c>
      <c r="G48" s="216">
        <f t="shared" si="5"/>
        <v>395.74</v>
      </c>
      <c r="H48" s="69">
        <f t="shared" si="11"/>
        <v>13.167613323583675</v>
      </c>
      <c r="I48" s="69">
        <f t="shared" si="11"/>
        <v>6.3871458880335172</v>
      </c>
      <c r="J48" s="216">
        <f t="shared" si="6"/>
        <v>87.49</v>
      </c>
      <c r="K48" s="216">
        <f t="shared" si="7"/>
        <v>145.41</v>
      </c>
    </row>
    <row r="49" spans="2:11">
      <c r="B49" s="145">
        <f t="shared" si="0"/>
        <v>2064</v>
      </c>
      <c r="C49" s="217"/>
      <c r="D49" s="69">
        <f t="shared" si="10"/>
        <v>223.1720726511615</v>
      </c>
      <c r="E49" s="69">
        <f t="shared" si="10"/>
        <v>68.835002584871361</v>
      </c>
      <c r="F49" s="69">
        <f t="shared" si="2"/>
        <v>112.52203231440789</v>
      </c>
      <c r="G49" s="216">
        <f t="shared" si="5"/>
        <v>404.53</v>
      </c>
      <c r="H49" s="69">
        <f t="shared" si="11"/>
        <v>13.459934339367232</v>
      </c>
      <c r="I49" s="69">
        <f t="shared" si="11"/>
        <v>6.5289405267478617</v>
      </c>
      <c r="J49" s="216">
        <f t="shared" si="6"/>
        <v>89.43</v>
      </c>
      <c r="K49" s="216">
        <f t="shared" si="7"/>
        <v>148.63</v>
      </c>
    </row>
    <row r="50" spans="2:11">
      <c r="B50" s="145">
        <f t="shared" si="0"/>
        <v>2065</v>
      </c>
      <c r="C50" s="217"/>
      <c r="D50" s="69">
        <f t="shared" si="10"/>
        <v>228.12649266401729</v>
      </c>
      <c r="E50" s="69">
        <f t="shared" si="10"/>
        <v>70.363139642255504</v>
      </c>
      <c r="F50" s="69">
        <f t="shared" si="2"/>
        <v>115.02002143178775</v>
      </c>
      <c r="G50" s="216">
        <f t="shared" si="5"/>
        <v>413.51</v>
      </c>
      <c r="H50" s="69">
        <f t="shared" si="11"/>
        <v>13.758744881701185</v>
      </c>
      <c r="I50" s="69">
        <f t="shared" si="11"/>
        <v>6.6738830064416641</v>
      </c>
      <c r="J50" s="216">
        <f t="shared" si="6"/>
        <v>91.41</v>
      </c>
      <c r="K50" s="216">
        <f t="shared" si="7"/>
        <v>151.93</v>
      </c>
    </row>
    <row r="51" spans="2:11">
      <c r="B51" s="145">
        <f t="shared" si="0"/>
        <v>2066</v>
      </c>
      <c r="C51" s="217"/>
      <c r="D51" s="69">
        <f t="shared" si="10"/>
        <v>233.19090080115848</v>
      </c>
      <c r="E51" s="69">
        <f t="shared" si="10"/>
        <v>71.925201342313571</v>
      </c>
      <c r="F51" s="69">
        <f t="shared" si="2"/>
        <v>117.57346590757344</v>
      </c>
      <c r="G51" s="216">
        <f t="shared" si="5"/>
        <v>422.69</v>
      </c>
      <c r="H51" s="69">
        <f t="shared" si="11"/>
        <v>14.064189018074952</v>
      </c>
      <c r="I51" s="69">
        <f t="shared" si="11"/>
        <v>6.8220432091846694</v>
      </c>
      <c r="J51" s="216">
        <f t="shared" si="6"/>
        <v>93.44</v>
      </c>
      <c r="K51" s="216">
        <f t="shared" si="7"/>
        <v>155.30000000000001</v>
      </c>
    </row>
    <row r="52" spans="2:11">
      <c r="B52" s="145">
        <f t="shared" si="0"/>
        <v>2067</v>
      </c>
      <c r="C52" s="217"/>
      <c r="D52" s="69">
        <f t="shared" si="10"/>
        <v>238.3677387989442</v>
      </c>
      <c r="E52" s="69">
        <f t="shared" si="10"/>
        <v>73.521940812112931</v>
      </c>
      <c r="F52" s="69">
        <f t="shared" si="2"/>
        <v>120.18359685072157</v>
      </c>
      <c r="G52" s="216">
        <f t="shared" si="5"/>
        <v>432.07</v>
      </c>
      <c r="H52" s="69">
        <f t="shared" si="11"/>
        <v>14.376414014276216</v>
      </c>
      <c r="I52" s="69">
        <f t="shared" si="11"/>
        <v>6.9734925684285693</v>
      </c>
      <c r="J52" s="216">
        <f t="shared" si="6"/>
        <v>95.52</v>
      </c>
      <c r="K52" s="216">
        <f t="shared" si="7"/>
        <v>158.75</v>
      </c>
    </row>
    <row r="53" spans="2:11">
      <c r="B53" s="145">
        <f t="shared" si="0"/>
        <v>2068</v>
      </c>
      <c r="C53" s="217"/>
      <c r="D53" s="69">
        <f t="shared" ref="D53:E63" si="12">D52*(1+Inflation)</f>
        <v>243.65950260028077</v>
      </c>
      <c r="E53" s="69">
        <f t="shared" si="12"/>
        <v>75.154127898141837</v>
      </c>
      <c r="F53" s="69">
        <f t="shared" si="2"/>
        <v>122.85167270080758</v>
      </c>
      <c r="G53" s="216">
        <f>ROUND(D53+E53+F53,2)</f>
        <v>441.67</v>
      </c>
      <c r="H53" s="69">
        <f t="shared" si="11"/>
        <v>14.695570405393148</v>
      </c>
      <c r="I53" s="69">
        <f t="shared" si="11"/>
        <v>7.1283041034476833</v>
      </c>
      <c r="J53" s="216">
        <f t="shared" si="6"/>
        <v>97.64</v>
      </c>
      <c r="K53" s="216">
        <f t="shared" si="7"/>
        <v>162.28</v>
      </c>
    </row>
    <row r="54" spans="2:11">
      <c r="B54" s="145">
        <f t="shared" si="0"/>
        <v>2069</v>
      </c>
      <c r="C54" s="217"/>
      <c r="D54" s="69">
        <f t="shared" si="12"/>
        <v>249.06874355800701</v>
      </c>
      <c r="E54" s="69">
        <f t="shared" si="12"/>
        <v>76.822549537480583</v>
      </c>
      <c r="F54" s="69">
        <f t="shared" si="2"/>
        <v>125.57897983476551</v>
      </c>
      <c r="G54" s="216">
        <f>ROUND(D54+E54+F54,2)</f>
        <v>451.47</v>
      </c>
      <c r="H54" s="69">
        <f t="shared" si="11"/>
        <v>15.021812068392876</v>
      </c>
      <c r="I54" s="69">
        <f t="shared" si="11"/>
        <v>7.2865524545442222</v>
      </c>
      <c r="J54" s="216">
        <f t="shared" si="6"/>
        <v>99.81</v>
      </c>
      <c r="K54" s="216">
        <f t="shared" si="7"/>
        <v>165.88</v>
      </c>
    </row>
    <row r="55" spans="2:11">
      <c r="B55" s="145">
        <f t="shared" si="0"/>
        <v>2070</v>
      </c>
      <c r="C55" s="217"/>
      <c r="D55" s="69">
        <f t="shared" si="12"/>
        <v>254.59806966499477</v>
      </c>
      <c r="E55" s="69">
        <f t="shared" si="12"/>
        <v>78.528010137212647</v>
      </c>
      <c r="F55" s="69">
        <f t="shared" si="2"/>
        <v>128.36683318709728</v>
      </c>
      <c r="G55" s="216">
        <f>ROUND(D55+E55+F55,2)</f>
        <v>461.49</v>
      </c>
      <c r="H55" s="69">
        <f t="shared" si="11"/>
        <v>15.355296296311197</v>
      </c>
      <c r="I55" s="69">
        <f t="shared" si="11"/>
        <v>7.4483139190351038</v>
      </c>
      <c r="J55" s="216">
        <f t="shared" si="6"/>
        <v>102.02</v>
      </c>
      <c r="K55" s="216">
        <f t="shared" si="7"/>
        <v>169.56</v>
      </c>
    </row>
    <row r="56" spans="2:11">
      <c r="B56" s="145">
        <f t="shared" si="0"/>
        <v>2071</v>
      </c>
      <c r="C56" s="217"/>
      <c r="D56" s="69">
        <f t="shared" si="12"/>
        <v>260.25014681155767</v>
      </c>
      <c r="E56" s="69">
        <f t="shared" si="12"/>
        <v>80.27133196225877</v>
      </c>
      <c r="F56" s="69">
        <f t="shared" si="2"/>
        <v>131.21657688385085</v>
      </c>
      <c r="G56" s="216">
        <f>ROUND(D56+E56+F56,2)</f>
        <v>471.74</v>
      </c>
      <c r="H56" s="69">
        <f t="shared" si="11"/>
        <v>15.696183874089305</v>
      </c>
      <c r="I56" s="69">
        <f t="shared" si="11"/>
        <v>7.6136664880376834</v>
      </c>
      <c r="J56" s="216">
        <f t="shared" si="6"/>
        <v>104.29</v>
      </c>
      <c r="K56" s="216">
        <f t="shared" si="7"/>
        <v>173.33</v>
      </c>
    </row>
    <row r="57" spans="2:11">
      <c r="B57" s="145">
        <f t="shared" si="0"/>
        <v>2072</v>
      </c>
      <c r="C57" s="217"/>
      <c r="D57" s="69">
        <f t="shared" si="12"/>
        <v>266.02770007077424</v>
      </c>
      <c r="E57" s="69">
        <f t="shared" si="12"/>
        <v>82.053355531820912</v>
      </c>
      <c r="F57" s="69">
        <f t="shared" si="2"/>
        <v>134.12958489067233</v>
      </c>
      <c r="G57" s="216">
        <f t="shared" ref="G57:G63" si="13">ROUND(D57+E57+F57,2)</f>
        <v>482.21</v>
      </c>
      <c r="H57" s="69">
        <f t="shared" si="11"/>
        <v>16.044639156094089</v>
      </c>
      <c r="I57" s="69">
        <f t="shared" si="11"/>
        <v>7.7826898840721199</v>
      </c>
      <c r="J57" s="216">
        <f t="shared" si="6"/>
        <v>106.6</v>
      </c>
      <c r="K57" s="216">
        <f t="shared" si="7"/>
        <v>177.17</v>
      </c>
    </row>
    <row r="58" spans="2:11">
      <c r="B58" s="145">
        <f t="shared" si="0"/>
        <v>2073</v>
      </c>
      <c r="C58" s="217"/>
      <c r="D58" s="69">
        <f t="shared" si="12"/>
        <v>271.93351501234542</v>
      </c>
      <c r="E58" s="69">
        <f t="shared" si="12"/>
        <v>83.874940024627335</v>
      </c>
      <c r="F58" s="69">
        <f t="shared" si="2"/>
        <v>137.10726167524527</v>
      </c>
      <c r="G58" s="216">
        <f t="shared" si="13"/>
        <v>492.92</v>
      </c>
      <c r="H58" s="69">
        <f t="shared" si="11"/>
        <v>16.400830145359379</v>
      </c>
      <c r="I58" s="69">
        <f t="shared" si="11"/>
        <v>7.9554655994985213</v>
      </c>
      <c r="J58" s="216">
        <f t="shared" si="6"/>
        <v>108.97</v>
      </c>
      <c r="K58" s="216">
        <f t="shared" si="7"/>
        <v>181.11</v>
      </c>
    </row>
    <row r="59" spans="2:11">
      <c r="B59" s="145">
        <f t="shared" si="0"/>
        <v>2074</v>
      </c>
      <c r="C59" s="217"/>
      <c r="D59" s="69">
        <f t="shared" si="12"/>
        <v>277.97043904561951</v>
      </c>
      <c r="E59" s="69">
        <f t="shared" si="12"/>
        <v>85.736963693174062</v>
      </c>
      <c r="F59" s="69">
        <f t="shared" si="2"/>
        <v>140.15104288443573</v>
      </c>
      <c r="G59" s="216">
        <f t="shared" si="13"/>
        <v>503.86</v>
      </c>
      <c r="H59" s="69">
        <f t="shared" ref="H59:I63" si="14">H58*(1+Inflation)</f>
        <v>16.764928574586357</v>
      </c>
      <c r="I59" s="69">
        <f t="shared" si="14"/>
        <v>8.1320769358073886</v>
      </c>
      <c r="J59" s="216">
        <f t="shared" si="6"/>
        <v>111.39</v>
      </c>
      <c r="K59" s="216">
        <f t="shared" si="7"/>
        <v>185.13</v>
      </c>
    </row>
    <row r="60" spans="2:11">
      <c r="B60" s="145">
        <f t="shared" si="0"/>
        <v>2075</v>
      </c>
      <c r="C60" s="217"/>
      <c r="D60" s="69">
        <f t="shared" si="12"/>
        <v>284.14138279243224</v>
      </c>
      <c r="E60" s="69">
        <f t="shared" si="12"/>
        <v>87.640324287162528</v>
      </c>
      <c r="F60" s="69">
        <f t="shared" si="2"/>
        <v>143.26239603647019</v>
      </c>
      <c r="G60" s="216">
        <f t="shared" si="13"/>
        <v>515.04</v>
      </c>
      <c r="H60" s="69">
        <f t="shared" si="14"/>
        <v>17.137109988942175</v>
      </c>
      <c r="I60" s="69">
        <f t="shared" si="14"/>
        <v>8.312609043782313</v>
      </c>
      <c r="J60" s="216">
        <f t="shared" si="6"/>
        <v>113.86</v>
      </c>
      <c r="K60" s="216">
        <f t="shared" si="7"/>
        <v>189.24</v>
      </c>
    </row>
    <row r="61" spans="2:11">
      <c r="B61" s="145">
        <f t="shared" si="0"/>
        <v>2076</v>
      </c>
      <c r="C61" s="217"/>
      <c r="D61" s="69">
        <f t="shared" si="12"/>
        <v>290.44932149042421</v>
      </c>
      <c r="E61" s="69">
        <f t="shared" si="12"/>
        <v>89.585939486337537</v>
      </c>
      <c r="F61" s="69">
        <f t="shared" si="2"/>
        <v>146.44282122847983</v>
      </c>
      <c r="G61" s="216">
        <f t="shared" si="13"/>
        <v>526.48</v>
      </c>
      <c r="H61" s="69">
        <f t="shared" si="14"/>
        <v>17.517553830696691</v>
      </c>
      <c r="I61" s="69">
        <f t="shared" si="14"/>
        <v>8.497148964554281</v>
      </c>
      <c r="J61" s="216">
        <f t="shared" si="6"/>
        <v>116.39</v>
      </c>
      <c r="K61" s="216">
        <f t="shared" si="7"/>
        <v>193.44</v>
      </c>
    </row>
    <row r="62" spans="2:11">
      <c r="B62" s="145">
        <f t="shared" si="0"/>
        <v>2077</v>
      </c>
      <c r="C62" s="217"/>
      <c r="D62" s="69">
        <f t="shared" si="12"/>
        <v>296.89729642751161</v>
      </c>
      <c r="E62" s="69">
        <f t="shared" si="12"/>
        <v>91.574747342934231</v>
      </c>
      <c r="F62" s="69">
        <f t="shared" si="2"/>
        <v>149.69385185975207</v>
      </c>
      <c r="G62" s="216">
        <f t="shared" si="13"/>
        <v>538.16999999999996</v>
      </c>
      <c r="H62" s="69">
        <f t="shared" si="14"/>
        <v>17.906443525738158</v>
      </c>
      <c r="I62" s="69">
        <f t="shared" si="14"/>
        <v>8.6857856715673858</v>
      </c>
      <c r="J62" s="216">
        <f t="shared" si="6"/>
        <v>118.97</v>
      </c>
      <c r="K62" s="216">
        <f t="shared" si="7"/>
        <v>197.73</v>
      </c>
    </row>
    <row r="63" spans="2:11">
      <c r="B63" s="145">
        <f t="shared" si="0"/>
        <v>2078</v>
      </c>
      <c r="C63" s="217"/>
      <c r="D63" s="69">
        <f t="shared" si="12"/>
        <v>303.48841640820234</v>
      </c>
      <c r="E63" s="69">
        <f t="shared" si="12"/>
        <v>93.607706733947367</v>
      </c>
      <c r="F63" s="69">
        <f t="shared" si="2"/>
        <v>153.01705537103857</v>
      </c>
      <c r="G63" s="216">
        <f t="shared" si="13"/>
        <v>550.11</v>
      </c>
      <c r="H63" s="69">
        <f t="shared" si="14"/>
        <v>18.303966572009546</v>
      </c>
      <c r="I63" s="69">
        <f t="shared" si="14"/>
        <v>8.8786101134761815</v>
      </c>
      <c r="J63" s="216">
        <f t="shared" si="6"/>
        <v>121.61</v>
      </c>
      <c r="K63" s="216">
        <f t="shared" si="7"/>
        <v>202.12</v>
      </c>
    </row>
    <row r="64" spans="2:11">
      <c r="B64" s="145"/>
      <c r="C64" s="217"/>
      <c r="D64" s="69"/>
      <c r="E64" s="69"/>
      <c r="F64" s="69"/>
      <c r="G64" s="216"/>
      <c r="H64" s="69"/>
      <c r="I64" s="69"/>
      <c r="J64" s="216"/>
      <c r="K64" s="216"/>
    </row>
    <row r="65" spans="2:29">
      <c r="M65" s="145"/>
      <c r="O65" s="222"/>
      <c r="AA65"/>
      <c r="AC65" s="61"/>
    </row>
    <row r="66" spans="2:29">
      <c r="B66" s="68" t="s">
        <v>176</v>
      </c>
      <c r="C66" s="61"/>
      <c r="D66" s="61"/>
      <c r="E66" s="61"/>
      <c r="F66" s="61"/>
      <c r="G66" s="70">
        <f>-PMT(Discount_Rate,COUNT(G$21:G$60),NPV(Discount_Rate,G$21:G$60))</f>
        <v>292.39130980114834</v>
      </c>
      <c r="H66" s="61"/>
      <c r="I66" s="61"/>
      <c r="J66" s="70">
        <f>-PMT(Discount_Rate,COUNT(J$21:J$60),NPV(Discount_Rate,J$21:J$60))</f>
        <v>64.638247055990902</v>
      </c>
      <c r="K66" s="70">
        <f>-PMT(Discount_Rate,COUNT(K$20:K$59),NPV(Discount_Rate,K$20:K$59))</f>
        <v>106.94035202079883</v>
      </c>
      <c r="L66" s="70"/>
      <c r="M66" s="216"/>
      <c r="O66" s="222"/>
      <c r="AA66"/>
      <c r="AC66" s="61"/>
    </row>
    <row r="67" spans="2:29">
      <c r="M67" s="145"/>
      <c r="O67" s="222"/>
      <c r="AA67"/>
      <c r="AC67" s="61"/>
    </row>
    <row r="68" spans="2:29" ht="14.25">
      <c r="B68" s="4" t="s">
        <v>25</v>
      </c>
      <c r="C68" s="17"/>
      <c r="D68" s="17"/>
      <c r="E68" s="17"/>
      <c r="F68" s="17"/>
      <c r="G68" s="17"/>
      <c r="H68" s="17"/>
      <c r="I68" s="17"/>
      <c r="J68" s="17"/>
      <c r="K68" s="17"/>
      <c r="M68" s="222"/>
      <c r="N68" s="222"/>
    </row>
    <row r="70" spans="2:29">
      <c r="B70" t="s">
        <v>175</v>
      </c>
      <c r="D70" s="146" t="s">
        <v>237</v>
      </c>
      <c r="G70" s="223"/>
    </row>
    <row r="71" spans="2:29">
      <c r="C71" s="159" t="str">
        <f>C6</f>
        <v>(a)</v>
      </c>
      <c r="D71" s="146" t="s">
        <v>174</v>
      </c>
      <c r="G71" s="223"/>
    </row>
    <row r="72" spans="2:29">
      <c r="C72" s="159" t="str">
        <f>D6</f>
        <v>(b)</v>
      </c>
      <c r="D72" s="216" t="str">
        <f>"= "&amp;C6&amp;" x "&amp;TEXT(C107,"0.000%")&amp;E107</f>
        <v>= (a) x 6.234%  Real Payment Factor@ 00% ITC</v>
      </c>
    </row>
    <row r="73" spans="2:29">
      <c r="C73" s="159" t="str">
        <f>H6</f>
        <v>(f)</v>
      </c>
      <c r="D73" s="224" t="s">
        <v>173</v>
      </c>
    </row>
    <row r="74" spans="2:29">
      <c r="C74" s="159" t="str">
        <f>J6</f>
        <v>(h)</v>
      </c>
      <c r="D74" s="216" t="str">
        <f>"= "&amp;H6&amp;" / (8.76 x 'Capacity Factor' ) + "&amp;I6</f>
        <v>= (f) / (8.76 x 'Capacity Factor' ) + (g)</v>
      </c>
    </row>
    <row r="75" spans="2:29" ht="13.5" thickBot="1"/>
    <row r="76" spans="2:29" ht="13.5" thickBot="1">
      <c r="C76" s="37" t="s">
        <v>235</v>
      </c>
      <c r="D76" s="225"/>
      <c r="E76" s="225"/>
      <c r="F76" s="225"/>
      <c r="G76" s="225"/>
      <c r="H76" s="225"/>
      <c r="I76" s="225"/>
      <c r="J76" s="226"/>
      <c r="K76" s="227"/>
      <c r="N76" t="s">
        <v>234</v>
      </c>
    </row>
    <row r="77" spans="2:29" ht="5.25" customHeight="1"/>
    <row r="78" spans="2:29" ht="5.25" customHeight="1"/>
    <row r="79" spans="2:29">
      <c r="C79" s="228" t="s">
        <v>155</v>
      </c>
      <c r="D79" s="229"/>
      <c r="E79" s="228"/>
      <c r="F79" s="230" t="s">
        <v>32</v>
      </c>
      <c r="G79" s="230" t="s">
        <v>156</v>
      </c>
      <c r="H79" s="230" t="s">
        <v>157</v>
      </c>
      <c r="I79" s="230" t="s">
        <v>158</v>
      </c>
      <c r="N79" t="s">
        <v>208</v>
      </c>
    </row>
    <row r="80" spans="2:29">
      <c r="C80" s="220" t="s">
        <v>234</v>
      </c>
      <c r="F80" s="231">
        <f>C91</f>
        <v>1058.9010000000001</v>
      </c>
      <c r="G80" s="36">
        <f>F80/F82</f>
        <v>1</v>
      </c>
      <c r="H80" s="232">
        <f>C92</f>
        <v>1508.5523898865165</v>
      </c>
      <c r="I80" s="233">
        <f>C103</f>
        <v>47.790148433332732</v>
      </c>
      <c r="O80" s="61"/>
      <c r="P80" s="61"/>
      <c r="Q80" s="61"/>
      <c r="R80" s="61"/>
      <c r="S80" s="61"/>
      <c r="T80" s="61"/>
    </row>
    <row r="81" spans="2:20">
      <c r="C81" s="220"/>
      <c r="F81" s="234"/>
      <c r="G81" s="235"/>
      <c r="H81" s="236"/>
      <c r="I81" s="237"/>
      <c r="O81" s="238"/>
      <c r="P81" s="61"/>
      <c r="Q81" s="61"/>
      <c r="R81" s="61"/>
      <c r="S81" s="61"/>
      <c r="T81" s="61"/>
    </row>
    <row r="82" spans="2:20">
      <c r="C82" s="220" t="s">
        <v>159</v>
      </c>
      <c r="F82" s="231">
        <f>F80+F81</f>
        <v>1058.9010000000001</v>
      </c>
      <c r="G82" s="36">
        <f>G80+G81</f>
        <v>1</v>
      </c>
      <c r="H82" s="232">
        <f>ROUND(((F80*H80)+(F81*H81))/F82,0)</f>
        <v>1509</v>
      </c>
      <c r="I82" s="233">
        <f>ROUND(((F80*I80)+(F81*I81))/F82,2)</f>
        <v>47.79</v>
      </c>
      <c r="O82" s="238"/>
      <c r="P82" s="61"/>
      <c r="Q82" s="61"/>
      <c r="R82" s="61"/>
      <c r="S82" s="61"/>
      <c r="T82" s="61"/>
    </row>
    <row r="83" spans="2:20">
      <c r="C83" s="220"/>
      <c r="F83" s="231"/>
      <c r="G83" s="36"/>
      <c r="H83" s="239"/>
      <c r="I83" s="240"/>
      <c r="O83" s="61"/>
      <c r="P83" s="61"/>
      <c r="Q83" s="61"/>
      <c r="R83" s="61"/>
      <c r="S83" s="61"/>
      <c r="T83" s="61"/>
    </row>
    <row r="84" spans="2:20">
      <c r="C84" s="241" t="s">
        <v>155</v>
      </c>
      <c r="D84" s="229"/>
      <c r="E84" s="228"/>
      <c r="F84" s="230" t="s">
        <v>32</v>
      </c>
      <c r="G84" s="230" t="s">
        <v>33</v>
      </c>
      <c r="H84" s="230" t="s">
        <v>160</v>
      </c>
      <c r="I84" s="230" t="s">
        <v>156</v>
      </c>
      <c r="J84" s="230" t="s">
        <v>161</v>
      </c>
      <c r="K84" s="230" t="s">
        <v>162</v>
      </c>
    </row>
    <row r="85" spans="2:20">
      <c r="C85" s="242" t="str">
        <f>C80</f>
        <v>CCCT Dry "H", 2X1, DF, with SCR</v>
      </c>
      <c r="D85" s="243"/>
      <c r="E85" s="243"/>
      <c r="F85">
        <f>C91</f>
        <v>1058.9010000000001</v>
      </c>
      <c r="G85" s="36">
        <f>C108</f>
        <v>0.78</v>
      </c>
      <c r="H85" s="86">
        <f>G85*F85</f>
        <v>825.94278000000008</v>
      </c>
      <c r="I85" s="36">
        <f>H85/H87</f>
        <v>1</v>
      </c>
      <c r="J85" s="240">
        <f>C104</f>
        <v>2.7729594859595257</v>
      </c>
      <c r="K85" s="244">
        <f>C105</f>
        <v>6158.732</v>
      </c>
    </row>
    <row r="86" spans="2:20">
      <c r="C86" s="242">
        <f>C81</f>
        <v>0</v>
      </c>
      <c r="D86" s="243"/>
      <c r="E86" s="243"/>
      <c r="F86" s="245">
        <f>D91</f>
        <v>0</v>
      </c>
      <c r="G86" s="235">
        <f>D108</f>
        <v>0</v>
      </c>
      <c r="H86" s="246">
        <f>G86*F86</f>
        <v>0</v>
      </c>
      <c r="I86" s="235">
        <f>1-I85</f>
        <v>0</v>
      </c>
      <c r="J86" s="247">
        <f>D104</f>
        <v>0</v>
      </c>
      <c r="K86" s="248">
        <f>D105</f>
        <v>0</v>
      </c>
    </row>
    <row r="87" spans="2:20">
      <c r="C87" s="220" t="s">
        <v>163</v>
      </c>
      <c r="F87">
        <f>F85+F86</f>
        <v>1058.9010000000001</v>
      </c>
      <c r="G87" s="249">
        <f>ROUND(H87/F87,3)</f>
        <v>0.78</v>
      </c>
      <c r="H87" s="86">
        <f>SUM(H85:H86)</f>
        <v>825.94278000000008</v>
      </c>
      <c r="I87" s="36">
        <f>I85+I86</f>
        <v>1</v>
      </c>
      <c r="J87" s="240">
        <f>ROUND(($I85*J85)+($I86*J86),2)</f>
        <v>2.77</v>
      </c>
      <c r="K87" s="204">
        <f>ROUND(($I85*K85)+($I86*K86),0)</f>
        <v>6159</v>
      </c>
    </row>
    <row r="88" spans="2:20">
      <c r="G88" s="249"/>
      <c r="I88" s="36"/>
      <c r="J88" s="240"/>
      <c r="K88" s="250" t="s">
        <v>164</v>
      </c>
    </row>
    <row r="90" spans="2:20">
      <c r="C90" s="230" t="s">
        <v>236</v>
      </c>
      <c r="D90" s="230"/>
      <c r="E90" s="312" t="str">
        <f>D70</f>
        <v>Plant Costs  - 2025 IRP Update</v>
      </c>
      <c r="F90" s="251"/>
      <c r="G90" s="251"/>
      <c r="H90" s="251"/>
      <c r="I90" s="251"/>
      <c r="J90" s="251"/>
      <c r="K90" s="252"/>
    </row>
    <row r="91" spans="2:20">
      <c r="C91">
        <v>1058.9010000000001</v>
      </c>
      <c r="E91" t="s">
        <v>165</v>
      </c>
      <c r="H91" s="253"/>
    </row>
    <row r="92" spans="2:20">
      <c r="B92" t="s">
        <v>238</v>
      </c>
      <c r="C92" s="254">
        <v>1508.5523898865165</v>
      </c>
      <c r="E92" s="220" t="s">
        <v>239</v>
      </c>
      <c r="H92" s="253"/>
    </row>
    <row r="93" spans="2:20">
      <c r="B93" t="s">
        <v>238</v>
      </c>
      <c r="C93" s="254">
        <v>11.885996697616648</v>
      </c>
      <c r="E93" s="220" t="s">
        <v>249</v>
      </c>
      <c r="H93" s="253"/>
    </row>
    <row r="94" spans="2:20">
      <c r="B94" t="s">
        <v>238</v>
      </c>
      <c r="C94" s="260">
        <v>38.410855343500728</v>
      </c>
      <c r="D94" s="240"/>
      <c r="E94" t="s">
        <v>166</v>
      </c>
    </row>
    <row r="95" spans="2:20">
      <c r="C95" s="41">
        <v>6158.732</v>
      </c>
      <c r="D95" s="240"/>
      <c r="E95" s="137" t="s">
        <v>240</v>
      </c>
    </row>
    <row r="96" spans="2:20">
      <c r="C96" s="41">
        <v>156515.69936476802</v>
      </c>
      <c r="D96" s="240"/>
      <c r="E96" s="3" t="s">
        <v>241</v>
      </c>
    </row>
    <row r="97" spans="2:10">
      <c r="C97" s="309">
        <v>0.17385</v>
      </c>
      <c r="D97" s="240"/>
      <c r="E97" s="3" t="s">
        <v>242</v>
      </c>
    </row>
    <row r="98" spans="2:10">
      <c r="C98" s="309">
        <v>2.6700000000000001E-3</v>
      </c>
      <c r="D98" s="240"/>
      <c r="E98" s="3" t="s">
        <v>243</v>
      </c>
    </row>
    <row r="99" spans="2:10">
      <c r="C99" s="309">
        <v>1.5E-3</v>
      </c>
      <c r="D99" s="240"/>
      <c r="E99" s="3" t="s">
        <v>244</v>
      </c>
    </row>
    <row r="100" spans="2:10">
      <c r="C100" s="309">
        <f>C98+C99</f>
        <v>4.1700000000000001E-3</v>
      </c>
      <c r="D100" s="240"/>
      <c r="E100" s="3" t="s">
        <v>245</v>
      </c>
    </row>
    <row r="101" spans="2:10">
      <c r="C101" s="310">
        <f>C96*C97*365</f>
        <v>9931742.8321161959</v>
      </c>
      <c r="D101" s="240"/>
      <c r="E101" s="3" t="s">
        <v>246</v>
      </c>
    </row>
    <row r="102" spans="2:10">
      <c r="C102" s="260">
        <f>C101/C91/1000</f>
        <v>9.3792930898320002</v>
      </c>
      <c r="D102" s="240"/>
      <c r="E102" s="3" t="s">
        <v>247</v>
      </c>
    </row>
    <row r="103" spans="2:10">
      <c r="C103" s="260">
        <f>C94+C102</f>
        <v>47.790148433332732</v>
      </c>
      <c r="D103" s="240"/>
      <c r="E103" s="3" t="s">
        <v>248</v>
      </c>
    </row>
    <row r="104" spans="2:10">
      <c r="B104" t="s">
        <v>238</v>
      </c>
      <c r="C104" s="255">
        <v>2.7729594859595257</v>
      </c>
      <c r="D104" s="240"/>
      <c r="E104" t="s">
        <v>167</v>
      </c>
    </row>
    <row r="105" spans="2:10">
      <c r="C105" s="204">
        <v>6158.732</v>
      </c>
      <c r="D105" s="204"/>
      <c r="E105" t="s">
        <v>168</v>
      </c>
    </row>
    <row r="106" spans="2:10">
      <c r="C106" s="256">
        <v>0</v>
      </c>
      <c r="D106" s="204"/>
      <c r="E106" t="s">
        <v>169</v>
      </c>
    </row>
    <row r="107" spans="2:10">
      <c r="C107" s="257">
        <v>6.234E-2</v>
      </c>
      <c r="D107" s="257"/>
      <c r="E107" t="str">
        <f>"  Real Payment Factor@ "&amp;TEXT(C106,"00%")&amp;" ITC"</f>
        <v xml:space="preserve">  Real Payment Factor@ 00% ITC</v>
      </c>
    </row>
    <row r="108" spans="2:10">
      <c r="C108" s="205">
        <v>0.78</v>
      </c>
      <c r="D108" s="205"/>
      <c r="E108" t="s">
        <v>35</v>
      </c>
      <c r="I108" s="256"/>
      <c r="J108" s="258"/>
    </row>
    <row r="109" spans="2:10">
      <c r="D109" s="36">
        <f>ROUND(H87/F87,3)</f>
        <v>0.78</v>
      </c>
      <c r="E109" t="s">
        <v>170</v>
      </c>
      <c r="I109" s="256"/>
      <c r="J109" s="258"/>
    </row>
    <row r="110" spans="2:10">
      <c r="B110" t="s">
        <v>238</v>
      </c>
      <c r="C110" s="79"/>
      <c r="D110" s="61"/>
      <c r="E110" s="61" t="s">
        <v>83</v>
      </c>
      <c r="I110" s="256"/>
      <c r="J110" s="258"/>
    </row>
    <row r="111" spans="2:10">
      <c r="C111" s="45"/>
      <c r="D111" s="206">
        <v>5.716678296246049</v>
      </c>
      <c r="E111" s="61" t="s">
        <v>171</v>
      </c>
      <c r="F111" s="263"/>
      <c r="I111" s="256"/>
      <c r="J111" s="258"/>
    </row>
    <row r="112" spans="2:10">
      <c r="D112" s="45">
        <f>(D111/1000000)*1000*C105</f>
        <v>35.20748955679602</v>
      </c>
      <c r="E112" s="61" t="s">
        <v>172</v>
      </c>
    </row>
    <row r="113" spans="2:5">
      <c r="D113" s="36">
        <v>2.5000000000000001E-2</v>
      </c>
      <c r="E113" s="61" t="s">
        <v>303</v>
      </c>
    </row>
    <row r="114" spans="2:5">
      <c r="B114" t="s">
        <v>289</v>
      </c>
      <c r="D114" s="45">
        <f>'2025 IRPUpdt Assumptions'!$L$145</f>
        <v>19.115769303333334</v>
      </c>
      <c r="E114" s="61" t="s">
        <v>83</v>
      </c>
    </row>
    <row r="115" spans="2:5">
      <c r="B115" t="s">
        <v>290</v>
      </c>
      <c r="D115" s="45">
        <f>'2025 IRPUpdt Assumptions'!$L$153</f>
        <v>14.435874215000002</v>
      </c>
      <c r="E115" s="61" t="s">
        <v>83</v>
      </c>
    </row>
    <row r="116" spans="2:5">
      <c r="D116" s="259"/>
    </row>
  </sheetData>
  <printOptions horizontalCentered="1"/>
  <pageMargins left="0.8" right="0.3" top="0.4" bottom="0.4" header="0.5" footer="0.2"/>
  <pageSetup scale="36" orientation="landscape" r:id="rId1"/>
  <headerFooter alignWithMargins="0"/>
  <rowBreaks count="1" manualBreakCount="1">
    <brk id="71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96CE8-A603-4167-8119-2CA0E6C13AC1}">
  <sheetPr>
    <tabColor rgb="FFCCFFCC"/>
    <pageSetUpPr fitToPage="1"/>
  </sheetPr>
  <dimension ref="B1:AC116"/>
  <sheetViews>
    <sheetView view="pageBreakPreview" zoomScale="60" zoomScaleNormal="60" workbookViewId="0">
      <selection activeCell="D113" sqref="D113:E113"/>
    </sheetView>
  </sheetViews>
  <sheetFormatPr defaultColWidth="9.33203125" defaultRowHeight="12.75"/>
  <cols>
    <col min="1" max="1" width="2.83203125" customWidth="1"/>
    <col min="2" max="2" width="10.83203125" customWidth="1"/>
    <col min="3" max="3" width="14.1640625" customWidth="1"/>
    <col min="4" max="4" width="15.5" customWidth="1"/>
    <col min="5" max="5" width="10" customWidth="1"/>
    <col min="6" max="6" width="10.5" customWidth="1"/>
    <col min="7" max="7" width="10.5" bestFit="1" customWidth="1"/>
    <col min="8" max="8" width="11.83203125" customWidth="1"/>
    <col min="9" max="9" width="11.1640625" customWidth="1"/>
    <col min="10" max="10" width="14.33203125" customWidth="1"/>
    <col min="11" max="11" width="14.1640625" customWidth="1"/>
    <col min="12" max="12" width="14.33203125" customWidth="1"/>
    <col min="13" max="13" width="9.33203125" customWidth="1"/>
    <col min="14" max="19" width="11.33203125" customWidth="1"/>
    <col min="20" max="20" width="10.33203125" customWidth="1"/>
    <col min="21" max="21" width="12" customWidth="1"/>
    <col min="22" max="22" width="11.5" customWidth="1"/>
    <col min="25" max="25" width="13.6640625" customWidth="1"/>
    <col min="27" max="28" width="9.33203125" style="61"/>
  </cols>
  <sheetData>
    <row r="1" spans="2:29" s="61" customFormat="1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1" t="s">
        <v>291</v>
      </c>
      <c r="C2" s="210"/>
      <c r="D2" s="210"/>
      <c r="E2" s="210"/>
      <c r="F2" s="210"/>
      <c r="G2" s="210"/>
      <c r="H2" s="210"/>
      <c r="I2" s="210"/>
      <c r="J2" s="210"/>
      <c r="K2" s="210"/>
      <c r="N2" t="s">
        <v>208</v>
      </c>
    </row>
    <row r="3" spans="2:29">
      <c r="B3" s="210"/>
      <c r="C3" s="210"/>
      <c r="D3" s="210"/>
      <c r="E3" s="210"/>
      <c r="F3" s="210"/>
      <c r="G3" s="210"/>
      <c r="H3" s="210"/>
      <c r="I3" s="210"/>
      <c r="J3" s="210"/>
      <c r="U3" s="61"/>
      <c r="V3" s="61"/>
      <c r="W3" s="61"/>
      <c r="X3" s="61"/>
      <c r="Y3" s="61"/>
      <c r="Z3" s="61"/>
      <c r="AC3" s="61"/>
    </row>
    <row r="4" spans="2:29" ht="51.75" customHeight="1">
      <c r="B4" s="13" t="s">
        <v>0</v>
      </c>
      <c r="C4" s="14" t="s">
        <v>10</v>
      </c>
      <c r="D4" s="14" t="s">
        <v>150</v>
      </c>
      <c r="E4" s="14" t="s">
        <v>73</v>
      </c>
      <c r="F4" s="14" t="s">
        <v>151</v>
      </c>
      <c r="G4" s="14" t="s">
        <v>152</v>
      </c>
      <c r="H4" s="211" t="s">
        <v>21</v>
      </c>
      <c r="I4" s="14" t="s">
        <v>13</v>
      </c>
      <c r="J4" s="211" t="s">
        <v>153</v>
      </c>
      <c r="K4" s="14" t="s">
        <v>48</v>
      </c>
      <c r="T4" s="61"/>
      <c r="U4" s="61"/>
      <c r="V4" s="61"/>
      <c r="W4" s="61"/>
      <c r="X4" s="61"/>
      <c r="Y4" s="61"/>
      <c r="Z4" s="61"/>
    </row>
    <row r="5" spans="2:29" ht="48" customHeight="1">
      <c r="B5" s="212"/>
      <c r="C5" s="15" t="s">
        <v>8</v>
      </c>
      <c r="D5" s="16" t="s">
        <v>9</v>
      </c>
      <c r="E5" s="16" t="s">
        <v>9</v>
      </c>
      <c r="F5" s="16" t="s">
        <v>9</v>
      </c>
      <c r="G5" s="16" t="s">
        <v>9</v>
      </c>
      <c r="H5" s="16" t="s">
        <v>154</v>
      </c>
      <c r="I5" s="15" t="s">
        <v>31</v>
      </c>
      <c r="J5" s="15" t="s">
        <v>31</v>
      </c>
      <c r="K5" s="15" t="s">
        <v>31</v>
      </c>
      <c r="T5" s="61"/>
      <c r="U5" s="61"/>
      <c r="V5" s="61"/>
      <c r="W5" s="61"/>
      <c r="X5" s="61"/>
      <c r="Y5" s="100"/>
      <c r="Z5" s="100"/>
    </row>
    <row r="6" spans="2:29">
      <c r="C6" s="213" t="s">
        <v>1</v>
      </c>
      <c r="D6" s="213" t="s">
        <v>2</v>
      </c>
      <c r="E6" s="213" t="s">
        <v>3</v>
      </c>
      <c r="F6" s="213" t="s">
        <v>4</v>
      </c>
      <c r="G6" s="213" t="s">
        <v>5</v>
      </c>
      <c r="H6" s="213" t="s">
        <v>7</v>
      </c>
      <c r="I6" s="213" t="s">
        <v>22</v>
      </c>
      <c r="J6" s="67" t="s">
        <v>23</v>
      </c>
      <c r="K6" s="67" t="s">
        <v>24</v>
      </c>
      <c r="T6" s="61"/>
      <c r="U6" s="61"/>
      <c r="V6" s="61"/>
      <c r="W6" s="61"/>
      <c r="X6" s="61"/>
      <c r="Y6" s="61"/>
      <c r="Z6" s="61"/>
    </row>
    <row r="7" spans="2:29" ht="6" customHeight="1">
      <c r="T7" s="61"/>
      <c r="U7" s="61"/>
      <c r="V7" s="61"/>
      <c r="W7" s="61"/>
      <c r="X7" s="61"/>
      <c r="Y7" s="61"/>
      <c r="Z7" s="61"/>
    </row>
    <row r="8" spans="2:29" ht="15.75">
      <c r="B8" s="38" t="str">
        <f>C76</f>
        <v xml:space="preserve">Utah South -  CCCT Dry "H", 2X1, DF, with SCR (GCC.PX.UTS._.DF_.H_2x1) </v>
      </c>
      <c r="H8" s="210"/>
      <c r="J8" s="210"/>
      <c r="K8" s="210"/>
      <c r="T8" s="61"/>
      <c r="U8" s="61"/>
      <c r="V8" s="61"/>
      <c r="W8" s="61"/>
      <c r="X8" s="61"/>
      <c r="Y8" s="61"/>
      <c r="Z8" s="61"/>
    </row>
    <row r="9" spans="2:29" ht="18.95" customHeight="1">
      <c r="B9" s="145"/>
      <c r="C9" s="214"/>
      <c r="D9" s="215"/>
      <c r="E9" s="216"/>
      <c r="F9" s="216"/>
      <c r="G9" s="216"/>
      <c r="H9" s="216"/>
      <c r="I9" s="216"/>
      <c r="J9" s="216"/>
      <c r="K9" s="216"/>
      <c r="T9" s="61"/>
      <c r="U9" s="79"/>
      <c r="V9" s="79"/>
      <c r="W9" s="79"/>
      <c r="X9" s="61"/>
      <c r="Y9" s="79"/>
      <c r="Z9" s="79"/>
    </row>
    <row r="10" spans="2:29">
      <c r="B10" s="145">
        <v>2025</v>
      </c>
      <c r="C10" s="261">
        <f>C92+C93</f>
        <v>1520.4383865841332</v>
      </c>
      <c r="D10" s="215"/>
      <c r="E10" s="69"/>
      <c r="F10" s="188">
        <f>C103</f>
        <v>47.790148433332732</v>
      </c>
      <c r="G10" s="216"/>
      <c r="H10" s="265">
        <f>$D$111</f>
        <v>5.716678296246049</v>
      </c>
      <c r="I10" s="262">
        <f>$C$104</f>
        <v>2.7729594859595257</v>
      </c>
      <c r="J10" s="216"/>
      <c r="K10" s="216"/>
      <c r="N10" s="218"/>
      <c r="O10" s="218"/>
      <c r="T10" s="61"/>
      <c r="U10" s="79"/>
      <c r="V10" s="79"/>
      <c r="W10" s="143"/>
      <c r="X10" s="79"/>
      <c r="Y10" s="79"/>
      <c r="Z10" s="79"/>
    </row>
    <row r="11" spans="2:29">
      <c r="B11" s="145">
        <f t="shared" ref="B11:B63" si="0">B10+1</f>
        <v>2026</v>
      </c>
      <c r="C11" s="217">
        <f t="shared" ref="C11:C23" si="1">C10*(1+Inflation)</f>
        <v>1554.1921187663011</v>
      </c>
      <c r="D11" s="215"/>
      <c r="E11" s="69"/>
      <c r="F11" s="69">
        <f t="shared" ref="F11:F63" si="2">F10*(1+Inflation)</f>
        <v>48.851089728552715</v>
      </c>
      <c r="G11" s="216"/>
      <c r="H11" s="69">
        <f t="shared" ref="H11:I26" si="3">H10*(1+Inflation)</f>
        <v>5.8435885544227109</v>
      </c>
      <c r="I11" s="69">
        <f t="shared" si="3"/>
        <v>2.8345191865478272</v>
      </c>
      <c r="J11" s="216"/>
      <c r="K11" s="216"/>
      <c r="N11" s="218"/>
      <c r="O11" s="218"/>
      <c r="T11" s="61"/>
      <c r="U11" s="79"/>
      <c r="V11" s="79"/>
      <c r="W11" s="143"/>
      <c r="X11" s="79"/>
      <c r="Y11" s="79"/>
      <c r="Z11" s="79"/>
    </row>
    <row r="12" spans="2:29">
      <c r="B12" s="145">
        <f t="shared" si="0"/>
        <v>2027</v>
      </c>
      <c r="C12" s="217">
        <f t="shared" si="1"/>
        <v>1588.6951838029129</v>
      </c>
      <c r="D12" s="215"/>
      <c r="E12" s="69"/>
      <c r="F12" s="69">
        <f t="shared" si="2"/>
        <v>49.935583920526582</v>
      </c>
      <c r="G12" s="216"/>
      <c r="H12" s="69">
        <f t="shared" si="3"/>
        <v>5.9733162203308954</v>
      </c>
      <c r="I12" s="69">
        <f t="shared" si="3"/>
        <v>2.8974455124891891</v>
      </c>
      <c r="J12" s="216"/>
      <c r="K12" s="216"/>
      <c r="N12" s="218"/>
      <c r="O12" s="218"/>
      <c r="T12" s="61"/>
      <c r="U12" s="79"/>
      <c r="V12" s="79"/>
      <c r="W12" s="79"/>
      <c r="X12" s="79"/>
      <c r="Y12" s="79"/>
      <c r="Z12" s="79"/>
    </row>
    <row r="13" spans="2:29">
      <c r="B13" s="145">
        <f t="shared" si="0"/>
        <v>2028</v>
      </c>
      <c r="C13" s="217">
        <f t="shared" si="1"/>
        <v>1623.9642168833375</v>
      </c>
      <c r="D13" s="215"/>
      <c r="E13" s="188">
        <f>$D$114</f>
        <v>19.115769303333334</v>
      </c>
      <c r="F13" s="69">
        <f t="shared" si="2"/>
        <v>51.044153883562274</v>
      </c>
      <c r="G13" s="216"/>
      <c r="H13" s="69">
        <f t="shared" si="3"/>
        <v>6.1059238404222409</v>
      </c>
      <c r="I13" s="69">
        <f t="shared" si="3"/>
        <v>2.9617688028664491</v>
      </c>
      <c r="J13" s="216"/>
      <c r="K13" s="216"/>
      <c r="N13" s="218"/>
      <c r="O13" s="218"/>
      <c r="T13" s="219"/>
      <c r="U13" s="79"/>
      <c r="V13" s="79"/>
      <c r="W13" s="79"/>
      <c r="X13" s="79"/>
      <c r="Y13" s="79"/>
      <c r="Z13" s="79"/>
    </row>
    <row r="14" spans="2:29">
      <c r="B14" s="145">
        <f t="shared" si="0"/>
        <v>2029</v>
      </c>
      <c r="C14" s="217">
        <f t="shared" si="1"/>
        <v>1660.0162224981475</v>
      </c>
      <c r="D14" s="215"/>
      <c r="E14" s="69">
        <f t="shared" ref="E14:E20" si="4">E13*(1+Inflation)</f>
        <v>19.540139381867334</v>
      </c>
      <c r="F14" s="69">
        <f t="shared" si="2"/>
        <v>52.177334099777354</v>
      </c>
      <c r="G14" s="216"/>
      <c r="H14" s="69">
        <f t="shared" si="3"/>
        <v>6.2414753496796145</v>
      </c>
      <c r="I14" s="69">
        <f t="shared" si="3"/>
        <v>3.0275200702900844</v>
      </c>
      <c r="J14" s="216"/>
      <c r="K14" s="216"/>
      <c r="N14" s="218"/>
      <c r="O14" s="218"/>
      <c r="T14" s="61"/>
      <c r="U14" s="79"/>
      <c r="V14" s="79"/>
      <c r="W14" s="79"/>
      <c r="X14" s="79"/>
      <c r="Y14" s="79"/>
      <c r="Z14" s="79"/>
    </row>
    <row r="15" spans="2:29">
      <c r="B15" s="145">
        <f t="shared" si="0"/>
        <v>2030</v>
      </c>
      <c r="C15" s="217">
        <f t="shared" si="1"/>
        <v>1696.8685826376063</v>
      </c>
      <c r="D15" s="69"/>
      <c r="E15" s="69">
        <f t="shared" si="4"/>
        <v>19.97393047614479</v>
      </c>
      <c r="F15" s="69">
        <f t="shared" si="2"/>
        <v>53.335670916792409</v>
      </c>
      <c r="G15" s="216"/>
      <c r="H15" s="69">
        <f t="shared" si="3"/>
        <v>6.3800361024425021</v>
      </c>
      <c r="I15" s="69">
        <f t="shared" si="3"/>
        <v>3.0947310158505243</v>
      </c>
      <c r="J15" s="216"/>
      <c r="K15" s="216"/>
      <c r="N15" s="218"/>
      <c r="O15" s="218"/>
      <c r="T15" s="61"/>
      <c r="U15" s="79"/>
      <c r="V15" s="79"/>
      <c r="W15" s="79"/>
      <c r="X15" s="79"/>
      <c r="Y15" s="79"/>
      <c r="Z15" s="79"/>
    </row>
    <row r="16" spans="2:29" s="220" customFormat="1">
      <c r="B16" s="145">
        <f t="shared" si="0"/>
        <v>2031</v>
      </c>
      <c r="C16" s="217">
        <f t="shared" si="1"/>
        <v>1734.5390651721611</v>
      </c>
      <c r="D16" s="69"/>
      <c r="E16" s="69">
        <f t="shared" si="4"/>
        <v>20.417351732715204</v>
      </c>
      <c r="F16" s="69">
        <f t="shared" si="2"/>
        <v>54.519722811145201</v>
      </c>
      <c r="G16" s="216"/>
      <c r="H16" s="69">
        <f t="shared" si="3"/>
        <v>6.521672903916726</v>
      </c>
      <c r="I16" s="69">
        <f t="shared" si="3"/>
        <v>3.1634340444024058</v>
      </c>
      <c r="J16" s="216"/>
      <c r="K16" s="216"/>
      <c r="L16"/>
      <c r="M16"/>
      <c r="N16" s="218"/>
      <c r="O16" s="218"/>
      <c r="T16" s="61"/>
      <c r="U16" s="79"/>
      <c r="V16" s="79"/>
      <c r="W16" s="79"/>
      <c r="X16" s="79"/>
      <c r="Y16" s="79"/>
      <c r="Z16" s="79"/>
      <c r="AA16" s="61"/>
      <c r="AB16" s="61"/>
    </row>
    <row r="17" spans="2:28" s="220" customFormat="1">
      <c r="B17" s="145">
        <f t="shared" si="0"/>
        <v>2032</v>
      </c>
      <c r="C17" s="217">
        <f t="shared" si="1"/>
        <v>1773.0458324189831</v>
      </c>
      <c r="D17" s="69"/>
      <c r="E17" s="69">
        <f t="shared" si="4"/>
        <v>20.870616941181481</v>
      </c>
      <c r="F17" s="69">
        <f t="shared" si="2"/>
        <v>55.730060657552627</v>
      </c>
      <c r="G17" s="216"/>
      <c r="H17" s="69">
        <f t="shared" si="3"/>
        <v>6.6664540423836778</v>
      </c>
      <c r="I17" s="69">
        <f t="shared" si="3"/>
        <v>3.2336622801881392</v>
      </c>
      <c r="J17" s="216"/>
      <c r="K17" s="216"/>
      <c r="L17"/>
      <c r="M17"/>
      <c r="N17" s="218"/>
      <c r="O17" s="218"/>
      <c r="T17" s="61"/>
      <c r="U17" s="79"/>
      <c r="V17" s="79"/>
      <c r="W17" s="79"/>
      <c r="X17" s="79"/>
      <c r="Y17" s="79"/>
      <c r="Z17" s="79"/>
      <c r="AA17" s="61"/>
      <c r="AB17" s="61"/>
    </row>
    <row r="18" spans="2:28" s="220" customFormat="1">
      <c r="B18" s="145">
        <f t="shared" si="0"/>
        <v>2033</v>
      </c>
      <c r="C18" s="217">
        <f t="shared" si="1"/>
        <v>1812.4074498986845</v>
      </c>
      <c r="D18" s="69"/>
      <c r="E18" s="69">
        <f t="shared" si="4"/>
        <v>21.33394463727571</v>
      </c>
      <c r="F18" s="69">
        <f t="shared" si="2"/>
        <v>56.967268004150299</v>
      </c>
      <c r="G18" s="216"/>
      <c r="H18" s="69">
        <f t="shared" si="3"/>
        <v>6.8144493221245952</v>
      </c>
      <c r="I18" s="69">
        <f t="shared" si="3"/>
        <v>3.3054495828083157</v>
      </c>
      <c r="J18" s="216"/>
      <c r="K18" s="216"/>
      <c r="L18"/>
      <c r="M18"/>
      <c r="N18" s="218"/>
      <c r="O18" s="218"/>
      <c r="T18" s="61"/>
      <c r="U18" s="79"/>
      <c r="V18" s="79"/>
      <c r="W18" s="79"/>
      <c r="X18" s="79"/>
      <c r="Y18" s="79"/>
      <c r="Z18" s="79"/>
      <c r="AA18" s="61"/>
      <c r="AB18" s="61"/>
    </row>
    <row r="19" spans="2:28" s="220" customFormat="1">
      <c r="B19" s="145">
        <f t="shared" si="0"/>
        <v>2034</v>
      </c>
      <c r="C19" s="217">
        <f t="shared" si="1"/>
        <v>1852.6428952864353</v>
      </c>
      <c r="D19" s="69"/>
      <c r="E19" s="69">
        <f t="shared" si="4"/>
        <v>21.807558208223231</v>
      </c>
      <c r="F19" s="69">
        <f t="shared" si="2"/>
        <v>58.231941353842437</v>
      </c>
      <c r="G19" s="216"/>
      <c r="H19" s="69">
        <f t="shared" si="3"/>
        <v>6.9657300970757614</v>
      </c>
      <c r="I19" s="69">
        <f t="shared" si="3"/>
        <v>3.3788305635466602</v>
      </c>
      <c r="J19" s="216"/>
      <c r="K19" s="216"/>
      <c r="L19"/>
      <c r="M19"/>
      <c r="N19" s="218"/>
      <c r="O19" s="218"/>
      <c r="Q19" s="221"/>
      <c r="T19" s="61"/>
      <c r="U19" s="79"/>
      <c r="V19" s="79"/>
      <c r="W19" s="79"/>
      <c r="X19" s="79"/>
      <c r="Y19" s="79"/>
      <c r="Z19" s="79"/>
      <c r="AA19" s="61"/>
      <c r="AB19" s="61"/>
    </row>
    <row r="20" spans="2:28" s="220" customFormat="1">
      <c r="B20" s="145">
        <f t="shared" si="0"/>
        <v>2035</v>
      </c>
      <c r="C20" s="217">
        <f t="shared" si="1"/>
        <v>1893.7715675617942</v>
      </c>
      <c r="D20" s="69"/>
      <c r="E20" s="69">
        <f t="shared" si="4"/>
        <v>22.291686000445786</v>
      </c>
      <c r="F20" s="69">
        <f t="shared" si="2"/>
        <v>59.52469045189774</v>
      </c>
      <c r="G20" s="216"/>
      <c r="H20" s="69">
        <f t="shared" si="3"/>
        <v>7.1203693052308434</v>
      </c>
      <c r="I20" s="69">
        <f t="shared" si="3"/>
        <v>3.453840602057396</v>
      </c>
      <c r="J20" s="216"/>
      <c r="K20" s="216"/>
      <c r="L20"/>
      <c r="M20"/>
      <c r="N20"/>
      <c r="T20" s="61"/>
      <c r="U20" s="79"/>
      <c r="V20" s="79"/>
      <c r="W20" s="79"/>
      <c r="X20" s="79"/>
      <c r="Y20" s="79"/>
      <c r="Z20" s="79"/>
      <c r="AA20" s="61"/>
      <c r="AB20" s="61"/>
    </row>
    <row r="21" spans="2:28">
      <c r="B21" s="145">
        <f t="shared" si="0"/>
        <v>2036</v>
      </c>
      <c r="C21" s="217">
        <f t="shared" si="1"/>
        <v>1935.8132963616661</v>
      </c>
      <c r="D21" s="69"/>
      <c r="E21" s="188">
        <f>E20*(1+Inflation)+$D$115</f>
        <v>37.222435644655683</v>
      </c>
      <c r="F21" s="69">
        <f t="shared" si="2"/>
        <v>60.846138579929871</v>
      </c>
      <c r="G21" s="216"/>
      <c r="H21" s="69">
        <f t="shared" si="3"/>
        <v>7.2784415038069685</v>
      </c>
      <c r="I21" s="69">
        <f t="shared" si="3"/>
        <v>3.5305158634230702</v>
      </c>
      <c r="J21" s="216"/>
      <c r="K21" s="216"/>
      <c r="T21" s="61"/>
      <c r="U21" s="79"/>
      <c r="V21" s="79"/>
      <c r="W21" s="79"/>
      <c r="X21" s="79"/>
      <c r="Y21" s="79"/>
      <c r="Z21" s="79"/>
    </row>
    <row r="22" spans="2:28">
      <c r="B22" s="145">
        <f t="shared" si="0"/>
        <v>2037</v>
      </c>
      <c r="C22" s="217">
        <f t="shared" si="1"/>
        <v>1978.7883515408951</v>
      </c>
      <c r="D22" s="69"/>
      <c r="E22" s="69">
        <f t="shared" ref="D22:E37" si="5">E21*(1+Inflation)</f>
        <v>38.048773715967037</v>
      </c>
      <c r="F22" s="69">
        <f t="shared" si="2"/>
        <v>62.196922856404314</v>
      </c>
      <c r="G22" s="216"/>
      <c r="H22" s="69">
        <f t="shared" si="3"/>
        <v>7.4400229051914835</v>
      </c>
      <c r="I22" s="69">
        <f t="shared" si="3"/>
        <v>3.6088933155910623</v>
      </c>
      <c r="J22" s="216"/>
      <c r="K22" s="216"/>
    </row>
    <row r="23" spans="2:28">
      <c r="B23" s="145">
        <f t="shared" si="0"/>
        <v>2038</v>
      </c>
      <c r="C23" s="217">
        <f t="shared" si="1"/>
        <v>2022.7174529451029</v>
      </c>
      <c r="D23" s="188">
        <f>ROUND(C23*$C$107,2)</f>
        <v>126.1</v>
      </c>
      <c r="E23" s="69">
        <f t="shared" si="5"/>
        <v>38.893456492461503</v>
      </c>
      <c r="F23" s="69">
        <f t="shared" si="2"/>
        <v>63.577694543816492</v>
      </c>
      <c r="G23" s="216">
        <f t="shared" ref="G23:G52" si="6">ROUND(D23+E23+F23,2)</f>
        <v>228.57</v>
      </c>
      <c r="H23" s="69">
        <f t="shared" si="3"/>
        <v>7.6051914136867342</v>
      </c>
      <c r="I23" s="69">
        <f t="shared" si="3"/>
        <v>3.6890107471971838</v>
      </c>
      <c r="J23" s="216">
        <f t="shared" ref="J23:J63" si="7">ROUND($K$87*H23/1000+I23,2)</f>
        <v>50.53</v>
      </c>
      <c r="K23" s="216">
        <f t="shared" ref="K23:K63" si="8">ROUND(G23*1000/8760/$G$87+J23,2)</f>
        <v>83.98</v>
      </c>
    </row>
    <row r="24" spans="2:28">
      <c r="B24" s="145">
        <f t="shared" si="0"/>
        <v>2039</v>
      </c>
      <c r="C24" s="217"/>
      <c r="D24" s="69">
        <f t="shared" si="5"/>
        <v>128.89941999999999</v>
      </c>
      <c r="E24" s="69">
        <f t="shared" si="5"/>
        <v>39.756891226594149</v>
      </c>
      <c r="F24" s="69">
        <f t="shared" si="2"/>
        <v>64.989119362689223</v>
      </c>
      <c r="G24" s="216">
        <f t="shared" si="6"/>
        <v>233.65</v>
      </c>
      <c r="H24" s="69">
        <f t="shared" si="3"/>
        <v>7.7740266630705799</v>
      </c>
      <c r="I24" s="69">
        <f t="shared" si="3"/>
        <v>3.7709067857849612</v>
      </c>
      <c r="J24" s="216">
        <f t="shared" si="7"/>
        <v>51.65</v>
      </c>
      <c r="K24" s="216">
        <f t="shared" si="8"/>
        <v>85.85</v>
      </c>
    </row>
    <row r="25" spans="2:28">
      <c r="B25" s="145">
        <f t="shared" si="0"/>
        <v>2040</v>
      </c>
      <c r="C25" s="217"/>
      <c r="D25" s="69">
        <f t="shared" si="5"/>
        <v>131.760987124</v>
      </c>
      <c r="E25" s="69">
        <f t="shared" si="5"/>
        <v>40.639494211824541</v>
      </c>
      <c r="F25" s="69">
        <f t="shared" si="2"/>
        <v>66.431877812540918</v>
      </c>
      <c r="G25" s="216">
        <f t="shared" si="6"/>
        <v>238.83</v>
      </c>
      <c r="H25" s="69">
        <f t="shared" si="3"/>
        <v>7.9466100549907468</v>
      </c>
      <c r="I25" s="69">
        <f t="shared" si="3"/>
        <v>3.8546209164293872</v>
      </c>
      <c r="J25" s="216">
        <f t="shared" si="7"/>
        <v>52.8</v>
      </c>
      <c r="K25" s="216">
        <f t="shared" si="8"/>
        <v>87.75</v>
      </c>
    </row>
    <row r="26" spans="2:28">
      <c r="B26" s="145">
        <f t="shared" si="0"/>
        <v>2041</v>
      </c>
      <c r="C26" s="217"/>
      <c r="D26" s="69">
        <f t="shared" si="5"/>
        <v>134.68608103815279</v>
      </c>
      <c r="E26" s="69">
        <f t="shared" si="5"/>
        <v>41.541690983327044</v>
      </c>
      <c r="F26" s="69">
        <f t="shared" si="2"/>
        <v>67.906665499979326</v>
      </c>
      <c r="G26" s="216">
        <f t="shared" si="6"/>
        <v>244.13</v>
      </c>
      <c r="H26" s="69">
        <f t="shared" si="3"/>
        <v>8.1230247982115422</v>
      </c>
      <c r="I26" s="69">
        <f t="shared" si="3"/>
        <v>3.9401935007741198</v>
      </c>
      <c r="J26" s="216">
        <f t="shared" si="7"/>
        <v>53.97</v>
      </c>
      <c r="K26" s="216">
        <f t="shared" si="8"/>
        <v>89.7</v>
      </c>
    </row>
    <row r="27" spans="2:28">
      <c r="B27" s="145">
        <f t="shared" si="0"/>
        <v>2042</v>
      </c>
      <c r="C27" s="217"/>
      <c r="D27" s="69">
        <f t="shared" si="5"/>
        <v>137.67611203719977</v>
      </c>
      <c r="E27" s="69">
        <f t="shared" si="5"/>
        <v>42.463916523156904</v>
      </c>
      <c r="F27" s="69">
        <f t="shared" si="2"/>
        <v>69.414193474078871</v>
      </c>
      <c r="G27" s="216">
        <f t="shared" si="6"/>
        <v>249.55</v>
      </c>
      <c r="H27" s="69">
        <f t="shared" ref="H27:I42" si="9">H26*(1+Inflation)</f>
        <v>8.3033559487318378</v>
      </c>
      <c r="I27" s="69">
        <f t="shared" si="9"/>
        <v>4.0276657964913056</v>
      </c>
      <c r="J27" s="216">
        <f t="shared" si="7"/>
        <v>55.17</v>
      </c>
      <c r="K27" s="216">
        <f t="shared" si="8"/>
        <v>91.69</v>
      </c>
    </row>
    <row r="28" spans="2:28">
      <c r="B28" s="145">
        <f t="shared" si="0"/>
        <v>2043</v>
      </c>
      <c r="C28" s="217"/>
      <c r="D28" s="69">
        <f t="shared" si="5"/>
        <v>140.7325217244256</v>
      </c>
      <c r="E28" s="69">
        <f t="shared" si="5"/>
        <v>43.406615469970987</v>
      </c>
      <c r="F28" s="69">
        <f t="shared" si="2"/>
        <v>70.955188569203429</v>
      </c>
      <c r="G28" s="216">
        <f t="shared" si="6"/>
        <v>255.09</v>
      </c>
      <c r="H28" s="69">
        <f t="shared" si="9"/>
        <v>8.4876904507936839</v>
      </c>
      <c r="I28" s="69">
        <f t="shared" si="9"/>
        <v>4.1170799771734128</v>
      </c>
      <c r="J28" s="216">
        <f t="shared" si="7"/>
        <v>56.39</v>
      </c>
      <c r="K28" s="216">
        <f t="shared" si="8"/>
        <v>93.72</v>
      </c>
    </row>
    <row r="29" spans="2:28">
      <c r="B29" s="145">
        <f t="shared" si="0"/>
        <v>2044</v>
      </c>
      <c r="C29" s="217"/>
      <c r="D29" s="69">
        <f t="shared" si="5"/>
        <v>143.85678370670783</v>
      </c>
      <c r="E29" s="69">
        <f t="shared" si="5"/>
        <v>44.370242333404342</v>
      </c>
      <c r="F29" s="69">
        <f t="shared" si="2"/>
        <v>72.530393755439746</v>
      </c>
      <c r="G29" s="216">
        <f t="shared" si="6"/>
        <v>260.76</v>
      </c>
      <c r="H29" s="69">
        <f t="shared" si="9"/>
        <v>8.6761171788013041</v>
      </c>
      <c r="I29" s="69">
        <f t="shared" si="9"/>
        <v>4.2084791526666629</v>
      </c>
      <c r="J29" s="216">
        <f t="shared" si="7"/>
        <v>57.64</v>
      </c>
      <c r="K29" s="216">
        <f t="shared" si="8"/>
        <v>95.8</v>
      </c>
    </row>
    <row r="30" spans="2:28">
      <c r="B30" s="145">
        <f t="shared" si="0"/>
        <v>2045</v>
      </c>
      <c r="C30" s="217"/>
      <c r="D30" s="69">
        <f t="shared" si="5"/>
        <v>147.05040430499673</v>
      </c>
      <c r="E30" s="69">
        <f t="shared" si="5"/>
        <v>45.35526171320592</v>
      </c>
      <c r="F30" s="69">
        <f t="shared" si="2"/>
        <v>74.140568496810502</v>
      </c>
      <c r="G30" s="216">
        <f t="shared" si="6"/>
        <v>266.55</v>
      </c>
      <c r="H30" s="69">
        <f t="shared" si="9"/>
        <v>8.8687269801706936</v>
      </c>
      <c r="I30" s="69">
        <f t="shared" si="9"/>
        <v>4.3019073898558631</v>
      </c>
      <c r="J30" s="216">
        <f t="shared" si="7"/>
        <v>58.92</v>
      </c>
      <c r="K30" s="216">
        <f t="shared" si="8"/>
        <v>97.93</v>
      </c>
    </row>
    <row r="31" spans="2:28">
      <c r="B31" s="145">
        <f t="shared" si="0"/>
        <v>2046</v>
      </c>
      <c r="C31" s="217"/>
      <c r="D31" s="69">
        <f t="shared" si="5"/>
        <v>150.31492328056765</v>
      </c>
      <c r="E31" s="69">
        <f t="shared" si="5"/>
        <v>46.362148523239092</v>
      </c>
      <c r="F31" s="69">
        <f t="shared" si="2"/>
        <v>75.7864891174397</v>
      </c>
      <c r="G31" s="216">
        <f t="shared" si="6"/>
        <v>272.45999999999998</v>
      </c>
      <c r="H31" s="69">
        <f t="shared" si="9"/>
        <v>9.0656127191304829</v>
      </c>
      <c r="I31" s="69">
        <f t="shared" si="9"/>
        <v>4.3974097339106635</v>
      </c>
      <c r="J31" s="216">
        <f t="shared" si="7"/>
        <v>60.23</v>
      </c>
      <c r="K31" s="216">
        <f t="shared" si="8"/>
        <v>100.11</v>
      </c>
    </row>
    <row r="32" spans="2:28">
      <c r="B32" s="145">
        <f t="shared" si="0"/>
        <v>2047</v>
      </c>
      <c r="C32" s="217"/>
      <c r="D32" s="69">
        <f t="shared" si="5"/>
        <v>153.65191457739627</v>
      </c>
      <c r="E32" s="69">
        <f t="shared" si="5"/>
        <v>47.391388220454999</v>
      </c>
      <c r="F32" s="69">
        <f t="shared" si="2"/>
        <v>77.468949175846859</v>
      </c>
      <c r="G32" s="216">
        <f t="shared" si="6"/>
        <v>278.51</v>
      </c>
      <c r="H32" s="69">
        <f t="shared" si="9"/>
        <v>9.2668693214951805</v>
      </c>
      <c r="I32" s="69">
        <f t="shared" si="9"/>
        <v>4.4950322300034804</v>
      </c>
      <c r="J32" s="216">
        <f t="shared" si="7"/>
        <v>61.57</v>
      </c>
      <c r="K32" s="216">
        <f t="shared" si="8"/>
        <v>102.33</v>
      </c>
    </row>
    <row r="33" spans="2:11">
      <c r="B33" s="145">
        <f t="shared" si="0"/>
        <v>2048</v>
      </c>
      <c r="C33" s="217"/>
      <c r="D33" s="69">
        <f t="shared" si="5"/>
        <v>157.06298708101446</v>
      </c>
      <c r="E33" s="69">
        <f t="shared" si="5"/>
        <v>48.443477038949098</v>
      </c>
      <c r="F33" s="69">
        <f t="shared" si="2"/>
        <v>79.188759847550656</v>
      </c>
      <c r="G33" s="216">
        <f t="shared" si="6"/>
        <v>284.7</v>
      </c>
      <c r="H33" s="69">
        <f t="shared" si="9"/>
        <v>9.4725938204323743</v>
      </c>
      <c r="I33" s="69">
        <f t="shared" si="9"/>
        <v>4.5948219455095574</v>
      </c>
      <c r="J33" s="216">
        <f t="shared" si="7"/>
        <v>62.94</v>
      </c>
      <c r="K33" s="216">
        <f t="shared" si="8"/>
        <v>104.61</v>
      </c>
    </row>
    <row r="34" spans="2:11">
      <c r="B34" s="145">
        <f t="shared" si="0"/>
        <v>2049</v>
      </c>
      <c r="C34" s="217"/>
      <c r="D34" s="69">
        <f t="shared" si="5"/>
        <v>160.54978539421299</v>
      </c>
      <c r="E34" s="69">
        <f t="shared" si="5"/>
        <v>49.518922229213764</v>
      </c>
      <c r="F34" s="69">
        <f t="shared" si="2"/>
        <v>80.946750316166288</v>
      </c>
      <c r="G34" s="216">
        <f t="shared" si="6"/>
        <v>291.02</v>
      </c>
      <c r="H34" s="69">
        <f t="shared" si="9"/>
        <v>9.6828854032459724</v>
      </c>
      <c r="I34" s="69">
        <f t="shared" si="9"/>
        <v>4.6968269926998696</v>
      </c>
      <c r="J34" s="216">
        <f t="shared" si="7"/>
        <v>64.33</v>
      </c>
      <c r="K34" s="216">
        <f t="shared" si="8"/>
        <v>106.92</v>
      </c>
    </row>
    <row r="35" spans="2:11">
      <c r="B35" s="145">
        <f t="shared" si="0"/>
        <v>2050</v>
      </c>
      <c r="C35" s="217"/>
      <c r="D35" s="69">
        <f t="shared" si="5"/>
        <v>164.11399062996452</v>
      </c>
      <c r="E35" s="69">
        <f t="shared" si="5"/>
        <v>50.618242302702306</v>
      </c>
      <c r="F35" s="69">
        <f t="shared" si="2"/>
        <v>82.743768173185174</v>
      </c>
      <c r="G35" s="216">
        <f t="shared" si="6"/>
        <v>297.48</v>
      </c>
      <c r="H35" s="69">
        <f t="shared" si="9"/>
        <v>9.8978454591980327</v>
      </c>
      <c r="I35" s="69">
        <f t="shared" si="9"/>
        <v>4.8010965519378068</v>
      </c>
      <c r="J35" s="216">
        <f t="shared" si="7"/>
        <v>65.760000000000005</v>
      </c>
      <c r="K35" s="216">
        <f t="shared" si="8"/>
        <v>109.3</v>
      </c>
    </row>
    <row r="36" spans="2:11">
      <c r="B36" s="145">
        <f t="shared" si="0"/>
        <v>2051</v>
      </c>
      <c r="C36" s="217"/>
      <c r="D36" s="69">
        <f t="shared" si="5"/>
        <v>167.75732122194972</v>
      </c>
      <c r="E36" s="69">
        <f t="shared" si="5"/>
        <v>51.741967281822298</v>
      </c>
      <c r="F36" s="69">
        <f t="shared" si="2"/>
        <v>84.58067982662989</v>
      </c>
      <c r="G36" s="216">
        <f t="shared" si="6"/>
        <v>304.08</v>
      </c>
      <c r="H36" s="69">
        <f t="shared" si="9"/>
        <v>10.11757762839223</v>
      </c>
      <c r="I36" s="69">
        <f t="shared" si="9"/>
        <v>4.9076808953908264</v>
      </c>
      <c r="J36" s="216">
        <f t="shared" si="7"/>
        <v>67.22</v>
      </c>
      <c r="K36" s="216">
        <f t="shared" si="8"/>
        <v>111.72</v>
      </c>
    </row>
    <row r="37" spans="2:11">
      <c r="B37" s="145">
        <f t="shared" si="0"/>
        <v>2052</v>
      </c>
      <c r="C37" s="217"/>
      <c r="D37" s="69">
        <f t="shared" si="5"/>
        <v>171.481533753077</v>
      </c>
      <c r="E37" s="69">
        <f t="shared" si="5"/>
        <v>52.890638955478749</v>
      </c>
      <c r="F37" s="69">
        <f t="shared" si="2"/>
        <v>86.458370918781071</v>
      </c>
      <c r="G37" s="216">
        <f t="shared" si="6"/>
        <v>310.83</v>
      </c>
      <c r="H37" s="69">
        <f t="shared" si="9"/>
        <v>10.342187851742537</v>
      </c>
      <c r="I37" s="69">
        <f t="shared" si="9"/>
        <v>5.0166314112685031</v>
      </c>
      <c r="J37" s="216">
        <f t="shared" si="7"/>
        <v>68.709999999999994</v>
      </c>
      <c r="K37" s="216">
        <f t="shared" si="8"/>
        <v>114.2</v>
      </c>
    </row>
    <row r="38" spans="2:11">
      <c r="B38" s="145">
        <f t="shared" si="0"/>
        <v>2053</v>
      </c>
      <c r="C38" s="217"/>
      <c r="D38" s="69">
        <f t="shared" ref="D38:E53" si="10">D37*(1+Inflation)</f>
        <v>175.2884238023953</v>
      </c>
      <c r="E38" s="69">
        <f t="shared" si="10"/>
        <v>54.064811140290381</v>
      </c>
      <c r="F38" s="69">
        <f t="shared" si="2"/>
        <v>88.377746753178016</v>
      </c>
      <c r="G38" s="216">
        <f t="shared" si="6"/>
        <v>317.73</v>
      </c>
      <c r="H38" s="69">
        <f t="shared" si="9"/>
        <v>10.571784422051222</v>
      </c>
      <c r="I38" s="69">
        <f t="shared" si="9"/>
        <v>5.1280006285986639</v>
      </c>
      <c r="J38" s="216">
        <f t="shared" si="7"/>
        <v>70.239999999999995</v>
      </c>
      <c r="K38" s="216">
        <f t="shared" si="8"/>
        <v>116.74</v>
      </c>
    </row>
    <row r="39" spans="2:11">
      <c r="B39" s="145">
        <f t="shared" si="0"/>
        <v>2054</v>
      </c>
      <c r="C39" s="217"/>
      <c r="D39" s="69">
        <f t="shared" si="10"/>
        <v>179.17982681080846</v>
      </c>
      <c r="E39" s="69">
        <f t="shared" si="10"/>
        <v>55.26504994760483</v>
      </c>
      <c r="F39" s="69">
        <f t="shared" si="2"/>
        <v>90.339732731098564</v>
      </c>
      <c r="G39" s="216">
        <f t="shared" si="6"/>
        <v>324.77999999999997</v>
      </c>
      <c r="H39" s="69">
        <f t="shared" si="9"/>
        <v>10.806478036220758</v>
      </c>
      <c r="I39" s="69">
        <f t="shared" si="9"/>
        <v>5.2418422425535542</v>
      </c>
      <c r="J39" s="216">
        <f t="shared" si="7"/>
        <v>71.8</v>
      </c>
      <c r="K39" s="216">
        <f t="shared" si="8"/>
        <v>119.33</v>
      </c>
    </row>
    <row r="40" spans="2:11">
      <c r="B40" s="145">
        <f t="shared" si="0"/>
        <v>2055</v>
      </c>
      <c r="C40" s="217"/>
      <c r="D40" s="69">
        <f t="shared" si="10"/>
        <v>183.15761896600841</v>
      </c>
      <c r="E40" s="69">
        <f t="shared" si="10"/>
        <v>56.491934056441657</v>
      </c>
      <c r="F40" s="69">
        <f t="shared" si="2"/>
        <v>92.345274797728948</v>
      </c>
      <c r="G40" s="216">
        <f t="shared" si="6"/>
        <v>331.99</v>
      </c>
      <c r="H40" s="69">
        <f t="shared" si="9"/>
        <v>11.04638184862486</v>
      </c>
      <c r="I40" s="69">
        <f t="shared" si="9"/>
        <v>5.3582111403382431</v>
      </c>
      <c r="J40" s="216">
        <f t="shared" si="7"/>
        <v>73.39</v>
      </c>
      <c r="K40" s="216">
        <f t="shared" si="8"/>
        <v>121.98</v>
      </c>
    </row>
    <row r="41" spans="2:11">
      <c r="B41" s="145">
        <f t="shared" si="0"/>
        <v>2056</v>
      </c>
      <c r="C41" s="217"/>
      <c r="D41" s="69">
        <f t="shared" si="10"/>
        <v>187.2237181070538</v>
      </c>
      <c r="E41" s="69">
        <f t="shared" si="10"/>
        <v>57.746054992494663</v>
      </c>
      <c r="F41" s="69">
        <f t="shared" si="2"/>
        <v>94.395339898238532</v>
      </c>
      <c r="G41" s="216">
        <f t="shared" si="6"/>
        <v>339.37</v>
      </c>
      <c r="H41" s="69">
        <f t="shared" si="9"/>
        <v>11.291611525664331</v>
      </c>
      <c r="I41" s="69">
        <f t="shared" si="9"/>
        <v>5.4771634276537524</v>
      </c>
      <c r="J41" s="216">
        <f t="shared" si="7"/>
        <v>75.02</v>
      </c>
      <c r="K41" s="216">
        <f t="shared" si="8"/>
        <v>124.69</v>
      </c>
    </row>
    <row r="42" spans="2:11">
      <c r="B42" s="145">
        <f t="shared" si="0"/>
        <v>2057</v>
      </c>
      <c r="C42" s="217"/>
      <c r="D42" s="69">
        <f t="shared" si="10"/>
        <v>191.38008464903038</v>
      </c>
      <c r="E42" s="69">
        <f t="shared" si="10"/>
        <v>59.028017413328044</v>
      </c>
      <c r="F42" s="69">
        <f t="shared" si="2"/>
        <v>96.49091644397943</v>
      </c>
      <c r="G42" s="216">
        <f t="shared" si="6"/>
        <v>346.9</v>
      </c>
      <c r="H42" s="69">
        <f t="shared" si="9"/>
        <v>11.542285301534079</v>
      </c>
      <c r="I42" s="69">
        <f t="shared" si="9"/>
        <v>5.5987564557476661</v>
      </c>
      <c r="J42" s="216">
        <f t="shared" si="7"/>
        <v>76.69</v>
      </c>
      <c r="K42" s="216">
        <f t="shared" si="8"/>
        <v>127.46</v>
      </c>
    </row>
    <row r="43" spans="2:11">
      <c r="B43" s="145">
        <f t="shared" si="0"/>
        <v>2058</v>
      </c>
      <c r="C43" s="217"/>
      <c r="D43" s="69">
        <f t="shared" si="10"/>
        <v>195.62872252823885</v>
      </c>
      <c r="E43" s="69">
        <f t="shared" si="10"/>
        <v>60.338439399903926</v>
      </c>
      <c r="F43" s="69">
        <f t="shared" si="2"/>
        <v>98.633014789035769</v>
      </c>
      <c r="G43" s="216">
        <f t="shared" si="6"/>
        <v>354.6</v>
      </c>
      <c r="H43" s="69">
        <f t="shared" ref="H43:I58" si="11">H42*(1+Inflation)</f>
        <v>11.798524035228136</v>
      </c>
      <c r="I43" s="69">
        <f t="shared" si="11"/>
        <v>5.7230488490652647</v>
      </c>
      <c r="J43" s="216">
        <f t="shared" si="7"/>
        <v>78.39</v>
      </c>
      <c r="K43" s="216">
        <f t="shared" si="8"/>
        <v>130.29</v>
      </c>
    </row>
    <row r="44" spans="2:11">
      <c r="B44" s="145">
        <f t="shared" si="0"/>
        <v>2059</v>
      </c>
      <c r="C44" s="217"/>
      <c r="D44" s="69">
        <f t="shared" si="10"/>
        <v>199.97168016836576</v>
      </c>
      <c r="E44" s="69">
        <f t="shared" si="10"/>
        <v>61.677952754581796</v>
      </c>
      <c r="F44" s="69">
        <f t="shared" si="2"/>
        <v>100.82266771735236</v>
      </c>
      <c r="G44" s="216">
        <f t="shared" si="6"/>
        <v>362.47</v>
      </c>
      <c r="H44" s="69">
        <f t="shared" si="11"/>
        <v>12.060451268810199</v>
      </c>
      <c r="I44" s="69">
        <f t="shared" si="11"/>
        <v>5.8501005335145138</v>
      </c>
      <c r="J44" s="216">
        <f t="shared" si="7"/>
        <v>80.13</v>
      </c>
      <c r="K44" s="216">
        <f t="shared" si="8"/>
        <v>133.18</v>
      </c>
    </row>
    <row r="45" spans="2:11">
      <c r="B45" s="145">
        <f t="shared" si="0"/>
        <v>2060</v>
      </c>
      <c r="C45" s="217"/>
      <c r="D45" s="69">
        <f t="shared" si="10"/>
        <v>204.41105146810349</v>
      </c>
      <c r="E45" s="69">
        <f t="shared" si="10"/>
        <v>63.047203305733511</v>
      </c>
      <c r="F45" s="69">
        <f t="shared" si="2"/>
        <v>103.06093094067758</v>
      </c>
      <c r="G45" s="216">
        <f t="shared" si="6"/>
        <v>370.52</v>
      </c>
      <c r="H45" s="69">
        <f t="shared" si="11"/>
        <v>12.328193286977786</v>
      </c>
      <c r="I45" s="69">
        <f t="shared" si="11"/>
        <v>5.9799727653585357</v>
      </c>
      <c r="J45" s="216">
        <f t="shared" si="7"/>
        <v>81.91</v>
      </c>
      <c r="K45" s="216">
        <f t="shared" si="8"/>
        <v>136.13999999999999</v>
      </c>
    </row>
    <row r="46" spans="2:11">
      <c r="B46" s="145">
        <f t="shared" si="0"/>
        <v>2061</v>
      </c>
      <c r="C46" s="217"/>
      <c r="D46" s="69">
        <f t="shared" si="10"/>
        <v>208.9489768106954</v>
      </c>
      <c r="E46" s="69">
        <f t="shared" si="10"/>
        <v>64.446851219120788</v>
      </c>
      <c r="F46" s="69">
        <f t="shared" si="2"/>
        <v>105.34888360756062</v>
      </c>
      <c r="G46" s="216">
        <f t="shared" si="6"/>
        <v>378.74</v>
      </c>
      <c r="H46" s="69">
        <f t="shared" si="11"/>
        <v>12.601879177948693</v>
      </c>
      <c r="I46" s="69">
        <f t="shared" si="11"/>
        <v>6.1127281607494952</v>
      </c>
      <c r="J46" s="216">
        <f t="shared" si="7"/>
        <v>83.73</v>
      </c>
      <c r="K46" s="216">
        <f t="shared" si="8"/>
        <v>139.16</v>
      </c>
    </row>
    <row r="47" spans="2:11">
      <c r="B47" s="145">
        <f t="shared" si="0"/>
        <v>2062</v>
      </c>
      <c r="C47" s="217"/>
      <c r="D47" s="69">
        <f t="shared" si="10"/>
        <v>213.58764409589284</v>
      </c>
      <c r="E47" s="69">
        <f t="shared" si="10"/>
        <v>65.877571316185268</v>
      </c>
      <c r="F47" s="69">
        <f t="shared" si="2"/>
        <v>107.68762882364847</v>
      </c>
      <c r="G47" s="216">
        <f t="shared" si="6"/>
        <v>387.15</v>
      </c>
      <c r="H47" s="69">
        <f t="shared" si="11"/>
        <v>12.881640895699153</v>
      </c>
      <c r="I47" s="69">
        <f t="shared" si="11"/>
        <v>6.2484307259181344</v>
      </c>
      <c r="J47" s="216">
        <f t="shared" si="7"/>
        <v>85.59</v>
      </c>
      <c r="K47" s="216">
        <f t="shared" si="8"/>
        <v>142.25</v>
      </c>
    </row>
    <row r="48" spans="2:11">
      <c r="B48" s="145">
        <f t="shared" si="0"/>
        <v>2063</v>
      </c>
      <c r="C48" s="217"/>
      <c r="D48" s="69">
        <f t="shared" si="10"/>
        <v>218.32928979482165</v>
      </c>
      <c r="E48" s="69">
        <f t="shared" si="10"/>
        <v>67.340053399404582</v>
      </c>
      <c r="F48" s="69">
        <f t="shared" si="2"/>
        <v>110.07829418353346</v>
      </c>
      <c r="G48" s="216">
        <f t="shared" si="6"/>
        <v>395.75</v>
      </c>
      <c r="H48" s="69">
        <f t="shared" si="11"/>
        <v>13.167613323583675</v>
      </c>
      <c r="I48" s="69">
        <f t="shared" si="11"/>
        <v>6.3871458880335172</v>
      </c>
      <c r="J48" s="216">
        <f t="shared" si="7"/>
        <v>87.49</v>
      </c>
      <c r="K48" s="216">
        <f t="shared" si="8"/>
        <v>145.41</v>
      </c>
    </row>
    <row r="49" spans="2:11">
      <c r="B49" s="145">
        <f t="shared" si="0"/>
        <v>2064</v>
      </c>
      <c r="C49" s="217"/>
      <c r="D49" s="69">
        <f t="shared" si="10"/>
        <v>223.17620002826669</v>
      </c>
      <c r="E49" s="69">
        <f t="shared" si="10"/>
        <v>68.835002584871361</v>
      </c>
      <c r="F49" s="69">
        <f t="shared" si="2"/>
        <v>112.52203231440789</v>
      </c>
      <c r="G49" s="216">
        <f t="shared" si="6"/>
        <v>404.53</v>
      </c>
      <c r="H49" s="69">
        <f t="shared" si="11"/>
        <v>13.459934339367232</v>
      </c>
      <c r="I49" s="69">
        <f t="shared" si="11"/>
        <v>6.5289405267478617</v>
      </c>
      <c r="J49" s="216">
        <f t="shared" si="7"/>
        <v>89.43</v>
      </c>
      <c r="K49" s="216">
        <f t="shared" si="8"/>
        <v>148.63</v>
      </c>
    </row>
    <row r="50" spans="2:11">
      <c r="B50" s="145">
        <f t="shared" si="0"/>
        <v>2065</v>
      </c>
      <c r="C50" s="217"/>
      <c r="D50" s="69">
        <f t="shared" si="10"/>
        <v>228.13071166889421</v>
      </c>
      <c r="E50" s="69">
        <f t="shared" si="10"/>
        <v>70.363139642255504</v>
      </c>
      <c r="F50" s="69">
        <f t="shared" si="2"/>
        <v>115.02002143178775</v>
      </c>
      <c r="G50" s="216">
        <f t="shared" si="6"/>
        <v>413.51</v>
      </c>
      <c r="H50" s="69">
        <f t="shared" si="11"/>
        <v>13.758744881701185</v>
      </c>
      <c r="I50" s="69">
        <f t="shared" si="11"/>
        <v>6.6738830064416641</v>
      </c>
      <c r="J50" s="216">
        <f t="shared" si="7"/>
        <v>91.41</v>
      </c>
      <c r="K50" s="216">
        <f t="shared" si="8"/>
        <v>151.93</v>
      </c>
    </row>
    <row r="51" spans="2:11">
      <c r="B51" s="145">
        <f t="shared" si="0"/>
        <v>2066</v>
      </c>
      <c r="C51" s="217"/>
      <c r="D51" s="69">
        <f t="shared" si="10"/>
        <v>233.19521346794366</v>
      </c>
      <c r="E51" s="69">
        <f t="shared" si="10"/>
        <v>71.925201342313571</v>
      </c>
      <c r="F51" s="69">
        <f t="shared" si="2"/>
        <v>117.57346590757344</v>
      </c>
      <c r="G51" s="216">
        <f t="shared" si="6"/>
        <v>422.69</v>
      </c>
      <c r="H51" s="69">
        <f t="shared" si="11"/>
        <v>14.064189018074952</v>
      </c>
      <c r="I51" s="69">
        <f t="shared" si="11"/>
        <v>6.8220432091846694</v>
      </c>
      <c r="J51" s="216">
        <f t="shared" si="7"/>
        <v>93.44</v>
      </c>
      <c r="K51" s="216">
        <f t="shared" si="8"/>
        <v>155.30000000000001</v>
      </c>
    </row>
    <row r="52" spans="2:11">
      <c r="B52" s="145">
        <f t="shared" si="0"/>
        <v>2067</v>
      </c>
      <c r="C52" s="217"/>
      <c r="D52" s="69">
        <f t="shared" si="10"/>
        <v>238.372147206932</v>
      </c>
      <c r="E52" s="69">
        <f t="shared" si="10"/>
        <v>73.521940812112931</v>
      </c>
      <c r="F52" s="69">
        <f t="shared" si="2"/>
        <v>120.18359685072157</v>
      </c>
      <c r="G52" s="216">
        <f t="shared" si="6"/>
        <v>432.08</v>
      </c>
      <c r="H52" s="69">
        <f t="shared" si="11"/>
        <v>14.376414014276216</v>
      </c>
      <c r="I52" s="69">
        <f t="shared" si="11"/>
        <v>6.9734925684285693</v>
      </c>
      <c r="J52" s="216">
        <f t="shared" si="7"/>
        <v>95.52</v>
      </c>
      <c r="K52" s="216">
        <f t="shared" si="8"/>
        <v>158.76</v>
      </c>
    </row>
    <row r="53" spans="2:11">
      <c r="B53" s="145">
        <f t="shared" si="0"/>
        <v>2068</v>
      </c>
      <c r="C53" s="217"/>
      <c r="D53" s="69">
        <f t="shared" si="10"/>
        <v>243.66400887492588</v>
      </c>
      <c r="E53" s="69">
        <f t="shared" si="10"/>
        <v>75.154127898141837</v>
      </c>
      <c r="F53" s="69">
        <f t="shared" si="2"/>
        <v>122.85167270080758</v>
      </c>
      <c r="G53" s="216">
        <f>ROUND(D53+E53+F53,2)</f>
        <v>441.67</v>
      </c>
      <c r="H53" s="69">
        <f t="shared" si="11"/>
        <v>14.695570405393148</v>
      </c>
      <c r="I53" s="69">
        <f t="shared" si="11"/>
        <v>7.1283041034476833</v>
      </c>
      <c r="J53" s="216">
        <f t="shared" si="7"/>
        <v>97.64</v>
      </c>
      <c r="K53" s="216">
        <f t="shared" si="8"/>
        <v>162.28</v>
      </c>
    </row>
    <row r="54" spans="2:11">
      <c r="B54" s="145">
        <f t="shared" si="0"/>
        <v>2069</v>
      </c>
      <c r="C54" s="217"/>
      <c r="D54" s="69">
        <f t="shared" ref="D54:E63" si="12">D53*(1+Inflation)</f>
        <v>249.07334987194923</v>
      </c>
      <c r="E54" s="69">
        <f t="shared" si="12"/>
        <v>76.822549537480583</v>
      </c>
      <c r="F54" s="69">
        <f t="shared" si="2"/>
        <v>125.57897983476551</v>
      </c>
      <c r="G54" s="216">
        <f>ROUND(D54+E54+F54,2)</f>
        <v>451.47</v>
      </c>
      <c r="H54" s="69">
        <f t="shared" si="11"/>
        <v>15.021812068392876</v>
      </c>
      <c r="I54" s="69">
        <f t="shared" si="11"/>
        <v>7.2865524545442222</v>
      </c>
      <c r="J54" s="216">
        <f t="shared" si="7"/>
        <v>99.81</v>
      </c>
      <c r="K54" s="216">
        <f t="shared" si="8"/>
        <v>165.88</v>
      </c>
    </row>
    <row r="55" spans="2:11">
      <c r="B55" s="145">
        <f t="shared" si="0"/>
        <v>2070</v>
      </c>
      <c r="C55" s="217"/>
      <c r="D55" s="69">
        <f t="shared" si="12"/>
        <v>254.6027782391065</v>
      </c>
      <c r="E55" s="69">
        <f t="shared" si="12"/>
        <v>78.528010137212647</v>
      </c>
      <c r="F55" s="69">
        <f t="shared" si="2"/>
        <v>128.36683318709728</v>
      </c>
      <c r="G55" s="216">
        <f>ROUND(D55+E55+F55,2)</f>
        <v>461.5</v>
      </c>
      <c r="H55" s="69">
        <f t="shared" si="11"/>
        <v>15.355296296311197</v>
      </c>
      <c r="I55" s="69">
        <f t="shared" si="11"/>
        <v>7.4483139190351038</v>
      </c>
      <c r="J55" s="216">
        <f t="shared" si="7"/>
        <v>102.02</v>
      </c>
      <c r="K55" s="216">
        <f t="shared" si="8"/>
        <v>169.56</v>
      </c>
    </row>
    <row r="56" spans="2:11">
      <c r="B56" s="145">
        <f t="shared" si="0"/>
        <v>2071</v>
      </c>
      <c r="C56" s="217"/>
      <c r="D56" s="69">
        <f t="shared" si="12"/>
        <v>260.25495991601468</v>
      </c>
      <c r="E56" s="69">
        <f t="shared" si="12"/>
        <v>80.27133196225877</v>
      </c>
      <c r="F56" s="69">
        <f t="shared" si="2"/>
        <v>131.21657688385085</v>
      </c>
      <c r="G56" s="216">
        <f>ROUND(D56+E56+F56,2)</f>
        <v>471.74</v>
      </c>
      <c r="H56" s="69">
        <f t="shared" si="11"/>
        <v>15.696183874089305</v>
      </c>
      <c r="I56" s="69">
        <f t="shared" si="11"/>
        <v>7.6136664880376834</v>
      </c>
      <c r="J56" s="216">
        <f t="shared" si="7"/>
        <v>104.29</v>
      </c>
      <c r="K56" s="216">
        <f t="shared" si="8"/>
        <v>173.33</v>
      </c>
    </row>
    <row r="57" spans="2:11">
      <c r="B57" s="145">
        <f t="shared" si="0"/>
        <v>2072</v>
      </c>
      <c r="C57" s="217"/>
      <c r="D57" s="69">
        <f t="shared" si="12"/>
        <v>266.0326200261502</v>
      </c>
      <c r="E57" s="69">
        <f t="shared" si="12"/>
        <v>82.053355531820912</v>
      </c>
      <c r="F57" s="69">
        <f t="shared" si="2"/>
        <v>134.12958489067233</v>
      </c>
      <c r="G57" s="216">
        <f t="shared" ref="G57:G63" si="13">ROUND(D57+E57+F57,2)</f>
        <v>482.22</v>
      </c>
      <c r="H57" s="69">
        <f t="shared" si="11"/>
        <v>16.044639156094089</v>
      </c>
      <c r="I57" s="69">
        <f t="shared" si="11"/>
        <v>7.7826898840721199</v>
      </c>
      <c r="J57" s="216">
        <f t="shared" si="7"/>
        <v>106.6</v>
      </c>
      <c r="K57" s="216">
        <f t="shared" si="8"/>
        <v>177.17</v>
      </c>
    </row>
    <row r="58" spans="2:11">
      <c r="B58" s="145">
        <f t="shared" si="0"/>
        <v>2073</v>
      </c>
      <c r="C58" s="217"/>
      <c r="D58" s="69">
        <f t="shared" si="12"/>
        <v>271.93854419073074</v>
      </c>
      <c r="E58" s="69">
        <f t="shared" si="12"/>
        <v>83.874940024627335</v>
      </c>
      <c r="F58" s="69">
        <f t="shared" si="2"/>
        <v>137.10726167524527</v>
      </c>
      <c r="G58" s="216">
        <f t="shared" si="13"/>
        <v>492.92</v>
      </c>
      <c r="H58" s="69">
        <f t="shared" si="11"/>
        <v>16.400830145359379</v>
      </c>
      <c r="I58" s="69">
        <f t="shared" si="11"/>
        <v>7.9554655994985213</v>
      </c>
      <c r="J58" s="216">
        <f t="shared" si="7"/>
        <v>108.97</v>
      </c>
      <c r="K58" s="216">
        <f t="shared" si="8"/>
        <v>181.11</v>
      </c>
    </row>
    <row r="59" spans="2:11">
      <c r="B59" s="145">
        <f t="shared" si="0"/>
        <v>2074</v>
      </c>
      <c r="C59" s="217"/>
      <c r="D59" s="69">
        <f t="shared" si="12"/>
        <v>277.97557987176498</v>
      </c>
      <c r="E59" s="69">
        <f t="shared" si="12"/>
        <v>85.736963693174062</v>
      </c>
      <c r="F59" s="69">
        <f t="shared" si="2"/>
        <v>140.15104288443573</v>
      </c>
      <c r="G59" s="216">
        <f t="shared" si="13"/>
        <v>503.86</v>
      </c>
      <c r="H59" s="69">
        <f t="shared" ref="H59:I63" si="14">H58*(1+Inflation)</f>
        <v>16.764928574586357</v>
      </c>
      <c r="I59" s="69">
        <f t="shared" si="14"/>
        <v>8.1320769358073886</v>
      </c>
      <c r="J59" s="216">
        <f t="shared" si="7"/>
        <v>111.39</v>
      </c>
      <c r="K59" s="216">
        <f t="shared" si="8"/>
        <v>185.13</v>
      </c>
    </row>
    <row r="60" spans="2:11">
      <c r="B60" s="145">
        <f t="shared" si="0"/>
        <v>2075</v>
      </c>
      <c r="C60" s="217"/>
      <c r="D60" s="69">
        <f t="shared" si="12"/>
        <v>284.14663774491817</v>
      </c>
      <c r="E60" s="69">
        <f t="shared" si="12"/>
        <v>87.640324287162528</v>
      </c>
      <c r="F60" s="69">
        <f t="shared" si="2"/>
        <v>143.26239603647019</v>
      </c>
      <c r="G60" s="216">
        <f t="shared" si="13"/>
        <v>515.04999999999995</v>
      </c>
      <c r="H60" s="69">
        <f t="shared" si="14"/>
        <v>17.137109988942175</v>
      </c>
      <c r="I60" s="69">
        <f t="shared" si="14"/>
        <v>8.312609043782313</v>
      </c>
      <c r="J60" s="216">
        <f t="shared" si="7"/>
        <v>113.86</v>
      </c>
      <c r="K60" s="216">
        <f t="shared" si="8"/>
        <v>189.24</v>
      </c>
    </row>
    <row r="61" spans="2:11">
      <c r="B61" s="145">
        <f t="shared" si="0"/>
        <v>2076</v>
      </c>
      <c r="C61" s="217"/>
      <c r="D61" s="69">
        <f t="shared" si="12"/>
        <v>290.45469310285534</v>
      </c>
      <c r="E61" s="69">
        <f t="shared" si="12"/>
        <v>89.585939486337537</v>
      </c>
      <c r="F61" s="69">
        <f t="shared" si="2"/>
        <v>146.44282122847983</v>
      </c>
      <c r="G61" s="216">
        <f t="shared" si="13"/>
        <v>526.48</v>
      </c>
      <c r="H61" s="69">
        <f t="shared" si="14"/>
        <v>17.517553830696691</v>
      </c>
      <c r="I61" s="69">
        <f t="shared" si="14"/>
        <v>8.497148964554281</v>
      </c>
      <c r="J61" s="216">
        <f t="shared" si="7"/>
        <v>116.39</v>
      </c>
      <c r="K61" s="216">
        <f t="shared" si="8"/>
        <v>193.44</v>
      </c>
    </row>
    <row r="62" spans="2:11">
      <c r="B62" s="145">
        <f t="shared" si="0"/>
        <v>2077</v>
      </c>
      <c r="C62" s="217"/>
      <c r="D62" s="69">
        <f t="shared" si="12"/>
        <v>296.90278728973874</v>
      </c>
      <c r="E62" s="69">
        <f t="shared" si="12"/>
        <v>91.574747342934231</v>
      </c>
      <c r="F62" s="69">
        <f t="shared" si="2"/>
        <v>149.69385185975207</v>
      </c>
      <c r="G62" s="216">
        <f t="shared" si="13"/>
        <v>538.16999999999996</v>
      </c>
      <c r="H62" s="69">
        <f t="shared" si="14"/>
        <v>17.906443525738158</v>
      </c>
      <c r="I62" s="69">
        <f t="shared" si="14"/>
        <v>8.6857856715673858</v>
      </c>
      <c r="J62" s="216">
        <f t="shared" si="7"/>
        <v>118.97</v>
      </c>
      <c r="K62" s="216">
        <f t="shared" si="8"/>
        <v>197.73</v>
      </c>
    </row>
    <row r="63" spans="2:11">
      <c r="B63" s="145">
        <f t="shared" si="0"/>
        <v>2078</v>
      </c>
      <c r="C63" s="217"/>
      <c r="D63" s="69">
        <f t="shared" si="12"/>
        <v>303.49402916757094</v>
      </c>
      <c r="E63" s="69">
        <f t="shared" si="12"/>
        <v>93.607706733947367</v>
      </c>
      <c r="F63" s="69">
        <f t="shared" si="2"/>
        <v>153.01705537103857</v>
      </c>
      <c r="G63" s="216">
        <f t="shared" si="13"/>
        <v>550.12</v>
      </c>
      <c r="H63" s="69">
        <f t="shared" si="14"/>
        <v>18.303966572009546</v>
      </c>
      <c r="I63" s="69">
        <f t="shared" si="14"/>
        <v>8.8786101134761815</v>
      </c>
      <c r="J63" s="216">
        <f t="shared" si="7"/>
        <v>121.61</v>
      </c>
      <c r="K63" s="216">
        <f t="shared" si="8"/>
        <v>202.12</v>
      </c>
    </row>
    <row r="64" spans="2:11">
      <c r="B64" s="145"/>
      <c r="C64" s="217"/>
      <c r="D64" s="69"/>
      <c r="E64" s="69"/>
      <c r="F64" s="69"/>
      <c r="G64" s="216"/>
      <c r="H64" s="69"/>
      <c r="I64" s="69"/>
      <c r="J64" s="216"/>
      <c r="K64" s="216"/>
    </row>
    <row r="65" spans="2:29">
      <c r="M65" s="145"/>
      <c r="O65" s="222"/>
      <c r="AA65"/>
      <c r="AC65" s="61"/>
    </row>
    <row r="66" spans="2:29">
      <c r="B66" s="68" t="s">
        <v>176</v>
      </c>
      <c r="C66" s="61"/>
      <c r="D66" s="61"/>
      <c r="E66" s="61"/>
      <c r="F66" s="61"/>
      <c r="G66" s="70">
        <f>-PMT(Discount_Rate,COUNT(G$23:G$62),NPV(Discount_Rate,G$23:G$62))</f>
        <v>305.52097175098487</v>
      </c>
      <c r="H66" s="61"/>
      <c r="I66" s="61"/>
      <c r="J66" s="70">
        <f>-PMT(Discount_Rate,COUNT(J$23:J$62),NPV(Discount_Rate,J$23:J$62))</f>
        <v>67.540030386156658</v>
      </c>
      <c r="K66" s="70">
        <f>-PMT(Discount_Rate,COUNT(K$23:K$62),NPV(Discount_Rate,K$23:K$62))</f>
        <v>112.25373928419644</v>
      </c>
      <c r="L66" s="70"/>
      <c r="M66" s="216"/>
      <c r="O66" s="222"/>
      <c r="AA66"/>
      <c r="AC66" s="61"/>
    </row>
    <row r="67" spans="2:29">
      <c r="M67" s="145"/>
      <c r="O67" s="222"/>
      <c r="AA67"/>
      <c r="AC67" s="61"/>
    </row>
    <row r="68" spans="2:29" ht="14.25">
      <c r="B68" s="4" t="s">
        <v>25</v>
      </c>
      <c r="C68" s="17"/>
      <c r="D68" s="17"/>
      <c r="E68" s="17"/>
      <c r="F68" s="17"/>
      <c r="G68" s="17"/>
      <c r="H68" s="17"/>
      <c r="I68" s="17"/>
      <c r="J68" s="17"/>
      <c r="K68" s="17"/>
      <c r="M68" s="222"/>
      <c r="N68" s="222"/>
    </row>
    <row r="70" spans="2:29">
      <c r="B70" t="s">
        <v>175</v>
      </c>
      <c r="D70" s="146" t="s">
        <v>237</v>
      </c>
      <c r="G70" s="223"/>
    </row>
    <row r="71" spans="2:29">
      <c r="C71" s="159" t="str">
        <f>C6</f>
        <v>(a)</v>
      </c>
      <c r="D71" s="146" t="s">
        <v>174</v>
      </c>
      <c r="G71" s="223"/>
    </row>
    <row r="72" spans="2:29">
      <c r="C72" s="159" t="str">
        <f>D6</f>
        <v>(b)</v>
      </c>
      <c r="D72" s="216" t="str">
        <f>"= "&amp;C6&amp;" x "&amp;TEXT(C107,"0.000%")&amp;E107</f>
        <v>= (a) x 6.234%  Real Payment Factor@ 00% ITC</v>
      </c>
    </row>
    <row r="73" spans="2:29">
      <c r="C73" s="159" t="str">
        <f>H6</f>
        <v>(f)</v>
      </c>
      <c r="D73" s="224" t="s">
        <v>173</v>
      </c>
    </row>
    <row r="74" spans="2:29">
      <c r="C74" s="159" t="str">
        <f>J6</f>
        <v>(h)</v>
      </c>
      <c r="D74" s="216" t="str">
        <f>"= "&amp;H6&amp;" / (8.76 x 'Capacity Factor' ) + "&amp;I6</f>
        <v>= (f) / (8.76 x 'Capacity Factor' ) + (g)</v>
      </c>
    </row>
    <row r="75" spans="2:29" ht="13.5" thickBot="1"/>
    <row r="76" spans="2:29" ht="13.5" thickBot="1">
      <c r="C76" s="37" t="s">
        <v>235</v>
      </c>
      <c r="D76" s="225"/>
      <c r="E76" s="225"/>
      <c r="F76" s="225"/>
      <c r="G76" s="225"/>
      <c r="H76" s="225"/>
      <c r="I76" s="225"/>
      <c r="J76" s="226"/>
      <c r="K76" s="227"/>
      <c r="N76" t="s">
        <v>234</v>
      </c>
    </row>
    <row r="77" spans="2:29" ht="5.25" customHeight="1"/>
    <row r="78" spans="2:29" ht="5.25" customHeight="1"/>
    <row r="79" spans="2:29">
      <c r="C79" s="228" t="s">
        <v>155</v>
      </c>
      <c r="D79" s="229"/>
      <c r="E79" s="228"/>
      <c r="F79" s="230" t="s">
        <v>32</v>
      </c>
      <c r="G79" s="230" t="s">
        <v>156</v>
      </c>
      <c r="H79" s="230" t="s">
        <v>157</v>
      </c>
      <c r="I79" s="230" t="s">
        <v>158</v>
      </c>
      <c r="N79" t="s">
        <v>208</v>
      </c>
    </row>
    <row r="80" spans="2:29">
      <c r="C80" s="220" t="s">
        <v>234</v>
      </c>
      <c r="F80" s="231">
        <f>C91</f>
        <v>1058.9010000000001</v>
      </c>
      <c r="G80" s="36">
        <f>F80/F82</f>
        <v>1</v>
      </c>
      <c r="H80" s="232">
        <f>C92</f>
        <v>1508.5523898865165</v>
      </c>
      <c r="I80" s="233">
        <f>C103</f>
        <v>47.790148433332732</v>
      </c>
      <c r="O80" s="61"/>
      <c r="P80" s="61"/>
      <c r="Q80" s="61"/>
      <c r="R80" s="61"/>
      <c r="S80" s="61"/>
      <c r="T80" s="61"/>
    </row>
    <row r="81" spans="2:20">
      <c r="C81" s="220"/>
      <c r="F81" s="234"/>
      <c r="G81" s="235"/>
      <c r="H81" s="236"/>
      <c r="I81" s="237"/>
      <c r="O81" s="238"/>
      <c r="P81" s="61"/>
      <c r="Q81" s="61"/>
      <c r="R81" s="61"/>
      <c r="S81" s="61"/>
      <c r="T81" s="61"/>
    </row>
    <row r="82" spans="2:20">
      <c r="C82" s="220" t="s">
        <v>159</v>
      </c>
      <c r="F82" s="231">
        <f>F80+F81</f>
        <v>1058.9010000000001</v>
      </c>
      <c r="G82" s="36">
        <f>G80+G81</f>
        <v>1</v>
      </c>
      <c r="H82" s="232">
        <f>ROUND(((F80*H80)+(F81*H81))/F82,0)</f>
        <v>1509</v>
      </c>
      <c r="I82" s="233">
        <f>ROUND(((F80*I80)+(F81*I81))/F82,2)</f>
        <v>47.79</v>
      </c>
      <c r="O82" s="238"/>
      <c r="P82" s="61"/>
      <c r="Q82" s="61"/>
      <c r="R82" s="61"/>
      <c r="S82" s="61"/>
      <c r="T82" s="61"/>
    </row>
    <row r="83" spans="2:20">
      <c r="C83" s="220"/>
      <c r="F83" s="231"/>
      <c r="G83" s="36"/>
      <c r="H83" s="239"/>
      <c r="I83" s="240"/>
      <c r="O83" s="61"/>
      <c r="P83" s="61"/>
      <c r="Q83" s="61"/>
      <c r="R83" s="61"/>
      <c r="S83" s="61"/>
      <c r="T83" s="61"/>
    </row>
    <row r="84" spans="2:20">
      <c r="C84" s="241" t="s">
        <v>155</v>
      </c>
      <c r="D84" s="229"/>
      <c r="E84" s="228"/>
      <c r="F84" s="230" t="s">
        <v>32</v>
      </c>
      <c r="G84" s="230" t="s">
        <v>33</v>
      </c>
      <c r="H84" s="230" t="s">
        <v>160</v>
      </c>
      <c r="I84" s="230" t="s">
        <v>156</v>
      </c>
      <c r="J84" s="230" t="s">
        <v>161</v>
      </c>
      <c r="K84" s="230" t="s">
        <v>162</v>
      </c>
    </row>
    <row r="85" spans="2:20">
      <c r="C85" s="242" t="str">
        <f>C80</f>
        <v>CCCT Dry "H", 2X1, DF, with SCR</v>
      </c>
      <c r="D85" s="243"/>
      <c r="E85" s="243"/>
      <c r="F85">
        <f>C91</f>
        <v>1058.9010000000001</v>
      </c>
      <c r="G85" s="36">
        <f>C108</f>
        <v>0.78</v>
      </c>
      <c r="H85" s="86">
        <f>G85*F85</f>
        <v>825.94278000000008</v>
      </c>
      <c r="I85" s="36">
        <f>H85/H87</f>
        <v>1</v>
      </c>
      <c r="J85" s="240">
        <f>C104</f>
        <v>2.7729594859595257</v>
      </c>
      <c r="K85" s="244">
        <f>C105</f>
        <v>6158.732</v>
      </c>
    </row>
    <row r="86" spans="2:20">
      <c r="C86" s="242">
        <f>C81</f>
        <v>0</v>
      </c>
      <c r="D86" s="243"/>
      <c r="E86" s="243"/>
      <c r="F86" s="245">
        <f>D91</f>
        <v>0</v>
      </c>
      <c r="G86" s="235">
        <f>D108</f>
        <v>0</v>
      </c>
      <c r="H86" s="246">
        <f>G86*F86</f>
        <v>0</v>
      </c>
      <c r="I86" s="235">
        <f>1-I85</f>
        <v>0</v>
      </c>
      <c r="J86" s="247">
        <f>D104</f>
        <v>0</v>
      </c>
      <c r="K86" s="248">
        <f>D105</f>
        <v>0</v>
      </c>
    </row>
    <row r="87" spans="2:20">
      <c r="C87" s="220" t="s">
        <v>163</v>
      </c>
      <c r="F87">
        <f>F85+F86</f>
        <v>1058.9010000000001</v>
      </c>
      <c r="G87" s="249">
        <f>ROUND(H87/F87,3)</f>
        <v>0.78</v>
      </c>
      <c r="H87" s="86">
        <f>SUM(H85:H86)</f>
        <v>825.94278000000008</v>
      </c>
      <c r="I87" s="36">
        <f>I85+I86</f>
        <v>1</v>
      </c>
      <c r="J87" s="240">
        <f>ROUND(($I85*J85)+($I86*J86),2)</f>
        <v>2.77</v>
      </c>
      <c r="K87" s="204">
        <f>ROUND(($I85*K85)+($I86*K86),0)</f>
        <v>6159</v>
      </c>
    </row>
    <row r="88" spans="2:20">
      <c r="G88" s="249"/>
      <c r="I88" s="36"/>
      <c r="J88" s="240"/>
      <c r="K88" s="250" t="s">
        <v>164</v>
      </c>
    </row>
    <row r="90" spans="2:20">
      <c r="C90" s="230" t="s">
        <v>236</v>
      </c>
      <c r="D90" s="230"/>
      <c r="E90" s="312" t="str">
        <f>D70</f>
        <v>Plant Costs  - 2025 IRP Update</v>
      </c>
      <c r="F90" s="251"/>
      <c r="G90" s="251"/>
      <c r="H90" s="251"/>
      <c r="I90" s="251"/>
      <c r="J90" s="251"/>
      <c r="K90" s="252"/>
    </row>
    <row r="91" spans="2:20">
      <c r="C91">
        <v>1058.9010000000001</v>
      </c>
      <c r="E91" t="s">
        <v>165</v>
      </c>
      <c r="H91" s="253"/>
    </row>
    <row r="92" spans="2:20">
      <c r="B92" t="s">
        <v>238</v>
      </c>
      <c r="C92" s="254">
        <v>1508.5523898865165</v>
      </c>
      <c r="E92" s="220" t="s">
        <v>239</v>
      </c>
      <c r="H92" s="253"/>
    </row>
    <row r="93" spans="2:20">
      <c r="B93" t="s">
        <v>238</v>
      </c>
      <c r="C93" s="254">
        <v>11.885996697616648</v>
      </c>
      <c r="E93" s="220" t="s">
        <v>249</v>
      </c>
      <c r="H93" s="253"/>
    </row>
    <row r="94" spans="2:20">
      <c r="B94" t="s">
        <v>238</v>
      </c>
      <c r="C94" s="260">
        <v>38.410855343500728</v>
      </c>
      <c r="D94" s="240"/>
      <c r="E94" t="s">
        <v>166</v>
      </c>
    </row>
    <row r="95" spans="2:20">
      <c r="C95" s="41">
        <v>6158.732</v>
      </c>
      <c r="D95" s="240"/>
      <c r="E95" s="137" t="s">
        <v>240</v>
      </c>
    </row>
    <row r="96" spans="2:20">
      <c r="C96" s="41">
        <v>156515.69936476802</v>
      </c>
      <c r="D96" s="240"/>
      <c r="E96" s="3" t="s">
        <v>241</v>
      </c>
    </row>
    <row r="97" spans="2:10">
      <c r="C97" s="309">
        <v>0.17385</v>
      </c>
      <c r="D97" s="240"/>
      <c r="E97" s="3" t="s">
        <v>242</v>
      </c>
    </row>
    <row r="98" spans="2:10">
      <c r="C98" s="309">
        <v>2.6700000000000001E-3</v>
      </c>
      <c r="D98" s="240"/>
      <c r="E98" s="3" t="s">
        <v>243</v>
      </c>
    </row>
    <row r="99" spans="2:10">
      <c r="C99" s="309">
        <v>1.5E-3</v>
      </c>
      <c r="D99" s="240"/>
      <c r="E99" s="3" t="s">
        <v>244</v>
      </c>
    </row>
    <row r="100" spans="2:10">
      <c r="C100" s="309">
        <f>C98+C99</f>
        <v>4.1700000000000001E-3</v>
      </c>
      <c r="D100" s="240"/>
      <c r="E100" s="3" t="s">
        <v>245</v>
      </c>
    </row>
    <row r="101" spans="2:10">
      <c r="C101" s="310">
        <f>C96*C97*365</f>
        <v>9931742.8321161959</v>
      </c>
      <c r="D101" s="240"/>
      <c r="E101" s="3" t="s">
        <v>246</v>
      </c>
    </row>
    <row r="102" spans="2:10">
      <c r="C102" s="260">
        <f>C101/C91/1000</f>
        <v>9.3792930898320002</v>
      </c>
      <c r="D102" s="240"/>
      <c r="E102" s="3" t="s">
        <v>247</v>
      </c>
    </row>
    <row r="103" spans="2:10">
      <c r="C103" s="260">
        <f>C94+C102</f>
        <v>47.790148433332732</v>
      </c>
      <c r="D103" s="240"/>
      <c r="E103" s="3" t="s">
        <v>248</v>
      </c>
    </row>
    <row r="104" spans="2:10">
      <c r="B104" t="s">
        <v>238</v>
      </c>
      <c r="C104" s="255">
        <v>2.7729594859595257</v>
      </c>
      <c r="D104" s="240"/>
      <c r="E104" t="s">
        <v>167</v>
      </c>
    </row>
    <row r="105" spans="2:10">
      <c r="C105" s="204">
        <v>6158.732</v>
      </c>
      <c r="D105" s="204"/>
      <c r="E105" t="s">
        <v>168</v>
      </c>
    </row>
    <row r="106" spans="2:10">
      <c r="C106" s="256">
        <v>0</v>
      </c>
      <c r="D106" s="204"/>
      <c r="E106" t="s">
        <v>169</v>
      </c>
    </row>
    <row r="107" spans="2:10">
      <c r="C107" s="257">
        <v>6.234E-2</v>
      </c>
      <c r="D107" s="257"/>
      <c r="E107" t="str">
        <f>"  Real Payment Factor@ "&amp;TEXT(C106,"00%")&amp;" ITC"</f>
        <v xml:space="preserve">  Real Payment Factor@ 00% ITC</v>
      </c>
    </row>
    <row r="108" spans="2:10">
      <c r="C108" s="205">
        <v>0.78</v>
      </c>
      <c r="D108" s="205"/>
      <c r="E108" t="s">
        <v>35</v>
      </c>
      <c r="I108" s="256"/>
      <c r="J108" s="258"/>
    </row>
    <row r="109" spans="2:10">
      <c r="D109" s="36">
        <f>ROUND(H87/F87,3)</f>
        <v>0.78</v>
      </c>
      <c r="E109" t="s">
        <v>170</v>
      </c>
      <c r="I109" s="256"/>
      <c r="J109" s="258"/>
    </row>
    <row r="110" spans="2:10">
      <c r="B110" t="s">
        <v>238</v>
      </c>
      <c r="C110" s="79"/>
      <c r="D110" s="61"/>
      <c r="E110" s="61" t="s">
        <v>83</v>
      </c>
      <c r="I110" s="256"/>
      <c r="J110" s="258"/>
    </row>
    <row r="111" spans="2:10">
      <c r="C111" s="45"/>
      <c r="D111" s="206">
        <v>5.716678296246049</v>
      </c>
      <c r="E111" s="61" t="s">
        <v>171</v>
      </c>
      <c r="F111" s="263"/>
      <c r="I111" s="256"/>
      <c r="J111" s="258"/>
    </row>
    <row r="112" spans="2:10">
      <c r="D112" s="45">
        <f>(D111/1000000)*1000*C105</f>
        <v>35.20748955679602</v>
      </c>
      <c r="E112" s="61" t="s">
        <v>172</v>
      </c>
    </row>
    <row r="113" spans="2:5">
      <c r="D113" s="36">
        <v>2.5000000000000001E-2</v>
      </c>
      <c r="E113" s="61" t="s">
        <v>303</v>
      </c>
    </row>
    <row r="114" spans="2:5">
      <c r="B114" t="s">
        <v>289</v>
      </c>
      <c r="D114" s="45">
        <f>'2025 IRPUpdt Assumptions'!$L$145</f>
        <v>19.115769303333334</v>
      </c>
      <c r="E114" s="61" t="s">
        <v>83</v>
      </c>
    </row>
    <row r="115" spans="2:5">
      <c r="B115" t="s">
        <v>290</v>
      </c>
      <c r="D115" s="45">
        <f>'2025 IRPUpdt Assumptions'!$L$153</f>
        <v>14.435874215000002</v>
      </c>
      <c r="E115" s="61" t="s">
        <v>83</v>
      </c>
    </row>
    <row r="116" spans="2:5">
      <c r="D116" s="259"/>
    </row>
  </sheetData>
  <printOptions horizontalCentered="1"/>
  <pageMargins left="0.8" right="0.3" top="0.4" bottom="0.4" header="0.5" footer="0.2"/>
  <pageSetup scale="36" orientation="landscape" r:id="rId1"/>
  <headerFooter alignWithMargins="0"/>
  <rowBreaks count="1" manualBreakCount="1">
    <brk id="71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2B69-C684-42AB-A689-1A0E32020197}">
  <sheetPr>
    <tabColor rgb="FFCCFFCC"/>
    <pageSetUpPr fitToPage="1"/>
  </sheetPr>
  <dimension ref="B1:AC116"/>
  <sheetViews>
    <sheetView view="pageBreakPreview" topLeftCell="A18" zoomScale="60" zoomScaleNormal="60" workbookViewId="0">
      <selection activeCell="C92" sqref="C92"/>
    </sheetView>
  </sheetViews>
  <sheetFormatPr defaultColWidth="9.33203125" defaultRowHeight="12.75"/>
  <cols>
    <col min="1" max="1" width="2.83203125" customWidth="1"/>
    <col min="2" max="2" width="10.83203125" customWidth="1"/>
    <col min="3" max="3" width="26.33203125" customWidth="1"/>
    <col min="4" max="4" width="15.5" customWidth="1"/>
    <col min="5" max="5" width="10" customWidth="1"/>
    <col min="6" max="6" width="10.5" customWidth="1"/>
    <col min="7" max="7" width="10.5" bestFit="1" customWidth="1"/>
    <col min="8" max="8" width="11.83203125" customWidth="1"/>
    <col min="9" max="9" width="11.1640625" customWidth="1"/>
    <col min="10" max="10" width="14.33203125" customWidth="1"/>
    <col min="11" max="11" width="14.1640625" customWidth="1"/>
    <col min="12" max="12" width="14.33203125" customWidth="1"/>
    <col min="13" max="13" width="9.33203125" customWidth="1"/>
    <col min="14" max="19" width="11.33203125" customWidth="1"/>
    <col min="20" max="20" width="10.33203125" customWidth="1"/>
    <col min="21" max="21" width="12" customWidth="1"/>
    <col min="22" max="22" width="11.5" customWidth="1"/>
    <col min="25" max="25" width="13.6640625" customWidth="1"/>
    <col min="27" max="28" width="9.33203125" style="61"/>
  </cols>
  <sheetData>
    <row r="1" spans="2:29" s="61" customFormat="1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1" t="s">
        <v>291</v>
      </c>
      <c r="C2" s="210"/>
      <c r="D2" s="210"/>
      <c r="E2" s="210"/>
      <c r="F2" s="210"/>
      <c r="G2" s="210"/>
      <c r="H2" s="210"/>
      <c r="I2" s="210"/>
      <c r="J2" s="210"/>
      <c r="K2" s="210"/>
      <c r="N2" t="s">
        <v>148</v>
      </c>
    </row>
    <row r="3" spans="2:29">
      <c r="B3" s="210"/>
      <c r="C3" s="210"/>
      <c r="D3" s="210"/>
      <c r="E3" s="210"/>
      <c r="F3" s="210"/>
      <c r="G3" s="210"/>
      <c r="H3" s="210"/>
      <c r="I3" s="210"/>
      <c r="J3" s="210"/>
      <c r="U3" s="61"/>
      <c r="V3" s="61"/>
      <c r="W3" s="61"/>
      <c r="X3" s="61"/>
      <c r="Y3" s="61"/>
      <c r="Z3" s="61"/>
      <c r="AC3" s="61"/>
    </row>
    <row r="4" spans="2:29" ht="51.75" customHeight="1">
      <c r="B4" s="13" t="s">
        <v>0</v>
      </c>
      <c r="C4" s="14" t="s">
        <v>10</v>
      </c>
      <c r="D4" s="14" t="s">
        <v>150</v>
      </c>
      <c r="E4" s="14" t="s">
        <v>73</v>
      </c>
      <c r="F4" s="14" t="s">
        <v>151</v>
      </c>
      <c r="G4" s="14" t="s">
        <v>152</v>
      </c>
      <c r="H4" s="211" t="s">
        <v>21</v>
      </c>
      <c r="I4" s="14" t="s">
        <v>13</v>
      </c>
      <c r="J4" s="211" t="s">
        <v>153</v>
      </c>
      <c r="K4" s="14" t="s">
        <v>48</v>
      </c>
      <c r="T4" s="61"/>
      <c r="U4" s="61"/>
      <c r="V4" s="61"/>
      <c r="W4" s="61"/>
      <c r="X4" s="61"/>
      <c r="Y4" s="61"/>
      <c r="Z4" s="61"/>
    </row>
    <row r="5" spans="2:29" ht="48" customHeight="1">
      <c r="B5" s="212"/>
      <c r="C5" s="15" t="s">
        <v>8</v>
      </c>
      <c r="D5" s="16" t="s">
        <v>9</v>
      </c>
      <c r="E5" s="16" t="s">
        <v>9</v>
      </c>
      <c r="F5" s="16" t="s">
        <v>9</v>
      </c>
      <c r="G5" s="16" t="s">
        <v>9</v>
      </c>
      <c r="H5" s="16" t="s">
        <v>154</v>
      </c>
      <c r="I5" s="15" t="s">
        <v>31</v>
      </c>
      <c r="J5" s="15" t="s">
        <v>31</v>
      </c>
      <c r="K5" s="15" t="s">
        <v>31</v>
      </c>
      <c r="T5" s="61"/>
      <c r="U5" s="61"/>
      <c r="V5" s="61"/>
      <c r="W5" s="61"/>
      <c r="X5" s="61"/>
      <c r="Y5" s="100"/>
      <c r="Z5" s="100"/>
    </row>
    <row r="6" spans="2:29">
      <c r="C6" s="213" t="s">
        <v>1</v>
      </c>
      <c r="D6" s="213" t="s">
        <v>2</v>
      </c>
      <c r="E6" s="213" t="s">
        <v>3</v>
      </c>
      <c r="F6" s="213" t="s">
        <v>4</v>
      </c>
      <c r="G6" s="213" t="s">
        <v>5</v>
      </c>
      <c r="H6" s="213" t="s">
        <v>7</v>
      </c>
      <c r="I6" s="213" t="s">
        <v>22</v>
      </c>
      <c r="J6" s="67" t="s">
        <v>23</v>
      </c>
      <c r="K6" s="67" t="s">
        <v>24</v>
      </c>
      <c r="T6" s="61"/>
      <c r="U6" s="61"/>
      <c r="V6" s="61"/>
      <c r="W6" s="61"/>
      <c r="X6" s="61"/>
      <c r="Y6" s="61"/>
      <c r="Z6" s="61"/>
    </row>
    <row r="7" spans="2:29" ht="6" customHeight="1">
      <c r="T7" s="61"/>
      <c r="U7" s="61"/>
      <c r="V7" s="61"/>
      <c r="W7" s="61"/>
      <c r="X7" s="61"/>
      <c r="Y7" s="61"/>
      <c r="Z7" s="61"/>
    </row>
    <row r="8" spans="2:29" ht="15.75">
      <c r="B8" s="38" t="str">
        <f>C76</f>
        <v xml:space="preserve">Wyoming East-Brownfield - SCCT Frame "F" x1, with SCR (GSC.PX.BDG._.___.Frame) </v>
      </c>
      <c r="H8" s="210"/>
      <c r="J8" s="210"/>
      <c r="K8" s="210"/>
      <c r="T8" s="61"/>
      <c r="U8" s="61"/>
      <c r="V8" s="61"/>
      <c r="W8" s="61"/>
      <c r="X8" s="61"/>
      <c r="Y8" s="61"/>
      <c r="Z8" s="61"/>
    </row>
    <row r="9" spans="2:29" ht="18.95" customHeight="1">
      <c r="B9" s="145"/>
      <c r="C9" s="214"/>
      <c r="D9" s="215"/>
      <c r="E9" s="216"/>
      <c r="F9" s="216"/>
      <c r="G9" s="216"/>
      <c r="H9" s="216"/>
      <c r="I9" s="216"/>
      <c r="J9" s="216"/>
      <c r="K9" s="216"/>
      <c r="T9" s="61"/>
      <c r="U9" s="79"/>
      <c r="V9" s="79"/>
      <c r="W9" s="79"/>
      <c r="X9" s="61"/>
      <c r="Y9" s="79"/>
      <c r="Z9" s="79"/>
    </row>
    <row r="10" spans="2:29">
      <c r="B10" s="145">
        <v>2025</v>
      </c>
      <c r="C10" s="261">
        <f>C92+C93</f>
        <v>1207.6437606164136</v>
      </c>
      <c r="D10" s="215"/>
      <c r="E10" s="69"/>
      <c r="F10" s="188">
        <f>C103</f>
        <v>56.283942318658383</v>
      </c>
      <c r="G10" s="216"/>
      <c r="H10" s="265">
        <f>$D$111</f>
        <v>5.6147516544049472</v>
      </c>
      <c r="I10" s="262">
        <f>$C$104</f>
        <v>8.4901494849525481</v>
      </c>
      <c r="J10" s="216"/>
      <c r="K10" s="216"/>
      <c r="N10" s="218"/>
      <c r="O10" s="218"/>
      <c r="T10" s="61"/>
      <c r="U10" s="79"/>
      <c r="V10" s="79"/>
      <c r="W10" s="143"/>
      <c r="X10" s="79"/>
      <c r="Y10" s="79"/>
      <c r="Z10" s="79"/>
    </row>
    <row r="11" spans="2:29">
      <c r="B11" s="145">
        <f t="shared" ref="B11:B63" si="0">B10+1</f>
        <v>2026</v>
      </c>
      <c r="C11" s="217">
        <f t="shared" ref="C11:C23" si="1">C10*(1+Inflation)</f>
        <v>1234.453452102098</v>
      </c>
      <c r="D11" s="215"/>
      <c r="E11" s="69"/>
      <c r="F11" s="69">
        <f t="shared" ref="F11:F63" si="2">F10*(1+Inflation)</f>
        <v>57.5334458381326</v>
      </c>
      <c r="G11" s="216"/>
      <c r="H11" s="69">
        <f t="shared" ref="H11:I26" si="3">H10*(1+Inflation)</f>
        <v>5.7393991411327372</v>
      </c>
      <c r="I11" s="69">
        <f t="shared" si="3"/>
        <v>8.6786308035184945</v>
      </c>
      <c r="J11" s="216"/>
      <c r="K11" s="216"/>
      <c r="N11" s="218"/>
      <c r="O11" s="218"/>
      <c r="T11" s="61"/>
      <c r="U11" s="79"/>
      <c r="V11" s="79"/>
      <c r="W11" s="143"/>
      <c r="X11" s="79"/>
      <c r="Y11" s="79"/>
      <c r="Z11" s="79"/>
    </row>
    <row r="12" spans="2:29">
      <c r="B12" s="145">
        <f t="shared" si="0"/>
        <v>2027</v>
      </c>
      <c r="C12" s="217">
        <f t="shared" si="1"/>
        <v>1261.8583187387646</v>
      </c>
      <c r="D12" s="215"/>
      <c r="E12" s="69"/>
      <c r="F12" s="69">
        <f t="shared" si="2"/>
        <v>58.810688335739144</v>
      </c>
      <c r="G12" s="216"/>
      <c r="H12" s="69">
        <f t="shared" si="3"/>
        <v>5.8668138020658835</v>
      </c>
      <c r="I12" s="69">
        <f t="shared" si="3"/>
        <v>8.8712964073566045</v>
      </c>
      <c r="J12" s="216"/>
      <c r="K12" s="216"/>
      <c r="N12" s="218"/>
      <c r="O12" s="218"/>
      <c r="T12" s="61"/>
      <c r="U12" s="79"/>
      <c r="V12" s="79"/>
      <c r="W12" s="79"/>
      <c r="X12" s="79"/>
      <c r="Y12" s="79"/>
      <c r="Z12" s="79"/>
    </row>
    <row r="13" spans="2:29">
      <c r="B13" s="145">
        <f t="shared" si="0"/>
        <v>2028</v>
      </c>
      <c r="C13" s="217">
        <f t="shared" si="1"/>
        <v>1289.8715734147652</v>
      </c>
      <c r="D13" s="215"/>
      <c r="E13" s="188">
        <f>$D$114</f>
        <v>0</v>
      </c>
      <c r="F13" s="69">
        <f t="shared" si="2"/>
        <v>60.116285616792553</v>
      </c>
      <c r="G13" s="216"/>
      <c r="H13" s="69">
        <f t="shared" si="3"/>
        <v>5.9970570684717464</v>
      </c>
      <c r="I13" s="69">
        <f t="shared" si="3"/>
        <v>9.0682391875999215</v>
      </c>
      <c r="J13" s="216"/>
      <c r="K13" s="216"/>
      <c r="N13" s="218"/>
      <c r="O13" s="218"/>
      <c r="T13" s="219"/>
      <c r="U13" s="79"/>
      <c r="V13" s="79"/>
      <c r="W13" s="79"/>
      <c r="X13" s="79"/>
      <c r="Y13" s="79"/>
      <c r="Z13" s="79"/>
    </row>
    <row r="14" spans="2:29">
      <c r="B14" s="145">
        <f t="shared" si="0"/>
        <v>2029</v>
      </c>
      <c r="C14" s="217">
        <f t="shared" si="1"/>
        <v>1318.5067223445731</v>
      </c>
      <c r="D14" s="215"/>
      <c r="E14" s="69">
        <f t="shared" ref="E14:E20" si="4">E13*(1+Inflation)</f>
        <v>0</v>
      </c>
      <c r="F14" s="69">
        <f t="shared" si="2"/>
        <v>61.450867157485348</v>
      </c>
      <c r="G14" s="216"/>
      <c r="H14" s="69">
        <f t="shared" si="3"/>
        <v>6.1301917353918194</v>
      </c>
      <c r="I14" s="69">
        <f t="shared" si="3"/>
        <v>9.2695540975646402</v>
      </c>
      <c r="J14" s="216"/>
      <c r="K14" s="216"/>
      <c r="N14" s="218"/>
      <c r="O14" s="218"/>
      <c r="T14" s="61"/>
      <c r="U14" s="79"/>
      <c r="V14" s="79"/>
      <c r="W14" s="79"/>
      <c r="X14" s="79"/>
      <c r="Y14" s="79"/>
      <c r="Z14" s="79"/>
    </row>
    <row r="15" spans="2:29">
      <c r="B15" s="145">
        <f t="shared" si="0"/>
        <v>2030</v>
      </c>
      <c r="C15" s="217">
        <f t="shared" si="1"/>
        <v>1347.7775715806226</v>
      </c>
      <c r="D15" s="69"/>
      <c r="E15" s="69">
        <f t="shared" si="4"/>
        <v>0</v>
      </c>
      <c r="F15" s="69">
        <f t="shared" si="2"/>
        <v>62.815076408381522</v>
      </c>
      <c r="G15" s="216"/>
      <c r="H15" s="69">
        <f t="shared" si="3"/>
        <v>6.2662819919175181</v>
      </c>
      <c r="I15" s="69">
        <f t="shared" si="3"/>
        <v>9.4753381985305758</v>
      </c>
      <c r="J15" s="216"/>
      <c r="K15" s="216"/>
      <c r="N15" s="218"/>
      <c r="O15" s="218"/>
      <c r="T15" s="61"/>
      <c r="U15" s="79"/>
      <c r="V15" s="79"/>
      <c r="W15" s="79"/>
      <c r="X15" s="79"/>
      <c r="Y15" s="79"/>
      <c r="Z15" s="79"/>
    </row>
    <row r="16" spans="2:29" s="220" customFormat="1">
      <c r="B16" s="145">
        <f t="shared" si="0"/>
        <v>2031</v>
      </c>
      <c r="C16" s="217">
        <f t="shared" si="1"/>
        <v>1377.6982336697124</v>
      </c>
      <c r="D16" s="69"/>
      <c r="E16" s="69">
        <f t="shared" si="4"/>
        <v>0</v>
      </c>
      <c r="F16" s="69">
        <f t="shared" si="2"/>
        <v>64.209571104647594</v>
      </c>
      <c r="G16" s="216"/>
      <c r="H16" s="69">
        <f t="shared" si="3"/>
        <v>6.4053934521380871</v>
      </c>
      <c r="I16" s="69">
        <f t="shared" si="3"/>
        <v>9.6856907065379545</v>
      </c>
      <c r="J16" s="216"/>
      <c r="K16" s="216"/>
      <c r="L16"/>
      <c r="M16"/>
      <c r="N16" s="218"/>
      <c r="O16" s="218"/>
      <c r="T16" s="61"/>
      <c r="U16" s="79"/>
      <c r="V16" s="79"/>
      <c r="W16" s="79"/>
      <c r="X16" s="79"/>
      <c r="Y16" s="79"/>
      <c r="Z16" s="79"/>
      <c r="AA16" s="61"/>
      <c r="AB16" s="61"/>
    </row>
    <row r="17" spans="2:28" s="220" customFormat="1">
      <c r="B17" s="145">
        <f t="shared" si="0"/>
        <v>2032</v>
      </c>
      <c r="C17" s="217">
        <f t="shared" si="1"/>
        <v>1408.28313445718</v>
      </c>
      <c r="D17" s="69"/>
      <c r="E17" s="69">
        <f t="shared" si="4"/>
        <v>0</v>
      </c>
      <c r="F17" s="69">
        <f t="shared" si="2"/>
        <v>65.635023583170764</v>
      </c>
      <c r="G17" s="216"/>
      <c r="H17" s="69">
        <f t="shared" si="3"/>
        <v>6.5475931867755524</v>
      </c>
      <c r="I17" s="69">
        <f t="shared" si="3"/>
        <v>9.9007130402230974</v>
      </c>
      <c r="J17" s="216"/>
      <c r="K17" s="216"/>
      <c r="L17"/>
      <c r="M17"/>
      <c r="N17" s="218"/>
      <c r="O17" s="218"/>
      <c r="T17" s="61"/>
      <c r="U17" s="79"/>
      <c r="V17" s="79"/>
      <c r="W17" s="79"/>
      <c r="X17" s="79"/>
      <c r="Y17" s="79"/>
      <c r="Z17" s="79"/>
      <c r="AA17" s="61"/>
      <c r="AB17" s="61"/>
    </row>
    <row r="18" spans="2:28" s="220" customFormat="1">
      <c r="B18" s="145">
        <f t="shared" si="0"/>
        <v>2033</v>
      </c>
      <c r="C18" s="217">
        <f t="shared" si="1"/>
        <v>1439.5470200421294</v>
      </c>
      <c r="D18" s="69"/>
      <c r="E18" s="69">
        <f t="shared" si="4"/>
        <v>0</v>
      </c>
      <c r="F18" s="69">
        <f t="shared" si="2"/>
        <v>67.092121106717158</v>
      </c>
      <c r="G18" s="216"/>
      <c r="H18" s="69">
        <f t="shared" si="3"/>
        <v>6.6929497555219699</v>
      </c>
      <c r="I18" s="69">
        <f t="shared" si="3"/>
        <v>10.120508869716049</v>
      </c>
      <c r="J18" s="216"/>
      <c r="K18" s="216"/>
      <c r="L18"/>
      <c r="M18"/>
      <c r="N18" s="218"/>
      <c r="O18" s="218"/>
      <c r="T18" s="61"/>
      <c r="U18" s="79"/>
      <c r="V18" s="79"/>
      <c r="W18" s="79"/>
      <c r="X18" s="79"/>
      <c r="Y18" s="79"/>
      <c r="Z18" s="79"/>
      <c r="AA18" s="61"/>
      <c r="AB18" s="61"/>
    </row>
    <row r="19" spans="2:28" s="220" customFormat="1">
      <c r="B19" s="145">
        <f t="shared" si="0"/>
        <v>2034</v>
      </c>
      <c r="C19" s="217">
        <f t="shared" si="1"/>
        <v>1471.5049638870646</v>
      </c>
      <c r="D19" s="69"/>
      <c r="E19" s="69">
        <f t="shared" si="4"/>
        <v>0</v>
      </c>
      <c r="F19" s="69">
        <f t="shared" si="2"/>
        <v>68.581566195286285</v>
      </c>
      <c r="G19" s="216"/>
      <c r="H19" s="69">
        <f t="shared" si="3"/>
        <v>6.8415332400945577</v>
      </c>
      <c r="I19" s="69">
        <f t="shared" si="3"/>
        <v>10.345184166623746</v>
      </c>
      <c r="J19" s="216"/>
      <c r="K19" s="216"/>
      <c r="L19"/>
      <c r="M19"/>
      <c r="N19" s="218"/>
      <c r="O19" s="218"/>
      <c r="Q19" s="221"/>
      <c r="T19" s="61"/>
      <c r="U19" s="79"/>
      <c r="V19" s="79"/>
      <c r="W19" s="79"/>
      <c r="X19" s="79"/>
      <c r="Y19" s="79"/>
      <c r="Z19" s="79"/>
      <c r="AA19" s="61"/>
      <c r="AB19" s="61"/>
    </row>
    <row r="20" spans="2:28" s="220" customFormat="1">
      <c r="B20" s="145">
        <f t="shared" si="0"/>
        <v>2035</v>
      </c>
      <c r="C20" s="217">
        <f t="shared" si="1"/>
        <v>1504.1723740853574</v>
      </c>
      <c r="D20" s="69"/>
      <c r="E20" s="69">
        <f t="shared" si="4"/>
        <v>0</v>
      </c>
      <c r="F20" s="69">
        <f t="shared" si="2"/>
        <v>70.104076964821644</v>
      </c>
      <c r="G20" s="216"/>
      <c r="H20" s="69">
        <f t="shared" si="3"/>
        <v>6.9934152780246572</v>
      </c>
      <c r="I20" s="69">
        <f t="shared" si="3"/>
        <v>10.574847255122792</v>
      </c>
      <c r="J20" s="216"/>
      <c r="K20" s="216"/>
      <c r="L20"/>
      <c r="M20"/>
      <c r="N20"/>
      <c r="T20" s="61"/>
      <c r="U20" s="79"/>
      <c r="V20" s="79"/>
      <c r="W20" s="79"/>
      <c r="X20" s="79"/>
      <c r="Y20" s="79"/>
      <c r="Z20" s="79"/>
      <c r="AA20" s="61"/>
      <c r="AB20" s="61"/>
    </row>
    <row r="21" spans="2:28">
      <c r="B21" s="145">
        <f t="shared" si="0"/>
        <v>2036</v>
      </c>
      <c r="C21" s="217">
        <f t="shared" si="1"/>
        <v>1537.5650007900524</v>
      </c>
      <c r="D21" s="69"/>
      <c r="E21" s="188">
        <f>E20*(1+Inflation)+$D$115</f>
        <v>0</v>
      </c>
      <c r="F21" s="69">
        <f t="shared" si="2"/>
        <v>71.660387473440679</v>
      </c>
      <c r="G21" s="216"/>
      <c r="H21" s="69">
        <f t="shared" si="3"/>
        <v>7.1486690971968043</v>
      </c>
      <c r="I21" s="69">
        <f t="shared" si="3"/>
        <v>10.809608864186519</v>
      </c>
      <c r="J21" s="216"/>
      <c r="K21" s="216"/>
      <c r="T21" s="61"/>
      <c r="U21" s="79"/>
      <c r="V21" s="79"/>
      <c r="W21" s="79"/>
      <c r="X21" s="79"/>
      <c r="Y21" s="79"/>
      <c r="Z21" s="79"/>
    </row>
    <row r="22" spans="2:28">
      <c r="B22" s="145">
        <f t="shared" si="0"/>
        <v>2037</v>
      </c>
      <c r="C22" s="217">
        <f t="shared" si="1"/>
        <v>1571.6989438075916</v>
      </c>
      <c r="D22" s="69"/>
      <c r="E22" s="69">
        <f t="shared" ref="D22:E37" si="5">E21*(1+Inflation)</f>
        <v>0</v>
      </c>
      <c r="F22" s="69">
        <f t="shared" si="2"/>
        <v>73.251248075351057</v>
      </c>
      <c r="G22" s="216"/>
      <c r="H22" s="69">
        <f t="shared" si="3"/>
        <v>7.3073695511545731</v>
      </c>
      <c r="I22" s="69">
        <f t="shared" si="3"/>
        <v>11.049582180971459</v>
      </c>
      <c r="J22" s="216"/>
      <c r="K22" s="216"/>
    </row>
    <row r="23" spans="2:28">
      <c r="B23" s="145">
        <f t="shared" si="0"/>
        <v>2038</v>
      </c>
      <c r="C23" s="217">
        <f t="shared" si="1"/>
        <v>1606.5906603601202</v>
      </c>
      <c r="D23" s="188">
        <f>ROUND(C23*$C$107,2)</f>
        <v>98</v>
      </c>
      <c r="E23" s="69">
        <f t="shared" si="5"/>
        <v>0</v>
      </c>
      <c r="F23" s="69">
        <f t="shared" si="2"/>
        <v>74.877425782623845</v>
      </c>
      <c r="G23" s="216">
        <f t="shared" ref="G23:G52" si="6">ROUND(D23+E23+F23,2)</f>
        <v>172.88</v>
      </c>
      <c r="H23" s="69">
        <f t="shared" si="3"/>
        <v>7.4695931551902044</v>
      </c>
      <c r="I23" s="69">
        <f t="shared" si="3"/>
        <v>11.294882905389025</v>
      </c>
      <c r="J23" s="216">
        <f t="shared" ref="J23:J63" si="7">ROUND($K$87*H23/1000+I23,2)</f>
        <v>83</v>
      </c>
      <c r="K23" s="216">
        <f t="shared" ref="K23:K63" si="8">ROUND(G23*1000/8760/$G$87+J23,2)</f>
        <v>142.80000000000001</v>
      </c>
    </row>
    <row r="24" spans="2:28">
      <c r="B24" s="145">
        <f t="shared" si="0"/>
        <v>2039</v>
      </c>
      <c r="C24" s="217"/>
      <c r="D24" s="69">
        <f t="shared" si="5"/>
        <v>100.1756</v>
      </c>
      <c r="E24" s="69">
        <f t="shared" si="5"/>
        <v>0</v>
      </c>
      <c r="F24" s="69">
        <f t="shared" si="2"/>
        <v>76.539704634998088</v>
      </c>
      <c r="G24" s="216">
        <f t="shared" si="6"/>
        <v>176.72</v>
      </c>
      <c r="H24" s="69">
        <f t="shared" si="3"/>
        <v>7.6354181232354268</v>
      </c>
      <c r="I24" s="69">
        <f t="shared" si="3"/>
        <v>11.545629305888662</v>
      </c>
      <c r="J24" s="216">
        <f t="shared" si="7"/>
        <v>84.85</v>
      </c>
      <c r="K24" s="216">
        <f t="shared" si="8"/>
        <v>145.97999999999999</v>
      </c>
    </row>
    <row r="25" spans="2:28">
      <c r="B25" s="145">
        <f t="shared" si="0"/>
        <v>2040</v>
      </c>
      <c r="C25" s="217"/>
      <c r="D25" s="69">
        <f t="shared" si="5"/>
        <v>102.39949832000001</v>
      </c>
      <c r="E25" s="69">
        <f t="shared" si="5"/>
        <v>0</v>
      </c>
      <c r="F25" s="69">
        <f t="shared" si="2"/>
        <v>78.238886077895046</v>
      </c>
      <c r="G25" s="216">
        <f t="shared" si="6"/>
        <v>180.64</v>
      </c>
      <c r="H25" s="69">
        <f t="shared" si="3"/>
        <v>7.8049244055712537</v>
      </c>
      <c r="I25" s="69">
        <f t="shared" si="3"/>
        <v>11.801942276479391</v>
      </c>
      <c r="J25" s="216">
        <f t="shared" si="7"/>
        <v>86.73</v>
      </c>
      <c r="K25" s="216">
        <f t="shared" si="8"/>
        <v>149.22</v>
      </c>
    </row>
    <row r="26" spans="2:28">
      <c r="B26" s="145">
        <f t="shared" si="0"/>
        <v>2041</v>
      </c>
      <c r="C26" s="217"/>
      <c r="D26" s="69">
        <f t="shared" si="5"/>
        <v>104.67276718270401</v>
      </c>
      <c r="E26" s="69">
        <f t="shared" si="5"/>
        <v>0</v>
      </c>
      <c r="F26" s="69">
        <f t="shared" si="2"/>
        <v>79.975789348824321</v>
      </c>
      <c r="G26" s="216">
        <f t="shared" si="6"/>
        <v>184.65</v>
      </c>
      <c r="H26" s="69">
        <f t="shared" si="3"/>
        <v>7.9781937273749355</v>
      </c>
      <c r="I26" s="69">
        <f t="shared" si="3"/>
        <v>12.063945395017234</v>
      </c>
      <c r="J26" s="216">
        <f t="shared" si="7"/>
        <v>88.65</v>
      </c>
      <c r="K26" s="216">
        <f t="shared" si="8"/>
        <v>152.53</v>
      </c>
    </row>
    <row r="27" spans="2:28">
      <c r="B27" s="145">
        <f t="shared" si="0"/>
        <v>2042</v>
      </c>
      <c r="C27" s="217"/>
      <c r="D27" s="69">
        <f t="shared" si="5"/>
        <v>106.99650261416004</v>
      </c>
      <c r="E27" s="69">
        <f t="shared" si="5"/>
        <v>0</v>
      </c>
      <c r="F27" s="69">
        <f t="shared" si="2"/>
        <v>81.751251872368215</v>
      </c>
      <c r="G27" s="216">
        <f t="shared" si="6"/>
        <v>188.75</v>
      </c>
      <c r="H27" s="69">
        <f t="shared" ref="H27:I42" si="9">H26*(1+Inflation)</f>
        <v>8.1553096281226587</v>
      </c>
      <c r="I27" s="69">
        <f t="shared" si="9"/>
        <v>12.331764982786616</v>
      </c>
      <c r="J27" s="216">
        <f t="shared" si="7"/>
        <v>90.62</v>
      </c>
      <c r="K27" s="216">
        <f t="shared" si="8"/>
        <v>155.91</v>
      </c>
    </row>
    <row r="28" spans="2:28">
      <c r="B28" s="145">
        <f t="shared" si="0"/>
        <v>2043</v>
      </c>
      <c r="C28" s="217"/>
      <c r="D28" s="69">
        <f t="shared" si="5"/>
        <v>109.37182497219439</v>
      </c>
      <c r="E28" s="69">
        <f t="shared" si="5"/>
        <v>0</v>
      </c>
      <c r="F28" s="69">
        <f t="shared" si="2"/>
        <v>83.566129663934788</v>
      </c>
      <c r="G28" s="216">
        <f t="shared" si="6"/>
        <v>192.94</v>
      </c>
      <c r="H28" s="69">
        <f t="shared" si="9"/>
        <v>8.3363575018669813</v>
      </c>
      <c r="I28" s="69">
        <f t="shared" si="9"/>
        <v>12.605530165404479</v>
      </c>
      <c r="J28" s="216">
        <f t="shared" si="7"/>
        <v>92.63</v>
      </c>
      <c r="K28" s="216">
        <f t="shared" si="8"/>
        <v>159.37</v>
      </c>
    </row>
    <row r="29" spans="2:28">
      <c r="B29" s="145">
        <f t="shared" si="0"/>
        <v>2044</v>
      </c>
      <c r="C29" s="217"/>
      <c r="D29" s="69">
        <f t="shared" si="5"/>
        <v>111.7998794865771</v>
      </c>
      <c r="E29" s="69">
        <f t="shared" si="5"/>
        <v>0</v>
      </c>
      <c r="F29" s="69">
        <f t="shared" si="2"/>
        <v>85.421297742474138</v>
      </c>
      <c r="G29" s="216">
        <f t="shared" si="6"/>
        <v>197.22</v>
      </c>
      <c r="H29" s="69">
        <f t="shared" si="9"/>
        <v>8.521424638408428</v>
      </c>
      <c r="I29" s="69">
        <f t="shared" si="9"/>
        <v>12.885372935076459</v>
      </c>
      <c r="J29" s="216">
        <f t="shared" si="7"/>
        <v>94.69</v>
      </c>
      <c r="K29" s="216">
        <f t="shared" si="8"/>
        <v>162.91</v>
      </c>
    </row>
    <row r="30" spans="2:28">
      <c r="B30" s="145">
        <f t="shared" si="0"/>
        <v>2045</v>
      </c>
      <c r="C30" s="217"/>
      <c r="D30" s="69">
        <f t="shared" si="5"/>
        <v>114.2818368111791</v>
      </c>
      <c r="E30" s="69">
        <f t="shared" si="5"/>
        <v>0</v>
      </c>
      <c r="F30" s="69">
        <f t="shared" si="2"/>
        <v>87.317650552357065</v>
      </c>
      <c r="G30" s="216">
        <f t="shared" si="6"/>
        <v>201.6</v>
      </c>
      <c r="H30" s="69">
        <f t="shared" si="9"/>
        <v>8.7106002653810943</v>
      </c>
      <c r="I30" s="69">
        <f t="shared" si="9"/>
        <v>13.171428214235156</v>
      </c>
      <c r="J30" s="216">
        <f t="shared" si="7"/>
        <v>96.79</v>
      </c>
      <c r="K30" s="216">
        <f t="shared" si="8"/>
        <v>166.53</v>
      </c>
    </row>
    <row r="31" spans="2:28">
      <c r="B31" s="145">
        <f t="shared" si="0"/>
        <v>2046</v>
      </c>
      <c r="C31" s="217"/>
      <c r="D31" s="69">
        <f t="shared" si="5"/>
        <v>116.81889358838728</v>
      </c>
      <c r="E31" s="69">
        <f t="shared" si="5"/>
        <v>0</v>
      </c>
      <c r="F31" s="69">
        <f t="shared" si="2"/>
        <v>89.25610239461939</v>
      </c>
      <c r="G31" s="216">
        <f t="shared" si="6"/>
        <v>206.07</v>
      </c>
      <c r="H31" s="69">
        <f t="shared" si="9"/>
        <v>8.9039755912725553</v>
      </c>
      <c r="I31" s="69">
        <f t="shared" si="9"/>
        <v>13.463833920591178</v>
      </c>
      <c r="J31" s="216">
        <f t="shared" si="7"/>
        <v>98.94</v>
      </c>
      <c r="K31" s="216">
        <f t="shared" si="8"/>
        <v>170.22</v>
      </c>
    </row>
    <row r="32" spans="2:28">
      <c r="B32" s="145">
        <f t="shared" si="0"/>
        <v>2047</v>
      </c>
      <c r="C32" s="217"/>
      <c r="D32" s="69">
        <f t="shared" si="5"/>
        <v>119.41227302604948</v>
      </c>
      <c r="E32" s="69">
        <f t="shared" si="5"/>
        <v>0</v>
      </c>
      <c r="F32" s="69">
        <f t="shared" si="2"/>
        <v>91.237587867779936</v>
      </c>
      <c r="G32" s="216">
        <f t="shared" si="6"/>
        <v>210.65</v>
      </c>
      <c r="H32" s="69">
        <f t="shared" si="9"/>
        <v>9.1016438493988066</v>
      </c>
      <c r="I32" s="69">
        <f t="shared" si="9"/>
        <v>13.762731033628302</v>
      </c>
      <c r="J32" s="216">
        <f t="shared" si="7"/>
        <v>101.14</v>
      </c>
      <c r="K32" s="216">
        <f t="shared" si="8"/>
        <v>174.01</v>
      </c>
    </row>
    <row r="33" spans="2:11">
      <c r="B33" s="145">
        <f t="shared" si="0"/>
        <v>2048</v>
      </c>
      <c r="C33" s="217"/>
      <c r="D33" s="69">
        <f t="shared" si="5"/>
        <v>122.06322548722777</v>
      </c>
      <c r="E33" s="69">
        <f t="shared" si="5"/>
        <v>0</v>
      </c>
      <c r="F33" s="69">
        <f t="shared" si="2"/>
        <v>93.263062318444653</v>
      </c>
      <c r="G33" s="216">
        <f t="shared" si="6"/>
        <v>215.33</v>
      </c>
      <c r="H33" s="69">
        <f t="shared" si="9"/>
        <v>9.3037003428554605</v>
      </c>
      <c r="I33" s="69">
        <f t="shared" si="9"/>
        <v>14.06826366257485</v>
      </c>
      <c r="J33" s="216">
        <f t="shared" si="7"/>
        <v>103.38</v>
      </c>
      <c r="K33" s="216">
        <f t="shared" si="8"/>
        <v>177.87</v>
      </c>
    </row>
    <row r="34" spans="2:11">
      <c r="B34" s="145">
        <f t="shared" si="0"/>
        <v>2049</v>
      </c>
      <c r="C34" s="217"/>
      <c r="D34" s="69">
        <f t="shared" si="5"/>
        <v>124.77302909304423</v>
      </c>
      <c r="E34" s="69">
        <f t="shared" si="5"/>
        <v>0</v>
      </c>
      <c r="F34" s="69">
        <f t="shared" si="2"/>
        <v>95.333502301914123</v>
      </c>
      <c r="G34" s="216">
        <f t="shared" si="6"/>
        <v>220.11</v>
      </c>
      <c r="H34" s="69">
        <f t="shared" si="9"/>
        <v>9.510242490466851</v>
      </c>
      <c r="I34" s="69">
        <f t="shared" si="9"/>
        <v>14.380579115884011</v>
      </c>
      <c r="J34" s="216">
        <f t="shared" si="7"/>
        <v>105.68</v>
      </c>
      <c r="K34" s="216">
        <f t="shared" si="8"/>
        <v>181.82</v>
      </c>
    </row>
    <row r="35" spans="2:11">
      <c r="B35" s="145">
        <f t="shared" si="0"/>
        <v>2050</v>
      </c>
      <c r="C35" s="217"/>
      <c r="D35" s="69">
        <f t="shared" si="5"/>
        <v>127.54299033890982</v>
      </c>
      <c r="E35" s="69">
        <f t="shared" si="5"/>
        <v>0</v>
      </c>
      <c r="F35" s="69">
        <f t="shared" si="2"/>
        <v>97.449906053016619</v>
      </c>
      <c r="G35" s="216">
        <f t="shared" si="6"/>
        <v>224.99</v>
      </c>
      <c r="H35" s="69">
        <f t="shared" si="9"/>
        <v>9.721369873755215</v>
      </c>
      <c r="I35" s="69">
        <f t="shared" si="9"/>
        <v>14.699827972256635</v>
      </c>
      <c r="J35" s="216">
        <f t="shared" si="7"/>
        <v>108.02</v>
      </c>
      <c r="K35" s="216">
        <f t="shared" si="8"/>
        <v>185.85</v>
      </c>
    </row>
    <row r="36" spans="2:11">
      <c r="B36" s="145">
        <f t="shared" si="0"/>
        <v>2051</v>
      </c>
      <c r="C36" s="217"/>
      <c r="D36" s="69">
        <f t="shared" si="5"/>
        <v>130.3744447244336</v>
      </c>
      <c r="E36" s="69">
        <f t="shared" si="5"/>
        <v>0</v>
      </c>
      <c r="F36" s="69">
        <f t="shared" si="2"/>
        <v>99.613293967393588</v>
      </c>
      <c r="G36" s="216">
        <f t="shared" si="6"/>
        <v>229.99</v>
      </c>
      <c r="H36" s="69">
        <f t="shared" si="9"/>
        <v>9.9371842849525809</v>
      </c>
      <c r="I36" s="69">
        <f t="shared" si="9"/>
        <v>15.026164153240732</v>
      </c>
      <c r="J36" s="216">
        <f t="shared" si="7"/>
        <v>110.42</v>
      </c>
      <c r="K36" s="216">
        <f t="shared" si="8"/>
        <v>189.98</v>
      </c>
    </row>
    <row r="37" spans="2:11">
      <c r="B37" s="145">
        <f t="shared" si="0"/>
        <v>2052</v>
      </c>
      <c r="C37" s="217"/>
      <c r="D37" s="69">
        <f t="shared" si="5"/>
        <v>133.26875739731602</v>
      </c>
      <c r="E37" s="69">
        <f t="shared" si="5"/>
        <v>0</v>
      </c>
      <c r="F37" s="69">
        <f t="shared" si="2"/>
        <v>101.82470909346972</v>
      </c>
      <c r="G37" s="216">
        <f t="shared" si="6"/>
        <v>235.09</v>
      </c>
      <c r="H37" s="69">
        <f t="shared" si="9"/>
        <v>10.157789776078529</v>
      </c>
      <c r="I37" s="69">
        <f t="shared" si="9"/>
        <v>15.359744997442675</v>
      </c>
      <c r="J37" s="216">
        <f t="shared" si="7"/>
        <v>112.87</v>
      </c>
      <c r="K37" s="216">
        <f t="shared" si="8"/>
        <v>194.19</v>
      </c>
    </row>
    <row r="38" spans="2:11">
      <c r="B38" s="145">
        <f t="shared" si="0"/>
        <v>2053</v>
      </c>
      <c r="C38" s="217"/>
      <c r="D38" s="69">
        <f t="shared" ref="D38:E53" si="10">D37*(1+Inflation)</f>
        <v>136.22732381153645</v>
      </c>
      <c r="E38" s="69">
        <f t="shared" si="10"/>
        <v>0</v>
      </c>
      <c r="F38" s="69">
        <f t="shared" si="2"/>
        <v>104.08521763534475</v>
      </c>
      <c r="G38" s="216">
        <f t="shared" si="6"/>
        <v>240.31</v>
      </c>
      <c r="H38" s="69">
        <f t="shared" si="9"/>
        <v>10.383292709107472</v>
      </c>
      <c r="I38" s="69">
        <f t="shared" si="9"/>
        <v>15.700731336385903</v>
      </c>
      <c r="J38" s="216">
        <f t="shared" si="7"/>
        <v>115.38</v>
      </c>
      <c r="K38" s="216">
        <f t="shared" si="8"/>
        <v>198.51</v>
      </c>
    </row>
    <row r="39" spans="2:11">
      <c r="B39" s="145">
        <f t="shared" si="0"/>
        <v>2054</v>
      </c>
      <c r="C39" s="217"/>
      <c r="D39" s="69">
        <f t="shared" si="10"/>
        <v>139.25157040015256</v>
      </c>
      <c r="E39" s="69">
        <f t="shared" si="10"/>
        <v>0</v>
      </c>
      <c r="F39" s="69">
        <f t="shared" si="2"/>
        <v>106.3959094668494</v>
      </c>
      <c r="G39" s="216">
        <f t="shared" si="6"/>
        <v>245.65</v>
      </c>
      <c r="H39" s="69">
        <f t="shared" si="9"/>
        <v>10.613801807249658</v>
      </c>
      <c r="I39" s="69">
        <f t="shared" si="9"/>
        <v>16.049287572053672</v>
      </c>
      <c r="J39" s="216">
        <f t="shared" si="7"/>
        <v>117.94</v>
      </c>
      <c r="K39" s="216">
        <f t="shared" si="8"/>
        <v>202.92</v>
      </c>
    </row>
    <row r="40" spans="2:11">
      <c r="B40" s="145">
        <f t="shared" si="0"/>
        <v>2055</v>
      </c>
      <c r="C40" s="217"/>
      <c r="D40" s="69">
        <f t="shared" si="10"/>
        <v>142.34295526303595</v>
      </c>
      <c r="E40" s="69">
        <f t="shared" si="10"/>
        <v>0</v>
      </c>
      <c r="F40" s="69">
        <f t="shared" si="2"/>
        <v>108.75789865701346</v>
      </c>
      <c r="G40" s="216">
        <f t="shared" si="6"/>
        <v>251.1</v>
      </c>
      <c r="H40" s="69">
        <f t="shared" si="9"/>
        <v>10.8494282073706</v>
      </c>
      <c r="I40" s="69">
        <f t="shared" si="9"/>
        <v>16.405581756153264</v>
      </c>
      <c r="J40" s="216">
        <f t="shared" si="7"/>
        <v>120.56</v>
      </c>
      <c r="K40" s="216">
        <f t="shared" si="8"/>
        <v>207.42</v>
      </c>
    </row>
    <row r="41" spans="2:11">
      <c r="B41" s="145">
        <f t="shared" si="0"/>
        <v>2056</v>
      </c>
      <c r="C41" s="217"/>
      <c r="D41" s="69">
        <f t="shared" si="10"/>
        <v>145.50296886987533</v>
      </c>
      <c r="E41" s="69">
        <f t="shared" si="10"/>
        <v>0</v>
      </c>
      <c r="F41" s="69">
        <f t="shared" si="2"/>
        <v>111.17232400719915</v>
      </c>
      <c r="G41" s="216">
        <f t="shared" si="6"/>
        <v>256.68</v>
      </c>
      <c r="H41" s="69">
        <f t="shared" si="9"/>
        <v>11.090285513574228</v>
      </c>
      <c r="I41" s="69">
        <f t="shared" si="9"/>
        <v>16.769785671139868</v>
      </c>
      <c r="J41" s="216">
        <f t="shared" si="7"/>
        <v>123.24</v>
      </c>
      <c r="K41" s="216">
        <f t="shared" si="8"/>
        <v>212.03</v>
      </c>
    </row>
    <row r="42" spans="2:11">
      <c r="B42" s="145">
        <f t="shared" si="0"/>
        <v>2057</v>
      </c>
      <c r="C42" s="217"/>
      <c r="D42" s="69">
        <f t="shared" si="10"/>
        <v>148.73313477878656</v>
      </c>
      <c r="E42" s="69">
        <f t="shared" si="10"/>
        <v>0</v>
      </c>
      <c r="F42" s="69">
        <f t="shared" si="2"/>
        <v>113.64034960015897</v>
      </c>
      <c r="G42" s="216">
        <f t="shared" si="6"/>
        <v>262.37</v>
      </c>
      <c r="H42" s="69">
        <f t="shared" si="9"/>
        <v>11.336489851975577</v>
      </c>
      <c r="I42" s="69">
        <f t="shared" si="9"/>
        <v>17.142074913039174</v>
      </c>
      <c r="J42" s="216">
        <f t="shared" si="7"/>
        <v>125.97</v>
      </c>
      <c r="K42" s="216">
        <f t="shared" si="8"/>
        <v>216.73</v>
      </c>
    </row>
    <row r="43" spans="2:11">
      <c r="B43" s="145">
        <f t="shared" si="0"/>
        <v>2058</v>
      </c>
      <c r="C43" s="217"/>
      <c r="D43" s="69">
        <f t="shared" si="10"/>
        <v>152.03501037087563</v>
      </c>
      <c r="E43" s="69">
        <f t="shared" si="10"/>
        <v>0</v>
      </c>
      <c r="F43" s="69">
        <f t="shared" si="2"/>
        <v>116.16316536128249</v>
      </c>
      <c r="G43" s="216">
        <f t="shared" si="6"/>
        <v>268.2</v>
      </c>
      <c r="H43" s="69">
        <f t="shared" ref="H43:I58" si="11">H42*(1+Inflation)</f>
        <v>11.588159926689434</v>
      </c>
      <c r="I43" s="69">
        <f t="shared" si="11"/>
        <v>17.522628976108642</v>
      </c>
      <c r="J43" s="216">
        <f t="shared" si="7"/>
        <v>128.77000000000001</v>
      </c>
      <c r="K43" s="216">
        <f t="shared" si="8"/>
        <v>221.55</v>
      </c>
    </row>
    <row r="44" spans="2:11">
      <c r="B44" s="145">
        <f t="shared" si="0"/>
        <v>2059</v>
      </c>
      <c r="C44" s="217"/>
      <c r="D44" s="69">
        <f t="shared" si="10"/>
        <v>155.41018760110907</v>
      </c>
      <c r="E44" s="69">
        <f t="shared" si="10"/>
        <v>0</v>
      </c>
      <c r="F44" s="69">
        <f t="shared" si="2"/>
        <v>118.74198763230297</v>
      </c>
      <c r="G44" s="216">
        <f t="shared" si="6"/>
        <v>274.14999999999998</v>
      </c>
      <c r="H44" s="69">
        <f t="shared" si="11"/>
        <v>11.845417077061938</v>
      </c>
      <c r="I44" s="69">
        <f t="shared" si="11"/>
        <v>17.911631339378253</v>
      </c>
      <c r="J44" s="216">
        <f t="shared" si="7"/>
        <v>131.63</v>
      </c>
      <c r="K44" s="216">
        <f t="shared" si="8"/>
        <v>226.47</v>
      </c>
    </row>
    <row r="45" spans="2:11">
      <c r="B45" s="145">
        <f t="shared" si="0"/>
        <v>2060</v>
      </c>
      <c r="C45" s="217"/>
      <c r="D45" s="69">
        <f t="shared" si="10"/>
        <v>158.8602937658537</v>
      </c>
      <c r="E45" s="69">
        <f t="shared" si="10"/>
        <v>0</v>
      </c>
      <c r="F45" s="69">
        <f t="shared" si="2"/>
        <v>121.37805975774009</v>
      </c>
      <c r="G45" s="216">
        <f t="shared" si="6"/>
        <v>280.24</v>
      </c>
      <c r="H45" s="69">
        <f t="shared" si="11"/>
        <v>12.108385336172713</v>
      </c>
      <c r="I45" s="69">
        <f t="shared" si="11"/>
        <v>18.309269555112451</v>
      </c>
      <c r="J45" s="216">
        <f t="shared" si="7"/>
        <v>134.55000000000001</v>
      </c>
      <c r="K45" s="216">
        <f t="shared" si="8"/>
        <v>231.49</v>
      </c>
    </row>
    <row r="46" spans="2:11">
      <c r="B46" s="145">
        <f t="shared" si="0"/>
        <v>2061</v>
      </c>
      <c r="C46" s="217"/>
      <c r="D46" s="69">
        <f t="shared" si="10"/>
        <v>162.38699228745566</v>
      </c>
      <c r="E46" s="69">
        <f t="shared" si="10"/>
        <v>0</v>
      </c>
      <c r="F46" s="69">
        <f t="shared" si="2"/>
        <v>124.07265268436191</v>
      </c>
      <c r="G46" s="216">
        <f t="shared" si="6"/>
        <v>286.45999999999998</v>
      </c>
      <c r="H46" s="69">
        <f t="shared" si="11"/>
        <v>12.377191490635747</v>
      </c>
      <c r="I46" s="69">
        <f t="shared" si="11"/>
        <v>18.715735339235948</v>
      </c>
      <c r="J46" s="216">
        <f t="shared" si="7"/>
        <v>137.54</v>
      </c>
      <c r="K46" s="216">
        <f t="shared" si="8"/>
        <v>236.63</v>
      </c>
    </row>
    <row r="47" spans="2:11">
      <c r="B47" s="145">
        <f t="shared" si="0"/>
        <v>2062</v>
      </c>
      <c r="C47" s="217"/>
      <c r="D47" s="69">
        <f t="shared" si="10"/>
        <v>165.99198351623718</v>
      </c>
      <c r="E47" s="69">
        <f t="shared" si="10"/>
        <v>0</v>
      </c>
      <c r="F47" s="69">
        <f t="shared" si="2"/>
        <v>126.82706557395474</v>
      </c>
      <c r="G47" s="216">
        <f t="shared" si="6"/>
        <v>292.82</v>
      </c>
      <c r="H47" s="69">
        <f t="shared" si="11"/>
        <v>12.65196514172786</v>
      </c>
      <c r="I47" s="69">
        <f t="shared" si="11"/>
        <v>19.131224663766986</v>
      </c>
      <c r="J47" s="216">
        <f t="shared" si="7"/>
        <v>140.59</v>
      </c>
      <c r="K47" s="216">
        <f t="shared" si="8"/>
        <v>241.88</v>
      </c>
    </row>
    <row r="48" spans="2:11">
      <c r="B48" s="145">
        <f t="shared" si="0"/>
        <v>2063</v>
      </c>
      <c r="C48" s="217"/>
      <c r="D48" s="69">
        <f t="shared" si="10"/>
        <v>169.67700555029765</v>
      </c>
      <c r="E48" s="69">
        <f t="shared" si="10"/>
        <v>0</v>
      </c>
      <c r="F48" s="69">
        <f t="shared" si="2"/>
        <v>129.64262642969655</v>
      </c>
      <c r="G48" s="216">
        <f t="shared" si="6"/>
        <v>299.32</v>
      </c>
      <c r="H48" s="69">
        <f t="shared" si="11"/>
        <v>12.932838767874218</v>
      </c>
      <c r="I48" s="69">
        <f t="shared" si="11"/>
        <v>19.555937851302613</v>
      </c>
      <c r="J48" s="216">
        <f t="shared" si="7"/>
        <v>143.71</v>
      </c>
      <c r="K48" s="216">
        <f t="shared" si="8"/>
        <v>247.25</v>
      </c>
    </row>
    <row r="49" spans="2:11">
      <c r="B49" s="145">
        <f t="shared" si="0"/>
        <v>2064</v>
      </c>
      <c r="C49" s="217"/>
      <c r="D49" s="69">
        <f t="shared" si="10"/>
        <v>173.44383507351426</v>
      </c>
      <c r="E49" s="69">
        <f t="shared" si="10"/>
        <v>0</v>
      </c>
      <c r="F49" s="69">
        <f t="shared" si="2"/>
        <v>132.52069273643582</v>
      </c>
      <c r="G49" s="216">
        <f t="shared" si="6"/>
        <v>305.95999999999998</v>
      </c>
      <c r="H49" s="69">
        <f t="shared" si="11"/>
        <v>13.219947788521026</v>
      </c>
      <c r="I49" s="69">
        <f t="shared" si="11"/>
        <v>19.990079671601531</v>
      </c>
      <c r="J49" s="216">
        <f t="shared" si="7"/>
        <v>146.9</v>
      </c>
      <c r="K49" s="216">
        <f t="shared" si="8"/>
        <v>252.74</v>
      </c>
    </row>
    <row r="50" spans="2:11">
      <c r="B50" s="145">
        <f t="shared" si="0"/>
        <v>2065</v>
      </c>
      <c r="C50" s="217"/>
      <c r="D50" s="69">
        <f t="shared" si="10"/>
        <v>177.29428821214628</v>
      </c>
      <c r="E50" s="69">
        <f t="shared" si="10"/>
        <v>0</v>
      </c>
      <c r="F50" s="69">
        <f t="shared" si="2"/>
        <v>135.46265211518468</v>
      </c>
      <c r="G50" s="216">
        <f t="shared" si="6"/>
        <v>312.76</v>
      </c>
      <c r="H50" s="69">
        <f t="shared" si="11"/>
        <v>13.513430629426193</v>
      </c>
      <c r="I50" s="69">
        <f t="shared" si="11"/>
        <v>20.433859440311085</v>
      </c>
      <c r="J50" s="216">
        <f t="shared" si="7"/>
        <v>150.16</v>
      </c>
      <c r="K50" s="216">
        <f t="shared" si="8"/>
        <v>258.35000000000002</v>
      </c>
    </row>
    <row r="51" spans="2:11">
      <c r="B51" s="145">
        <f t="shared" si="0"/>
        <v>2066</v>
      </c>
      <c r="C51" s="217"/>
      <c r="D51" s="69">
        <f t="shared" si="10"/>
        <v>181.23022141045593</v>
      </c>
      <c r="E51" s="69">
        <f t="shared" si="10"/>
        <v>0</v>
      </c>
      <c r="F51" s="69">
        <f t="shared" si="2"/>
        <v>138.46992299214179</v>
      </c>
      <c r="G51" s="216">
        <f t="shared" si="6"/>
        <v>319.7</v>
      </c>
      <c r="H51" s="69">
        <f t="shared" si="11"/>
        <v>13.813428789399454</v>
      </c>
      <c r="I51" s="69">
        <f t="shared" si="11"/>
        <v>20.88749111988599</v>
      </c>
      <c r="J51" s="216">
        <f t="shared" si="7"/>
        <v>153.5</v>
      </c>
      <c r="K51" s="216">
        <f t="shared" si="8"/>
        <v>264.08999999999997</v>
      </c>
    </row>
    <row r="52" spans="2:11">
      <c r="B52" s="145">
        <f t="shared" si="0"/>
        <v>2067</v>
      </c>
      <c r="C52" s="217"/>
      <c r="D52" s="69">
        <f t="shared" si="10"/>
        <v>185.25353232576805</v>
      </c>
      <c r="E52" s="69">
        <f t="shared" si="10"/>
        <v>0</v>
      </c>
      <c r="F52" s="69">
        <f t="shared" si="2"/>
        <v>141.54395528256734</v>
      </c>
      <c r="G52" s="216">
        <f t="shared" si="6"/>
        <v>326.8</v>
      </c>
      <c r="H52" s="69">
        <f t="shared" si="11"/>
        <v>14.120086908524122</v>
      </c>
      <c r="I52" s="69">
        <f t="shared" si="11"/>
        <v>21.35119342274746</v>
      </c>
      <c r="J52" s="216">
        <f t="shared" si="7"/>
        <v>156.9</v>
      </c>
      <c r="K52" s="216">
        <f t="shared" si="8"/>
        <v>269.95</v>
      </c>
    </row>
    <row r="53" spans="2:11">
      <c r="B53" s="145">
        <f t="shared" si="0"/>
        <v>2068</v>
      </c>
      <c r="C53" s="217"/>
      <c r="D53" s="69">
        <f t="shared" si="10"/>
        <v>189.36616074340009</v>
      </c>
      <c r="E53" s="69">
        <f t="shared" si="10"/>
        <v>0</v>
      </c>
      <c r="F53" s="69">
        <f t="shared" si="2"/>
        <v>144.68623108984033</v>
      </c>
      <c r="G53" s="216">
        <f>ROUND(D53+E53+F53,2)</f>
        <v>334.05</v>
      </c>
      <c r="H53" s="69">
        <f t="shared" si="11"/>
        <v>14.433552837893357</v>
      </c>
      <c r="I53" s="69">
        <f t="shared" si="11"/>
        <v>21.825189916732455</v>
      </c>
      <c r="J53" s="216">
        <f t="shared" si="7"/>
        <v>160.38999999999999</v>
      </c>
      <c r="K53" s="216">
        <f t="shared" si="8"/>
        <v>275.95</v>
      </c>
    </row>
    <row r="54" spans="2:11">
      <c r="B54" s="145">
        <f t="shared" si="0"/>
        <v>2069</v>
      </c>
      <c r="C54" s="217"/>
      <c r="D54" s="69">
        <f t="shared" ref="D54:E63" si="12">D53*(1+Inflation)</f>
        <v>193.57008951190357</v>
      </c>
      <c r="E54" s="69">
        <f t="shared" si="12"/>
        <v>0</v>
      </c>
      <c r="F54" s="69">
        <f t="shared" si="2"/>
        <v>147.89826542003479</v>
      </c>
      <c r="G54" s="216">
        <f>ROUND(D54+E54+F54,2)</f>
        <v>341.47</v>
      </c>
      <c r="H54" s="69">
        <f t="shared" si="11"/>
        <v>14.75397771089459</v>
      </c>
      <c r="I54" s="69">
        <f t="shared" si="11"/>
        <v>22.309709132883917</v>
      </c>
      <c r="J54" s="216">
        <f t="shared" si="7"/>
        <v>163.95</v>
      </c>
      <c r="K54" s="216">
        <f t="shared" si="8"/>
        <v>282.07</v>
      </c>
    </row>
    <row r="55" spans="2:11">
      <c r="B55" s="145">
        <f t="shared" si="0"/>
        <v>2070</v>
      </c>
      <c r="C55" s="217"/>
      <c r="D55" s="69">
        <f t="shared" si="12"/>
        <v>197.86734549906782</v>
      </c>
      <c r="E55" s="69">
        <f t="shared" si="12"/>
        <v>0</v>
      </c>
      <c r="F55" s="69">
        <f t="shared" si="2"/>
        <v>151.18160691235957</v>
      </c>
      <c r="G55" s="216">
        <f>ROUND(D55+E55+F55,2)</f>
        <v>349.05</v>
      </c>
      <c r="H55" s="69">
        <f t="shared" si="11"/>
        <v>15.081516016076449</v>
      </c>
      <c r="I55" s="69">
        <f t="shared" si="11"/>
        <v>22.804984675633939</v>
      </c>
      <c r="J55" s="216">
        <f t="shared" si="7"/>
        <v>167.59</v>
      </c>
      <c r="K55" s="216">
        <f t="shared" si="8"/>
        <v>288.33999999999997</v>
      </c>
    </row>
    <row r="56" spans="2:11">
      <c r="B56" s="145">
        <f t="shared" si="0"/>
        <v>2071</v>
      </c>
      <c r="C56" s="217"/>
      <c r="D56" s="69">
        <f t="shared" si="12"/>
        <v>202.26000056914714</v>
      </c>
      <c r="E56" s="69">
        <f t="shared" si="12"/>
        <v>0</v>
      </c>
      <c r="F56" s="69">
        <f t="shared" si="2"/>
        <v>154.53783858581394</v>
      </c>
      <c r="G56" s="216">
        <f>ROUND(D56+E56+F56,2)</f>
        <v>356.8</v>
      </c>
      <c r="H56" s="69">
        <f t="shared" si="11"/>
        <v>15.416325671633347</v>
      </c>
      <c r="I56" s="69">
        <f t="shared" si="11"/>
        <v>23.311255335433014</v>
      </c>
      <c r="J56" s="216">
        <f t="shared" si="7"/>
        <v>171.31</v>
      </c>
      <c r="K56" s="216">
        <f t="shared" si="8"/>
        <v>294.74</v>
      </c>
    </row>
    <row r="57" spans="2:11">
      <c r="B57" s="145">
        <f t="shared" si="0"/>
        <v>2072</v>
      </c>
      <c r="C57" s="217"/>
      <c r="D57" s="69">
        <f t="shared" si="12"/>
        <v>206.75017258178221</v>
      </c>
      <c r="E57" s="69">
        <f t="shared" si="12"/>
        <v>0</v>
      </c>
      <c r="F57" s="69">
        <f t="shared" si="2"/>
        <v>157.968578602419</v>
      </c>
      <c r="G57" s="216">
        <f t="shared" ref="G57:G63" si="13">ROUND(D57+E57+F57,2)</f>
        <v>364.72</v>
      </c>
      <c r="H57" s="69">
        <f t="shared" si="11"/>
        <v>15.758568101543608</v>
      </c>
      <c r="I57" s="69">
        <f t="shared" si="11"/>
        <v>23.828765203879627</v>
      </c>
      <c r="J57" s="216">
        <f t="shared" si="7"/>
        <v>175.11</v>
      </c>
      <c r="K57" s="216">
        <f t="shared" si="8"/>
        <v>301.27999999999997</v>
      </c>
    </row>
    <row r="58" spans="2:11">
      <c r="B58" s="145">
        <f t="shared" si="0"/>
        <v>2073</v>
      </c>
      <c r="C58" s="217"/>
      <c r="D58" s="69">
        <f t="shared" si="12"/>
        <v>211.34002641309777</v>
      </c>
      <c r="E58" s="69">
        <f t="shared" si="12"/>
        <v>0</v>
      </c>
      <c r="F58" s="69">
        <f t="shared" si="2"/>
        <v>161.47548104739269</v>
      </c>
      <c r="G58" s="216">
        <f t="shared" si="13"/>
        <v>372.82</v>
      </c>
      <c r="H58" s="69">
        <f t="shared" si="11"/>
        <v>16.108408313397877</v>
      </c>
      <c r="I58" s="69">
        <f t="shared" si="11"/>
        <v>24.357763791405755</v>
      </c>
      <c r="J58" s="216">
        <f t="shared" si="7"/>
        <v>179</v>
      </c>
      <c r="K58" s="216">
        <f t="shared" si="8"/>
        <v>307.97000000000003</v>
      </c>
    </row>
    <row r="59" spans="2:11">
      <c r="B59" s="145">
        <f t="shared" si="0"/>
        <v>2074</v>
      </c>
      <c r="C59" s="217"/>
      <c r="D59" s="69">
        <f t="shared" si="12"/>
        <v>216.03177499946855</v>
      </c>
      <c r="E59" s="69">
        <f t="shared" si="12"/>
        <v>0</v>
      </c>
      <c r="F59" s="69">
        <f t="shared" si="2"/>
        <v>165.0602367266448</v>
      </c>
      <c r="G59" s="216">
        <f t="shared" si="13"/>
        <v>381.09</v>
      </c>
      <c r="H59" s="69">
        <f t="shared" ref="H59:I63" si="14">H58*(1+Inflation)</f>
        <v>16.466014977955311</v>
      </c>
      <c r="I59" s="69">
        <f t="shared" si="14"/>
        <v>24.898506147574963</v>
      </c>
      <c r="J59" s="216">
        <f t="shared" si="7"/>
        <v>182.97</v>
      </c>
      <c r="K59" s="216">
        <f t="shared" si="8"/>
        <v>314.8</v>
      </c>
    </row>
    <row r="60" spans="2:11">
      <c r="B60" s="145">
        <f t="shared" si="0"/>
        <v>2075</v>
      </c>
      <c r="C60" s="217"/>
      <c r="D60" s="69">
        <f t="shared" si="12"/>
        <v>220.82768040445674</v>
      </c>
      <c r="E60" s="69">
        <f t="shared" si="12"/>
        <v>0</v>
      </c>
      <c r="F60" s="69">
        <f t="shared" si="2"/>
        <v>168.72457398197631</v>
      </c>
      <c r="G60" s="216">
        <f t="shared" si="13"/>
        <v>389.55</v>
      </c>
      <c r="H60" s="69">
        <f t="shared" si="14"/>
        <v>16.83156051046592</v>
      </c>
      <c r="I60" s="69">
        <f t="shared" si="14"/>
        <v>25.451252984051127</v>
      </c>
      <c r="J60" s="216">
        <f t="shared" si="7"/>
        <v>187.03</v>
      </c>
      <c r="K60" s="216">
        <f t="shared" si="8"/>
        <v>321.79000000000002</v>
      </c>
    </row>
    <row r="61" spans="2:11">
      <c r="B61" s="145">
        <f t="shared" si="0"/>
        <v>2076</v>
      </c>
      <c r="C61" s="217"/>
      <c r="D61" s="69">
        <f t="shared" si="12"/>
        <v>225.73005490943569</v>
      </c>
      <c r="E61" s="69">
        <f t="shared" si="12"/>
        <v>0</v>
      </c>
      <c r="F61" s="69">
        <f t="shared" si="2"/>
        <v>172.47025952437619</v>
      </c>
      <c r="G61" s="216">
        <f t="shared" si="13"/>
        <v>398.2</v>
      </c>
      <c r="H61" s="69">
        <f t="shared" si="14"/>
        <v>17.205221153798263</v>
      </c>
      <c r="I61" s="69">
        <f t="shared" si="14"/>
        <v>26.016270800297061</v>
      </c>
      <c r="J61" s="216">
        <f t="shared" si="7"/>
        <v>191.19</v>
      </c>
      <c r="K61" s="216">
        <f t="shared" si="8"/>
        <v>328.94</v>
      </c>
    </row>
    <row r="62" spans="2:11">
      <c r="B62" s="145">
        <f t="shared" si="0"/>
        <v>2077</v>
      </c>
      <c r="C62" s="217"/>
      <c r="D62" s="69">
        <f t="shared" si="12"/>
        <v>230.74126212842518</v>
      </c>
      <c r="E62" s="69">
        <f t="shared" si="12"/>
        <v>0</v>
      </c>
      <c r="F62" s="69">
        <f t="shared" si="2"/>
        <v>176.29909928581733</v>
      </c>
      <c r="G62" s="216">
        <f t="shared" si="13"/>
        <v>407.04</v>
      </c>
      <c r="H62" s="69">
        <f t="shared" si="14"/>
        <v>17.587177063412586</v>
      </c>
      <c r="I62" s="69">
        <f t="shared" si="14"/>
        <v>26.593832012063654</v>
      </c>
      <c r="J62" s="216">
        <f t="shared" si="7"/>
        <v>195.43</v>
      </c>
      <c r="K62" s="216">
        <f t="shared" si="8"/>
        <v>336.24</v>
      </c>
    </row>
    <row r="63" spans="2:11">
      <c r="B63" s="145">
        <f t="shared" si="0"/>
        <v>2078</v>
      </c>
      <c r="C63" s="217"/>
      <c r="D63" s="69">
        <f t="shared" si="12"/>
        <v>235.86371814767622</v>
      </c>
      <c r="E63" s="69">
        <f t="shared" si="12"/>
        <v>0</v>
      </c>
      <c r="F63" s="69">
        <f t="shared" si="2"/>
        <v>180.21293928996249</v>
      </c>
      <c r="G63" s="216">
        <f t="shared" si="13"/>
        <v>416.08</v>
      </c>
      <c r="H63" s="69">
        <f t="shared" si="14"/>
        <v>17.977612394220344</v>
      </c>
      <c r="I63" s="69">
        <f t="shared" si="14"/>
        <v>27.184215082731466</v>
      </c>
      <c r="J63" s="216">
        <f t="shared" si="7"/>
        <v>199.77</v>
      </c>
      <c r="K63" s="216">
        <f t="shared" si="8"/>
        <v>343.7</v>
      </c>
    </row>
    <row r="64" spans="2:11">
      <c r="B64" s="145"/>
      <c r="C64" s="217"/>
      <c r="D64" s="69"/>
      <c r="E64" s="69"/>
      <c r="F64" s="69"/>
      <c r="G64" s="216"/>
      <c r="H64" s="69"/>
      <c r="I64" s="69"/>
      <c r="J64" s="216"/>
      <c r="K64" s="216"/>
    </row>
    <row r="65" spans="2:29">
      <c r="M65" s="145"/>
      <c r="O65" s="222"/>
      <c r="AA65"/>
      <c r="AC65" s="61"/>
    </row>
    <row r="66" spans="2:29">
      <c r="B66" s="68" t="s">
        <v>176</v>
      </c>
      <c r="C66" s="61"/>
      <c r="D66" s="61"/>
      <c r="E66" s="61"/>
      <c r="F66" s="61"/>
      <c r="G66" s="70">
        <f>-PMT(Discount_Rate,COUNT(G$23:G$62),NPV(Discount_Rate,G$23:G$62))</f>
        <v>231.07885935667073</v>
      </c>
      <c r="H66" s="61"/>
      <c r="I66" s="61"/>
      <c r="J66" s="70">
        <f>-PMT(Discount_Rate,COUNT(J$23:J$62),NPV(Discount_Rate,J$23:J$62))</f>
        <v>110.94552462337344</v>
      </c>
      <c r="K66" s="70">
        <f>-PMT(Discount_Rate,COUNT(K$23:K$62),NPV(Discount_Rate,K$23:K$62))</f>
        <v>190.88111834960739</v>
      </c>
      <c r="L66" s="70"/>
      <c r="M66" s="216"/>
      <c r="O66" s="222"/>
      <c r="AA66"/>
      <c r="AC66" s="61"/>
    </row>
    <row r="67" spans="2:29">
      <c r="M67" s="145"/>
      <c r="O67" s="222"/>
      <c r="AA67"/>
      <c r="AC67" s="61"/>
    </row>
    <row r="68" spans="2:29" ht="14.25">
      <c r="B68" s="4" t="s">
        <v>25</v>
      </c>
      <c r="C68" s="17"/>
      <c r="D68" s="17"/>
      <c r="E68" s="17"/>
      <c r="F68" s="17"/>
      <c r="G68" s="17"/>
      <c r="H68" s="17"/>
      <c r="I68" s="17"/>
      <c r="J68" s="17"/>
      <c r="K68" s="17"/>
      <c r="M68" s="222"/>
      <c r="N68" s="222"/>
    </row>
    <row r="70" spans="2:29">
      <c r="B70" t="s">
        <v>175</v>
      </c>
      <c r="D70" s="146" t="s">
        <v>237</v>
      </c>
      <c r="G70" s="223"/>
    </row>
    <row r="71" spans="2:29">
      <c r="C71" s="159" t="str">
        <f>C6</f>
        <v>(a)</v>
      </c>
      <c r="D71" s="146" t="s">
        <v>174</v>
      </c>
      <c r="G71" s="223"/>
    </row>
    <row r="72" spans="2:29">
      <c r="C72" s="159" t="str">
        <f>D6</f>
        <v>(b)</v>
      </c>
      <c r="D72" s="216" t="str">
        <f>"= "&amp;C6&amp;" x "&amp;TEXT(C107,"0.000%")&amp;E107</f>
        <v>= (a) x 6.100%  Real Payment Factor@ 00% ITC</v>
      </c>
    </row>
    <row r="73" spans="2:29">
      <c r="C73" s="159" t="str">
        <f>H6</f>
        <v>(f)</v>
      </c>
      <c r="D73" s="224" t="s">
        <v>173</v>
      </c>
    </row>
    <row r="74" spans="2:29">
      <c r="C74" s="159" t="str">
        <f>J6</f>
        <v>(h)</v>
      </c>
      <c r="D74" s="216" t="str">
        <f>"= "&amp;H6&amp;" / (8.76 x 'Capacity Factor' ) + "&amp;I6</f>
        <v>= (f) / (8.76 x 'Capacity Factor' ) + (g)</v>
      </c>
    </row>
    <row r="75" spans="2:29" ht="13.5" thickBot="1"/>
    <row r="76" spans="2:29" ht="13.5" thickBot="1">
      <c r="C76" s="37" t="s">
        <v>292</v>
      </c>
      <c r="D76" s="225"/>
      <c r="E76" s="225"/>
      <c r="F76" s="225"/>
      <c r="G76" s="225"/>
      <c r="H76" s="225"/>
      <c r="I76" s="225"/>
      <c r="J76" s="226"/>
      <c r="K76" s="227"/>
    </row>
    <row r="77" spans="2:29" ht="5.25" customHeight="1"/>
    <row r="78" spans="2:29" ht="5.25" customHeight="1"/>
    <row r="79" spans="2:29">
      <c r="C79" s="228" t="s">
        <v>155</v>
      </c>
      <c r="D79" s="229"/>
      <c r="E79" s="228"/>
      <c r="F79" s="230" t="s">
        <v>32</v>
      </c>
      <c r="G79" s="230" t="s">
        <v>156</v>
      </c>
      <c r="H79" s="230" t="s">
        <v>157</v>
      </c>
      <c r="I79" s="230" t="s">
        <v>158</v>
      </c>
    </row>
    <row r="80" spans="2:29">
      <c r="C80" s="220" t="s">
        <v>148</v>
      </c>
      <c r="F80" s="231">
        <f>C91</f>
        <v>191.75899999999999</v>
      </c>
      <c r="G80" s="36">
        <f>F80/F82</f>
        <v>1</v>
      </c>
      <c r="H80" s="232">
        <f>C92</f>
        <v>1195.5137204951482</v>
      </c>
      <c r="I80" s="233">
        <f>C103</f>
        <v>56.283942318658383</v>
      </c>
      <c r="O80" s="61"/>
      <c r="P80" s="61"/>
      <c r="Q80" s="61"/>
      <c r="R80" s="61"/>
      <c r="S80" s="61"/>
      <c r="T80" s="61"/>
    </row>
    <row r="81" spans="2:20">
      <c r="C81" s="220"/>
      <c r="F81" s="234"/>
      <c r="G81" s="235"/>
      <c r="H81" s="236"/>
      <c r="I81" s="237"/>
      <c r="O81" s="238"/>
      <c r="P81" s="61"/>
      <c r="Q81" s="61"/>
      <c r="R81" s="61"/>
      <c r="S81" s="61"/>
      <c r="T81" s="61"/>
    </row>
    <row r="82" spans="2:20">
      <c r="C82" s="220" t="s">
        <v>159</v>
      </c>
      <c r="F82" s="231">
        <f>F80+F81</f>
        <v>191.75899999999999</v>
      </c>
      <c r="G82" s="36">
        <f>G80+G81</f>
        <v>1</v>
      </c>
      <c r="H82" s="232">
        <f>ROUND(((F80*H80)+(F81*H81))/F82,0)</f>
        <v>1196</v>
      </c>
      <c r="I82" s="233">
        <f>ROUND(((F80*I80)+(F81*I81))/F82,2)</f>
        <v>56.28</v>
      </c>
      <c r="O82" s="238"/>
      <c r="P82" s="61"/>
      <c r="Q82" s="61"/>
      <c r="R82" s="61"/>
      <c r="S82" s="61"/>
      <c r="T82" s="61"/>
    </row>
    <row r="83" spans="2:20">
      <c r="C83" s="220"/>
      <c r="F83" s="231"/>
      <c r="G83" s="36"/>
      <c r="H83" s="239"/>
      <c r="I83" s="240"/>
      <c r="O83" s="61"/>
      <c r="P83" s="61"/>
      <c r="Q83" s="61"/>
      <c r="R83" s="61"/>
      <c r="S83" s="61"/>
      <c r="T83" s="61"/>
    </row>
    <row r="84" spans="2:20">
      <c r="C84" s="241" t="s">
        <v>155</v>
      </c>
      <c r="D84" s="229"/>
      <c r="E84" s="228"/>
      <c r="F84" s="230" t="s">
        <v>32</v>
      </c>
      <c r="G84" s="230" t="s">
        <v>33</v>
      </c>
      <c r="H84" s="230" t="s">
        <v>160</v>
      </c>
      <c r="I84" s="230" t="s">
        <v>156</v>
      </c>
      <c r="J84" s="230" t="s">
        <v>161</v>
      </c>
      <c r="K84" s="230" t="s">
        <v>162</v>
      </c>
    </row>
    <row r="85" spans="2:20">
      <c r="C85" s="242" t="str">
        <f>C80</f>
        <v>GSC.PX.BDG._.___.Frame</v>
      </c>
      <c r="D85" s="243"/>
      <c r="E85" s="243"/>
      <c r="F85">
        <f>C91</f>
        <v>191.75899999999999</v>
      </c>
      <c r="G85" s="36">
        <f>C108</f>
        <v>0.33</v>
      </c>
      <c r="H85" s="86">
        <f>G85*F85</f>
        <v>63.280470000000001</v>
      </c>
      <c r="I85" s="36">
        <f>H85/H87</f>
        <v>1</v>
      </c>
      <c r="J85" s="240">
        <f>C104</f>
        <v>8.4901494849525481</v>
      </c>
      <c r="K85" s="244">
        <f>C105</f>
        <v>9600.3960000000006</v>
      </c>
    </row>
    <row r="86" spans="2:20">
      <c r="C86" s="242">
        <f>C81</f>
        <v>0</v>
      </c>
      <c r="D86" s="243"/>
      <c r="E86" s="243"/>
      <c r="F86" s="245">
        <f>D91</f>
        <v>0</v>
      </c>
      <c r="G86" s="235">
        <f>D108</f>
        <v>0</v>
      </c>
      <c r="H86" s="246">
        <f>G86*F86</f>
        <v>0</v>
      </c>
      <c r="I86" s="235">
        <f>1-I85</f>
        <v>0</v>
      </c>
      <c r="J86" s="247">
        <f>D104</f>
        <v>0</v>
      </c>
      <c r="K86" s="248">
        <f>D105</f>
        <v>0</v>
      </c>
    </row>
    <row r="87" spans="2:20">
      <c r="C87" s="220" t="s">
        <v>163</v>
      </c>
      <c r="F87">
        <f>F85+F86</f>
        <v>191.75899999999999</v>
      </c>
      <c r="G87" s="249">
        <f>ROUND(H87/F87,3)</f>
        <v>0.33</v>
      </c>
      <c r="H87" s="86">
        <f>SUM(H85:H86)</f>
        <v>63.280470000000001</v>
      </c>
      <c r="I87" s="36">
        <f>I85+I86</f>
        <v>1</v>
      </c>
      <c r="J87" s="240">
        <f>ROUND(($I85*J85)+($I86*J86),2)</f>
        <v>8.49</v>
      </c>
      <c r="K87" s="204">
        <f>ROUND(($I85*K85)+($I86*K86),0)</f>
        <v>9600</v>
      </c>
    </row>
    <row r="88" spans="2:20">
      <c r="G88" s="249"/>
      <c r="I88" s="36"/>
      <c r="J88" s="240"/>
      <c r="K88" s="250" t="s">
        <v>164</v>
      </c>
    </row>
    <row r="90" spans="2:20">
      <c r="C90" s="230" t="s">
        <v>293</v>
      </c>
      <c r="D90" s="230"/>
      <c r="E90" s="312" t="str">
        <f>D70</f>
        <v>Plant Costs  - 2025 IRP Update</v>
      </c>
      <c r="F90" s="251"/>
      <c r="G90" s="251"/>
      <c r="H90" s="251"/>
      <c r="I90" s="251"/>
      <c r="J90" s="251"/>
      <c r="K90" s="252"/>
    </row>
    <row r="91" spans="2:20">
      <c r="C91">
        <v>191.75899999999999</v>
      </c>
      <c r="E91" t="s">
        <v>165</v>
      </c>
      <c r="H91" s="253"/>
    </row>
    <row r="92" spans="2:20">
      <c r="B92" t="s">
        <v>238</v>
      </c>
      <c r="C92" s="254">
        <v>1195.5137204951482</v>
      </c>
      <c r="E92" s="220" t="s">
        <v>239</v>
      </c>
      <c r="H92" s="253"/>
    </row>
    <row r="93" spans="2:20">
      <c r="B93" t="s">
        <v>238</v>
      </c>
      <c r="C93" s="254">
        <v>12.130040121265498</v>
      </c>
      <c r="E93" s="220" t="s">
        <v>249</v>
      </c>
      <c r="H93" s="253"/>
    </row>
    <row r="94" spans="2:20">
      <c r="B94" t="s">
        <v>238</v>
      </c>
      <c r="C94" s="260">
        <v>30.484805828175183</v>
      </c>
      <c r="D94" s="240"/>
      <c r="E94" t="s">
        <v>166</v>
      </c>
    </row>
    <row r="95" spans="2:20">
      <c r="C95" s="41">
        <v>9600.3960000000006</v>
      </c>
      <c r="D95" s="240"/>
      <c r="E95" s="137" t="s">
        <v>240</v>
      </c>
    </row>
    <row r="96" spans="2:20">
      <c r="C96" s="41">
        <v>44183.096077536</v>
      </c>
      <c r="D96" s="240"/>
      <c r="E96" s="3" t="s">
        <v>241</v>
      </c>
    </row>
    <row r="97" spans="2:10">
      <c r="C97" s="309">
        <v>0.30676931506849314</v>
      </c>
      <c r="D97" s="240"/>
      <c r="E97" s="3" t="s">
        <v>242</v>
      </c>
    </row>
    <row r="98" spans="2:10">
      <c r="C98" s="309">
        <v>5.7000000000000002E-3</v>
      </c>
      <c r="D98" s="240"/>
      <c r="E98" s="3" t="s">
        <v>243</v>
      </c>
    </row>
    <row r="99" spans="2:10">
      <c r="C99" s="309">
        <v>1.5E-3</v>
      </c>
      <c r="D99" s="240"/>
      <c r="E99" s="3" t="s">
        <v>244</v>
      </c>
    </row>
    <row r="100" spans="2:10">
      <c r="C100" s="309">
        <f>C98+C99</f>
        <v>7.1999999999999998E-3</v>
      </c>
      <c r="D100" s="240"/>
      <c r="E100" s="3" t="s">
        <v>245</v>
      </c>
    </row>
    <row r="101" spans="2:10">
      <c r="C101" s="310">
        <f>C96*C97*365</f>
        <v>4947216.614278568</v>
      </c>
      <c r="D101" s="240"/>
      <c r="E101" s="3" t="s">
        <v>246</v>
      </c>
    </row>
    <row r="102" spans="2:10">
      <c r="C102" s="260">
        <f>C101/C91/1000</f>
        <v>25.7991364904832</v>
      </c>
      <c r="D102" s="240"/>
      <c r="E102" s="3" t="s">
        <v>247</v>
      </c>
    </row>
    <row r="103" spans="2:10">
      <c r="C103" s="260">
        <f>C94+C102</f>
        <v>56.283942318658383</v>
      </c>
      <c r="D103" s="240"/>
      <c r="E103" s="3" t="s">
        <v>248</v>
      </c>
    </row>
    <row r="104" spans="2:10">
      <c r="B104" t="s">
        <v>238</v>
      </c>
      <c r="C104" s="255">
        <v>8.4901494849525481</v>
      </c>
      <c r="D104" s="240"/>
      <c r="E104" t="s">
        <v>167</v>
      </c>
    </row>
    <row r="105" spans="2:10">
      <c r="C105" s="204">
        <v>9600.3960000000006</v>
      </c>
      <c r="D105" s="204"/>
      <c r="E105" t="s">
        <v>168</v>
      </c>
    </row>
    <row r="106" spans="2:10">
      <c r="C106" s="256">
        <v>0</v>
      </c>
      <c r="D106" s="204"/>
      <c r="E106" t="s">
        <v>169</v>
      </c>
    </row>
    <row r="107" spans="2:10">
      <c r="C107" s="257">
        <v>6.0999999999999999E-2</v>
      </c>
      <c r="D107" s="257"/>
      <c r="E107" t="str">
        <f>"  Real Payment Factor@ "&amp;TEXT(C106,"00%")&amp;" ITC"</f>
        <v xml:space="preserve">  Real Payment Factor@ 00% ITC</v>
      </c>
    </row>
    <row r="108" spans="2:10">
      <c r="C108" s="205">
        <v>0.33</v>
      </c>
      <c r="D108" s="205"/>
      <c r="E108" t="s">
        <v>35</v>
      </c>
      <c r="I108" s="256"/>
      <c r="J108" s="258"/>
    </row>
    <row r="109" spans="2:10">
      <c r="D109" s="36">
        <f>ROUND(H87/F87,3)</f>
        <v>0.33</v>
      </c>
      <c r="E109" t="s">
        <v>170</v>
      </c>
      <c r="I109" s="256"/>
      <c r="J109" s="258"/>
    </row>
    <row r="110" spans="2:10">
      <c r="B110" t="s">
        <v>238</v>
      </c>
      <c r="C110" s="79"/>
      <c r="D110" s="61"/>
      <c r="E110" s="61" t="s">
        <v>83</v>
      </c>
      <c r="I110" s="256"/>
      <c r="J110" s="258"/>
    </row>
    <row r="111" spans="2:10">
      <c r="C111" s="45"/>
      <c r="D111" s="206">
        <v>5.6147516544049472</v>
      </c>
      <c r="E111" s="61" t="s">
        <v>171</v>
      </c>
      <c r="F111" s="263"/>
      <c r="I111" s="256"/>
      <c r="J111" s="258"/>
    </row>
    <row r="112" spans="2:10">
      <c r="D112" s="45">
        <f>(D111/1000000)*1000*C105</f>
        <v>53.903839323942641</v>
      </c>
      <c r="E112" s="61" t="s">
        <v>172</v>
      </c>
    </row>
    <row r="113" spans="4:5">
      <c r="D113" s="36">
        <v>2.7E-2</v>
      </c>
      <c r="E113" s="61" t="s">
        <v>303</v>
      </c>
    </row>
    <row r="114" spans="4:5">
      <c r="D114" s="45"/>
      <c r="E114" s="61" t="s">
        <v>83</v>
      </c>
    </row>
    <row r="115" spans="4:5">
      <c r="D115" s="45"/>
      <c r="E115" s="61" t="s">
        <v>83</v>
      </c>
    </row>
    <row r="116" spans="4:5">
      <c r="D116" s="259"/>
    </row>
  </sheetData>
  <printOptions horizontalCentered="1"/>
  <pageMargins left="0.8" right="0.3" top="0.4" bottom="0.4" header="0.5" footer="0.2"/>
  <pageSetup scale="36" orientation="landscape" r:id="rId1"/>
  <headerFooter alignWithMargins="0"/>
  <rowBreaks count="1" manualBreakCount="1">
    <brk id="71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704F-634F-4BD6-9705-402FD6ABD83F}">
  <dimension ref="A1:R258"/>
  <sheetViews>
    <sheetView topLeftCell="A86" zoomScale="80" zoomScaleNormal="80" workbookViewId="0">
      <selection activeCell="C215" sqref="C215"/>
    </sheetView>
  </sheetViews>
  <sheetFormatPr defaultRowHeight="12.75"/>
  <cols>
    <col min="2" max="2" width="20.5" customWidth="1"/>
    <col min="3" max="3" width="40.83203125" customWidth="1"/>
    <col min="4" max="4" width="55.83203125" customWidth="1"/>
    <col min="5" max="5" width="11.6640625" customWidth="1"/>
    <col min="6" max="6" width="13" customWidth="1"/>
    <col min="7" max="7" width="18" customWidth="1"/>
    <col min="8" max="8" width="23.1640625" customWidth="1"/>
    <col min="9" max="9" width="10" customWidth="1"/>
    <col min="10" max="10" width="19" customWidth="1"/>
    <col min="11" max="11" width="20.33203125" customWidth="1"/>
    <col min="12" max="12" width="27" customWidth="1"/>
    <col min="13" max="13" width="22.33203125" customWidth="1"/>
    <col min="14" max="14" width="25.33203125" customWidth="1"/>
    <col min="15" max="15" width="43.83203125" customWidth="1"/>
    <col min="17" max="17" width="17.6640625" customWidth="1"/>
    <col min="18" max="18" width="15.5" customWidth="1"/>
    <col min="21" max="21" width="35.33203125" customWidth="1"/>
  </cols>
  <sheetData>
    <row r="1" spans="1:16" s="147" customFormat="1">
      <c r="A1" s="147" t="s">
        <v>86</v>
      </c>
      <c r="B1" s="147" t="s">
        <v>87</v>
      </c>
      <c r="C1" s="147" t="s">
        <v>88</v>
      </c>
      <c r="D1" s="147" t="s">
        <v>89</v>
      </c>
      <c r="E1" s="147" t="s">
        <v>90</v>
      </c>
      <c r="F1" s="147" t="s">
        <v>91</v>
      </c>
      <c r="G1" s="147" t="s">
        <v>92</v>
      </c>
      <c r="H1" s="147" t="s">
        <v>93</v>
      </c>
      <c r="I1" s="147" t="s">
        <v>94</v>
      </c>
      <c r="J1" s="147" t="s">
        <v>95</v>
      </c>
      <c r="K1" s="147" t="s">
        <v>96</v>
      </c>
      <c r="L1" s="147" t="s">
        <v>97</v>
      </c>
      <c r="M1" s="147" t="s">
        <v>98</v>
      </c>
      <c r="N1" s="147" t="s">
        <v>99</v>
      </c>
      <c r="O1" s="147" t="s">
        <v>100</v>
      </c>
      <c r="P1" s="147" t="s">
        <v>101</v>
      </c>
    </row>
    <row r="2" spans="1:16">
      <c r="A2" t="s">
        <v>124</v>
      </c>
      <c r="B2" t="s">
        <v>102</v>
      </c>
      <c r="C2" t="s">
        <v>207</v>
      </c>
      <c r="D2" t="s">
        <v>126</v>
      </c>
      <c r="E2">
        <v>1357.6969999999999</v>
      </c>
      <c r="G2" t="s">
        <v>8</v>
      </c>
      <c r="H2">
        <v>1</v>
      </c>
      <c r="I2" s="314"/>
      <c r="J2" s="314"/>
      <c r="L2" t="s">
        <v>127</v>
      </c>
      <c r="M2" t="s">
        <v>103</v>
      </c>
      <c r="N2" t="s">
        <v>230</v>
      </c>
      <c r="O2" t="s">
        <v>231</v>
      </c>
      <c r="P2" t="s">
        <v>149</v>
      </c>
    </row>
    <row r="3" spans="1:16">
      <c r="A3" t="s">
        <v>124</v>
      </c>
      <c r="B3" t="s">
        <v>102</v>
      </c>
      <c r="C3" t="s">
        <v>208</v>
      </c>
      <c r="D3" t="s">
        <v>126</v>
      </c>
      <c r="E3">
        <v>1508.5519999999999</v>
      </c>
      <c r="G3" t="s">
        <v>8</v>
      </c>
      <c r="H3">
        <v>1</v>
      </c>
      <c r="I3" s="314"/>
      <c r="J3" s="314"/>
      <c r="L3" t="s">
        <v>127</v>
      </c>
      <c r="M3" t="s">
        <v>103</v>
      </c>
      <c r="N3" t="s">
        <v>230</v>
      </c>
      <c r="O3" t="s">
        <v>231</v>
      </c>
      <c r="P3" t="s">
        <v>149</v>
      </c>
    </row>
    <row r="4" spans="1:16">
      <c r="A4" t="s">
        <v>124</v>
      </c>
      <c r="B4" t="s">
        <v>102</v>
      </c>
      <c r="C4" t="s">
        <v>209</v>
      </c>
      <c r="D4" t="s">
        <v>126</v>
      </c>
      <c r="E4">
        <v>1508.5519999999999</v>
      </c>
      <c r="G4" t="s">
        <v>8</v>
      </c>
      <c r="H4">
        <v>1</v>
      </c>
      <c r="I4" s="314"/>
      <c r="J4" s="314"/>
      <c r="L4" t="s">
        <v>127</v>
      </c>
      <c r="M4" t="s">
        <v>103</v>
      </c>
      <c r="N4" t="s">
        <v>230</v>
      </c>
      <c r="O4" t="s">
        <v>231</v>
      </c>
      <c r="P4" t="s">
        <v>149</v>
      </c>
    </row>
    <row r="5" spans="1:16">
      <c r="A5" t="s">
        <v>124</v>
      </c>
      <c r="B5" t="s">
        <v>102</v>
      </c>
      <c r="C5" t="s">
        <v>148</v>
      </c>
      <c r="D5" t="s">
        <v>126</v>
      </c>
      <c r="E5">
        <v>1195.5139999999999</v>
      </c>
      <c r="G5" t="s">
        <v>8</v>
      </c>
      <c r="H5">
        <v>1</v>
      </c>
      <c r="I5" s="314"/>
      <c r="J5" s="314"/>
      <c r="L5" t="s">
        <v>127</v>
      </c>
      <c r="M5" t="s">
        <v>103</v>
      </c>
      <c r="N5" t="s">
        <v>230</v>
      </c>
      <c r="O5" t="s">
        <v>231</v>
      </c>
      <c r="P5" t="s">
        <v>149</v>
      </c>
    </row>
    <row r="6" spans="1:16">
      <c r="A6" t="s">
        <v>124</v>
      </c>
      <c r="B6" t="s">
        <v>102</v>
      </c>
      <c r="C6" t="s">
        <v>210</v>
      </c>
      <c r="D6" t="s">
        <v>126</v>
      </c>
      <c r="E6">
        <v>1328.3489999999999</v>
      </c>
      <c r="G6" t="s">
        <v>8</v>
      </c>
      <c r="H6">
        <v>1</v>
      </c>
      <c r="I6" s="314"/>
      <c r="J6" s="314"/>
      <c r="L6" t="s">
        <v>127</v>
      </c>
      <c r="M6" t="s">
        <v>103</v>
      </c>
      <c r="N6" t="s">
        <v>230</v>
      </c>
      <c r="O6" t="s">
        <v>231</v>
      </c>
      <c r="P6" t="s">
        <v>149</v>
      </c>
    </row>
    <row r="7" spans="1:16">
      <c r="A7" t="s">
        <v>124</v>
      </c>
      <c r="B7" t="s">
        <v>102</v>
      </c>
      <c r="C7" t="s">
        <v>179</v>
      </c>
      <c r="D7" t="s">
        <v>126</v>
      </c>
      <c r="E7">
        <v>1399.38</v>
      </c>
      <c r="G7" t="s">
        <v>8</v>
      </c>
      <c r="H7">
        <v>1</v>
      </c>
      <c r="I7" s="314"/>
      <c r="J7" s="314"/>
      <c r="L7" t="s">
        <v>127</v>
      </c>
      <c r="M7" t="s">
        <v>128</v>
      </c>
      <c r="N7" t="s">
        <v>230</v>
      </c>
      <c r="O7" t="s">
        <v>231</v>
      </c>
      <c r="P7" t="s">
        <v>129</v>
      </c>
    </row>
    <row r="8" spans="1:16">
      <c r="A8" t="s">
        <v>124</v>
      </c>
      <c r="B8" t="s">
        <v>102</v>
      </c>
      <c r="C8" t="s">
        <v>213</v>
      </c>
      <c r="D8" t="s">
        <v>126</v>
      </c>
      <c r="E8">
        <v>1954.5219999999999</v>
      </c>
      <c r="G8" t="s">
        <v>8</v>
      </c>
      <c r="H8">
        <v>1</v>
      </c>
      <c r="I8" s="314"/>
      <c r="J8" s="314"/>
      <c r="L8" t="s">
        <v>127</v>
      </c>
      <c r="M8" t="s">
        <v>212</v>
      </c>
      <c r="N8" t="s">
        <v>230</v>
      </c>
      <c r="O8" t="s">
        <v>231</v>
      </c>
      <c r="P8" t="s">
        <v>129</v>
      </c>
    </row>
    <row r="9" spans="1:16">
      <c r="A9" t="s">
        <v>124</v>
      </c>
      <c r="B9" t="s">
        <v>102</v>
      </c>
      <c r="C9" t="s">
        <v>214</v>
      </c>
      <c r="D9" t="s">
        <v>126</v>
      </c>
      <c r="E9">
        <v>1468.6569999999999</v>
      </c>
      <c r="G9" t="s">
        <v>8</v>
      </c>
      <c r="H9">
        <v>1</v>
      </c>
      <c r="I9" s="314"/>
      <c r="J9" s="314"/>
      <c r="L9" t="s">
        <v>127</v>
      </c>
      <c r="M9" t="s">
        <v>211</v>
      </c>
      <c r="N9" t="s">
        <v>230</v>
      </c>
      <c r="O9" t="s">
        <v>231</v>
      </c>
      <c r="P9" t="s">
        <v>129</v>
      </c>
    </row>
    <row r="10" spans="1:16">
      <c r="A10" t="s">
        <v>124</v>
      </c>
      <c r="B10" t="s">
        <v>102</v>
      </c>
      <c r="C10" t="s">
        <v>180</v>
      </c>
      <c r="D10" t="s">
        <v>126</v>
      </c>
      <c r="E10">
        <v>1954.5219999999999</v>
      </c>
      <c r="G10" t="s">
        <v>8</v>
      </c>
      <c r="H10">
        <v>1</v>
      </c>
      <c r="I10" s="314"/>
      <c r="J10" s="314"/>
      <c r="L10" t="s">
        <v>127</v>
      </c>
      <c r="M10" t="s">
        <v>142</v>
      </c>
      <c r="N10" t="s">
        <v>230</v>
      </c>
      <c r="O10" t="s">
        <v>231</v>
      </c>
      <c r="P10" t="s">
        <v>129</v>
      </c>
    </row>
    <row r="11" spans="1:16">
      <c r="A11" t="s">
        <v>124</v>
      </c>
      <c r="B11" t="s">
        <v>102</v>
      </c>
      <c r="C11" t="s">
        <v>125</v>
      </c>
      <c r="D11" t="s">
        <v>126</v>
      </c>
      <c r="E11">
        <v>1468.6569999999999</v>
      </c>
      <c r="G11" t="s">
        <v>8</v>
      </c>
      <c r="H11">
        <v>1</v>
      </c>
      <c r="I11" s="314"/>
      <c r="J11" s="314"/>
      <c r="L11" t="s">
        <v>127</v>
      </c>
      <c r="M11" t="s">
        <v>128</v>
      </c>
      <c r="N11" t="s">
        <v>230</v>
      </c>
      <c r="O11" t="s">
        <v>231</v>
      </c>
      <c r="P11" t="s">
        <v>129</v>
      </c>
    </row>
    <row r="12" spans="1:16">
      <c r="A12" t="s">
        <v>124</v>
      </c>
      <c r="B12" t="s">
        <v>102</v>
      </c>
      <c r="C12" t="s">
        <v>181</v>
      </c>
      <c r="D12" t="s">
        <v>126</v>
      </c>
      <c r="E12">
        <v>1399.38</v>
      </c>
      <c r="G12" t="s">
        <v>8</v>
      </c>
      <c r="H12">
        <v>1</v>
      </c>
      <c r="I12" s="314"/>
      <c r="J12" s="314"/>
      <c r="L12" t="s">
        <v>127</v>
      </c>
      <c r="M12" t="s">
        <v>128</v>
      </c>
      <c r="N12" t="s">
        <v>230</v>
      </c>
      <c r="O12" t="s">
        <v>231</v>
      </c>
      <c r="P12" t="s">
        <v>129</v>
      </c>
    </row>
    <row r="13" spans="1:16">
      <c r="A13" t="s">
        <v>124</v>
      </c>
      <c r="B13" t="s">
        <v>102</v>
      </c>
      <c r="C13" t="s">
        <v>215</v>
      </c>
      <c r="D13" t="s">
        <v>126</v>
      </c>
      <c r="E13">
        <v>1399.38</v>
      </c>
      <c r="G13" t="s">
        <v>8</v>
      </c>
      <c r="H13">
        <v>1</v>
      </c>
      <c r="I13" s="314"/>
      <c r="J13" s="314"/>
      <c r="L13" t="s">
        <v>127</v>
      </c>
      <c r="M13" t="s">
        <v>211</v>
      </c>
      <c r="N13" t="s">
        <v>230</v>
      </c>
      <c r="O13" t="s">
        <v>231</v>
      </c>
      <c r="P13" t="s">
        <v>129</v>
      </c>
    </row>
    <row r="14" spans="1:16">
      <c r="A14" t="s">
        <v>124</v>
      </c>
      <c r="B14" t="s">
        <v>102</v>
      </c>
      <c r="C14" t="s">
        <v>182</v>
      </c>
      <c r="D14" t="s">
        <v>126</v>
      </c>
      <c r="E14">
        <v>1399.38</v>
      </c>
      <c r="G14" t="s">
        <v>8</v>
      </c>
      <c r="H14">
        <v>1</v>
      </c>
      <c r="I14" s="314"/>
      <c r="J14" s="314"/>
      <c r="L14" t="s">
        <v>127</v>
      </c>
      <c r="M14" t="s">
        <v>128</v>
      </c>
      <c r="N14" t="s">
        <v>230</v>
      </c>
      <c r="O14" t="s">
        <v>231</v>
      </c>
      <c r="P14" t="s">
        <v>129</v>
      </c>
    </row>
    <row r="15" spans="1:16">
      <c r="A15" t="s">
        <v>124</v>
      </c>
      <c r="B15" t="s">
        <v>102</v>
      </c>
      <c r="C15" t="s">
        <v>130</v>
      </c>
      <c r="D15" t="s">
        <v>126</v>
      </c>
      <c r="E15">
        <v>1537.933</v>
      </c>
      <c r="G15" t="s">
        <v>8</v>
      </c>
      <c r="H15">
        <v>1</v>
      </c>
      <c r="I15" s="314"/>
      <c r="J15" s="314"/>
      <c r="L15" t="s">
        <v>127</v>
      </c>
      <c r="M15" t="s">
        <v>128</v>
      </c>
      <c r="N15" t="s">
        <v>230</v>
      </c>
      <c r="O15" t="s">
        <v>231</v>
      </c>
      <c r="P15" t="s">
        <v>129</v>
      </c>
    </row>
    <row r="16" spans="1:16">
      <c r="A16" t="s">
        <v>124</v>
      </c>
      <c r="B16" t="s">
        <v>102</v>
      </c>
      <c r="C16" t="s">
        <v>216</v>
      </c>
      <c r="D16" t="s">
        <v>126</v>
      </c>
      <c r="E16">
        <v>1468.6569999999999</v>
      </c>
      <c r="G16" t="s">
        <v>8</v>
      </c>
      <c r="H16">
        <v>1</v>
      </c>
      <c r="I16" s="314"/>
      <c r="J16" s="314"/>
      <c r="L16" t="s">
        <v>127</v>
      </c>
      <c r="M16" t="s">
        <v>211</v>
      </c>
      <c r="N16" t="s">
        <v>230</v>
      </c>
      <c r="O16" t="s">
        <v>231</v>
      </c>
      <c r="P16" t="s">
        <v>129</v>
      </c>
    </row>
    <row r="17" spans="1:16">
      <c r="A17" t="s">
        <v>124</v>
      </c>
      <c r="B17" t="s">
        <v>102</v>
      </c>
      <c r="C17" t="s">
        <v>131</v>
      </c>
      <c r="D17" t="s">
        <v>126</v>
      </c>
      <c r="E17">
        <v>1468.6569999999999</v>
      </c>
      <c r="G17" t="s">
        <v>8</v>
      </c>
      <c r="H17">
        <v>1</v>
      </c>
      <c r="I17" s="314"/>
      <c r="J17" s="314"/>
      <c r="L17" t="s">
        <v>127</v>
      </c>
      <c r="M17" t="s">
        <v>128</v>
      </c>
      <c r="N17" t="s">
        <v>230</v>
      </c>
      <c r="O17" t="s">
        <v>231</v>
      </c>
      <c r="P17" t="s">
        <v>129</v>
      </c>
    </row>
    <row r="18" spans="1:16">
      <c r="A18" t="s">
        <v>124</v>
      </c>
      <c r="B18" t="s">
        <v>102</v>
      </c>
      <c r="C18" t="s">
        <v>217</v>
      </c>
      <c r="D18" t="s">
        <v>126</v>
      </c>
      <c r="E18">
        <v>1385.5250000000001</v>
      </c>
      <c r="G18" t="s">
        <v>8</v>
      </c>
      <c r="H18">
        <v>1</v>
      </c>
      <c r="I18" s="314"/>
      <c r="J18" s="314"/>
      <c r="L18" t="s">
        <v>127</v>
      </c>
      <c r="M18" t="s">
        <v>211</v>
      </c>
      <c r="N18" t="s">
        <v>230</v>
      </c>
      <c r="O18" t="s">
        <v>231</v>
      </c>
      <c r="P18" t="s">
        <v>129</v>
      </c>
    </row>
    <row r="19" spans="1:16">
      <c r="A19" t="s">
        <v>124</v>
      </c>
      <c r="B19" t="s">
        <v>102</v>
      </c>
      <c r="C19" t="s">
        <v>132</v>
      </c>
      <c r="D19" t="s">
        <v>126</v>
      </c>
      <c r="E19">
        <v>1385.5250000000001</v>
      </c>
      <c r="G19" t="s">
        <v>8</v>
      </c>
      <c r="H19">
        <v>1</v>
      </c>
      <c r="I19" s="314"/>
      <c r="J19" s="314"/>
      <c r="L19" t="s">
        <v>127</v>
      </c>
      <c r="M19" t="s">
        <v>128</v>
      </c>
      <c r="N19" t="s">
        <v>230</v>
      </c>
      <c r="O19" t="s">
        <v>231</v>
      </c>
      <c r="P19" t="s">
        <v>129</v>
      </c>
    </row>
    <row r="20" spans="1:16">
      <c r="A20" t="s">
        <v>124</v>
      </c>
      <c r="B20" t="s">
        <v>102</v>
      </c>
      <c r="C20" t="s">
        <v>218</v>
      </c>
      <c r="D20" t="s">
        <v>126</v>
      </c>
      <c r="E20">
        <v>1413.2360000000001</v>
      </c>
      <c r="G20" t="s">
        <v>8</v>
      </c>
      <c r="H20">
        <v>1</v>
      </c>
      <c r="I20" s="314"/>
      <c r="J20" s="314"/>
      <c r="L20" t="s">
        <v>127</v>
      </c>
      <c r="M20" t="s">
        <v>211</v>
      </c>
      <c r="N20" t="s">
        <v>230</v>
      </c>
      <c r="O20" t="s">
        <v>231</v>
      </c>
      <c r="P20" t="s">
        <v>129</v>
      </c>
    </row>
    <row r="21" spans="1:16">
      <c r="A21" t="s">
        <v>124</v>
      </c>
      <c r="B21" t="s">
        <v>102</v>
      </c>
      <c r="C21" t="s">
        <v>144</v>
      </c>
      <c r="D21" t="s">
        <v>126</v>
      </c>
      <c r="E21">
        <v>1413.2360000000001</v>
      </c>
      <c r="G21" t="s">
        <v>8</v>
      </c>
      <c r="H21">
        <v>1</v>
      </c>
      <c r="I21" s="314"/>
      <c r="J21" s="314"/>
      <c r="L21" t="s">
        <v>127</v>
      </c>
      <c r="M21" t="s">
        <v>128</v>
      </c>
      <c r="N21" t="s">
        <v>230</v>
      </c>
      <c r="O21" t="s">
        <v>231</v>
      </c>
      <c r="P21" t="s">
        <v>129</v>
      </c>
    </row>
    <row r="22" spans="1:16">
      <c r="A22" t="s">
        <v>124</v>
      </c>
      <c r="B22" t="s">
        <v>102</v>
      </c>
      <c r="C22" t="s">
        <v>219</v>
      </c>
      <c r="D22" t="s">
        <v>126</v>
      </c>
      <c r="E22">
        <v>1843.8889999999999</v>
      </c>
      <c r="G22" t="s">
        <v>8</v>
      </c>
      <c r="H22">
        <v>1</v>
      </c>
      <c r="I22" s="314"/>
      <c r="J22" s="314"/>
      <c r="L22" t="s">
        <v>127</v>
      </c>
      <c r="M22" t="s">
        <v>212</v>
      </c>
      <c r="N22" t="s">
        <v>230</v>
      </c>
      <c r="O22" t="s">
        <v>231</v>
      </c>
      <c r="P22" t="s">
        <v>129</v>
      </c>
    </row>
    <row r="23" spans="1:16">
      <c r="A23" t="s">
        <v>124</v>
      </c>
      <c r="B23" t="s">
        <v>102</v>
      </c>
      <c r="C23" t="s">
        <v>183</v>
      </c>
      <c r="D23" t="s">
        <v>126</v>
      </c>
      <c r="E23">
        <v>1843.8889999999999</v>
      </c>
      <c r="G23" t="s">
        <v>8</v>
      </c>
      <c r="H23">
        <v>1</v>
      </c>
      <c r="I23" s="314"/>
      <c r="J23" s="314"/>
      <c r="L23" t="s">
        <v>127</v>
      </c>
      <c r="M23" t="s">
        <v>142</v>
      </c>
      <c r="N23" t="s">
        <v>230</v>
      </c>
      <c r="O23" t="s">
        <v>231</v>
      </c>
      <c r="P23" t="s">
        <v>129</v>
      </c>
    </row>
    <row r="24" spans="1:16">
      <c r="A24" t="s">
        <v>124</v>
      </c>
      <c r="B24" t="s">
        <v>102</v>
      </c>
      <c r="C24" t="s">
        <v>220</v>
      </c>
      <c r="D24" t="s">
        <v>126</v>
      </c>
      <c r="E24">
        <v>1413.2360000000001</v>
      </c>
      <c r="G24" t="s">
        <v>8</v>
      </c>
      <c r="H24">
        <v>1</v>
      </c>
      <c r="I24" s="314"/>
      <c r="J24" s="314"/>
      <c r="L24" t="s">
        <v>127</v>
      </c>
      <c r="M24" t="s">
        <v>211</v>
      </c>
      <c r="N24" t="s">
        <v>230</v>
      </c>
      <c r="O24" t="s">
        <v>231</v>
      </c>
      <c r="P24" t="s">
        <v>129</v>
      </c>
    </row>
    <row r="25" spans="1:16">
      <c r="A25" t="s">
        <v>124</v>
      </c>
      <c r="B25" t="s">
        <v>102</v>
      </c>
      <c r="C25" t="s">
        <v>133</v>
      </c>
      <c r="D25" t="s">
        <v>126</v>
      </c>
      <c r="E25">
        <v>1413.2360000000001</v>
      </c>
      <c r="G25" t="s">
        <v>8</v>
      </c>
      <c r="H25">
        <v>1</v>
      </c>
      <c r="I25" s="314"/>
      <c r="J25" s="314"/>
      <c r="L25" t="s">
        <v>127</v>
      </c>
      <c r="M25" t="s">
        <v>128</v>
      </c>
      <c r="N25" t="s">
        <v>230</v>
      </c>
      <c r="O25" t="s">
        <v>231</v>
      </c>
      <c r="P25" t="s">
        <v>129</v>
      </c>
    </row>
    <row r="26" spans="1:16">
      <c r="A26" t="s">
        <v>124</v>
      </c>
      <c r="B26" t="s">
        <v>102</v>
      </c>
      <c r="C26" t="s">
        <v>184</v>
      </c>
      <c r="D26" t="s">
        <v>126</v>
      </c>
      <c r="E26">
        <v>1537.3579999999999</v>
      </c>
      <c r="G26" t="s">
        <v>8</v>
      </c>
      <c r="H26">
        <v>1</v>
      </c>
      <c r="I26" s="314"/>
      <c r="J26" s="314"/>
      <c r="L26" t="s">
        <v>127</v>
      </c>
      <c r="M26" t="s">
        <v>134</v>
      </c>
      <c r="N26" t="s">
        <v>230</v>
      </c>
      <c r="O26" t="s">
        <v>231</v>
      </c>
      <c r="P26" t="s">
        <v>135</v>
      </c>
    </row>
    <row r="27" spans="1:16">
      <c r="A27" t="s">
        <v>124</v>
      </c>
      <c r="B27" t="s">
        <v>102</v>
      </c>
      <c r="C27" t="s">
        <v>223</v>
      </c>
      <c r="D27" t="s">
        <v>126</v>
      </c>
      <c r="E27">
        <v>1673.008</v>
      </c>
      <c r="G27" t="s">
        <v>8</v>
      </c>
      <c r="H27">
        <v>1</v>
      </c>
      <c r="I27" s="314"/>
      <c r="J27" s="314"/>
      <c r="L27" t="s">
        <v>127</v>
      </c>
      <c r="M27" t="s">
        <v>221</v>
      </c>
      <c r="N27" t="s">
        <v>230</v>
      </c>
      <c r="O27" t="s">
        <v>231</v>
      </c>
      <c r="P27" t="s">
        <v>135</v>
      </c>
    </row>
    <row r="28" spans="1:16">
      <c r="A28" t="s">
        <v>124</v>
      </c>
      <c r="B28" t="s">
        <v>102</v>
      </c>
      <c r="C28" t="s">
        <v>185</v>
      </c>
      <c r="D28" t="s">
        <v>126</v>
      </c>
      <c r="E28">
        <v>1673.008</v>
      </c>
      <c r="G28" t="s">
        <v>8</v>
      </c>
      <c r="H28">
        <v>1</v>
      </c>
      <c r="I28" s="314"/>
      <c r="J28" s="314"/>
      <c r="L28" t="s">
        <v>127</v>
      </c>
      <c r="M28" t="s">
        <v>134</v>
      </c>
      <c r="N28" t="s">
        <v>230</v>
      </c>
      <c r="O28" t="s">
        <v>231</v>
      </c>
      <c r="P28" t="s">
        <v>135</v>
      </c>
    </row>
    <row r="29" spans="1:16">
      <c r="A29" t="s">
        <v>124</v>
      </c>
      <c r="B29" t="s">
        <v>102</v>
      </c>
      <c r="C29" t="s">
        <v>186</v>
      </c>
      <c r="D29" t="s">
        <v>126</v>
      </c>
      <c r="E29">
        <v>1537.3579999999999</v>
      </c>
      <c r="G29" t="s">
        <v>8</v>
      </c>
      <c r="H29">
        <v>1</v>
      </c>
      <c r="I29" s="314"/>
      <c r="J29" s="314"/>
      <c r="L29" t="s">
        <v>127</v>
      </c>
      <c r="M29" t="s">
        <v>134</v>
      </c>
      <c r="N29" t="s">
        <v>230</v>
      </c>
      <c r="O29" t="s">
        <v>231</v>
      </c>
      <c r="P29" t="s">
        <v>135</v>
      </c>
    </row>
    <row r="30" spans="1:16">
      <c r="A30" t="s">
        <v>124</v>
      </c>
      <c r="B30" t="s">
        <v>102</v>
      </c>
      <c r="C30" t="s">
        <v>224</v>
      </c>
      <c r="D30" t="s">
        <v>126</v>
      </c>
      <c r="E30">
        <v>1778.5129999999999</v>
      </c>
      <c r="G30" t="s">
        <v>8</v>
      </c>
      <c r="H30">
        <v>1</v>
      </c>
      <c r="I30" s="314"/>
      <c r="J30" s="314"/>
      <c r="L30" t="s">
        <v>127</v>
      </c>
      <c r="M30" t="s">
        <v>221</v>
      </c>
      <c r="N30" t="s">
        <v>230</v>
      </c>
      <c r="O30" t="s">
        <v>231</v>
      </c>
      <c r="P30" t="s">
        <v>135</v>
      </c>
    </row>
    <row r="31" spans="1:16">
      <c r="A31" t="s">
        <v>124</v>
      </c>
      <c r="B31" t="s">
        <v>102</v>
      </c>
      <c r="C31" t="s">
        <v>187</v>
      </c>
      <c r="D31" t="s">
        <v>126</v>
      </c>
      <c r="E31">
        <v>1778.5129999999999</v>
      </c>
      <c r="G31" t="s">
        <v>8</v>
      </c>
      <c r="H31">
        <v>1</v>
      </c>
      <c r="I31" s="314"/>
      <c r="J31" s="314"/>
      <c r="L31" t="s">
        <v>127</v>
      </c>
      <c r="M31" t="s">
        <v>134</v>
      </c>
      <c r="N31" t="s">
        <v>230</v>
      </c>
      <c r="O31" t="s">
        <v>231</v>
      </c>
      <c r="P31" t="s">
        <v>135</v>
      </c>
    </row>
    <row r="32" spans="1:16">
      <c r="A32" t="s">
        <v>124</v>
      </c>
      <c r="B32" t="s">
        <v>102</v>
      </c>
      <c r="C32" t="s">
        <v>225</v>
      </c>
      <c r="D32" t="s">
        <v>126</v>
      </c>
      <c r="E32">
        <v>1673.008</v>
      </c>
      <c r="G32" t="s">
        <v>8</v>
      </c>
      <c r="H32">
        <v>1</v>
      </c>
      <c r="I32" s="314"/>
      <c r="J32" s="314"/>
      <c r="L32" t="s">
        <v>127</v>
      </c>
      <c r="M32" t="s">
        <v>221</v>
      </c>
      <c r="N32" t="s">
        <v>230</v>
      </c>
      <c r="O32" t="s">
        <v>231</v>
      </c>
      <c r="P32" t="s">
        <v>135</v>
      </c>
    </row>
    <row r="33" spans="1:16">
      <c r="A33" t="s">
        <v>124</v>
      </c>
      <c r="B33" t="s">
        <v>102</v>
      </c>
      <c r="C33" t="s">
        <v>188</v>
      </c>
      <c r="D33" t="s">
        <v>126</v>
      </c>
      <c r="E33">
        <v>1673.008</v>
      </c>
      <c r="G33" t="s">
        <v>8</v>
      </c>
      <c r="H33">
        <v>1</v>
      </c>
      <c r="I33" s="314"/>
      <c r="J33" s="314"/>
      <c r="L33" t="s">
        <v>127</v>
      </c>
      <c r="M33" t="s">
        <v>134</v>
      </c>
      <c r="N33" t="s">
        <v>230</v>
      </c>
      <c r="O33" t="s">
        <v>231</v>
      </c>
      <c r="P33" t="s">
        <v>135</v>
      </c>
    </row>
    <row r="34" spans="1:16">
      <c r="A34" t="s">
        <v>124</v>
      </c>
      <c r="B34" t="s">
        <v>102</v>
      </c>
      <c r="C34" t="s">
        <v>189</v>
      </c>
      <c r="D34" t="s">
        <v>126</v>
      </c>
      <c r="E34">
        <v>1522.2860000000001</v>
      </c>
      <c r="G34" t="s">
        <v>8</v>
      </c>
      <c r="H34">
        <v>1</v>
      </c>
      <c r="I34" s="314"/>
      <c r="J34" s="314"/>
      <c r="L34" t="s">
        <v>127</v>
      </c>
      <c r="M34" t="s">
        <v>134</v>
      </c>
      <c r="N34" t="s">
        <v>230</v>
      </c>
      <c r="O34" t="s">
        <v>231</v>
      </c>
      <c r="P34" t="s">
        <v>135</v>
      </c>
    </row>
    <row r="35" spans="1:16">
      <c r="A35" t="s">
        <v>124</v>
      </c>
      <c r="B35" t="s">
        <v>102</v>
      </c>
      <c r="C35" t="s">
        <v>226</v>
      </c>
      <c r="D35" t="s">
        <v>126</v>
      </c>
      <c r="E35">
        <v>1673.008</v>
      </c>
      <c r="G35" t="s">
        <v>8</v>
      </c>
      <c r="H35">
        <v>1</v>
      </c>
      <c r="I35" s="314"/>
      <c r="J35" s="314"/>
      <c r="L35" t="s">
        <v>127</v>
      </c>
      <c r="M35" t="s">
        <v>221</v>
      </c>
      <c r="N35" t="s">
        <v>230</v>
      </c>
      <c r="O35" t="s">
        <v>231</v>
      </c>
      <c r="P35" t="s">
        <v>135</v>
      </c>
    </row>
    <row r="36" spans="1:16">
      <c r="A36" t="s">
        <v>124</v>
      </c>
      <c r="B36" t="s">
        <v>102</v>
      </c>
      <c r="C36" t="s">
        <v>136</v>
      </c>
      <c r="D36" t="s">
        <v>126</v>
      </c>
      <c r="E36">
        <v>1673.008</v>
      </c>
      <c r="G36" t="s">
        <v>8</v>
      </c>
      <c r="H36">
        <v>1</v>
      </c>
      <c r="I36" s="314"/>
      <c r="J36" s="314"/>
      <c r="L36" t="s">
        <v>127</v>
      </c>
      <c r="M36" t="s">
        <v>134</v>
      </c>
      <c r="N36" t="s">
        <v>230</v>
      </c>
      <c r="O36" t="s">
        <v>231</v>
      </c>
      <c r="P36" t="s">
        <v>135</v>
      </c>
    </row>
    <row r="37" spans="1:16">
      <c r="A37" t="s">
        <v>124</v>
      </c>
      <c r="B37" t="s">
        <v>102</v>
      </c>
      <c r="C37" t="s">
        <v>190</v>
      </c>
      <c r="D37" t="s">
        <v>126</v>
      </c>
      <c r="E37">
        <v>1567.5029999999999</v>
      </c>
      <c r="G37" t="s">
        <v>8</v>
      </c>
      <c r="H37">
        <v>1</v>
      </c>
      <c r="I37" s="314"/>
      <c r="J37" s="314"/>
      <c r="L37" t="s">
        <v>127</v>
      </c>
      <c r="M37" t="s">
        <v>134</v>
      </c>
      <c r="N37" t="s">
        <v>230</v>
      </c>
      <c r="O37" t="s">
        <v>231</v>
      </c>
      <c r="P37" t="s">
        <v>135</v>
      </c>
    </row>
    <row r="38" spans="1:16">
      <c r="A38" t="s">
        <v>124</v>
      </c>
      <c r="B38" t="s">
        <v>102</v>
      </c>
      <c r="C38" t="s">
        <v>227</v>
      </c>
      <c r="D38" t="s">
        <v>126</v>
      </c>
      <c r="E38">
        <v>1477.07</v>
      </c>
      <c r="G38" t="s">
        <v>8</v>
      </c>
      <c r="H38">
        <v>1</v>
      </c>
      <c r="I38" s="314"/>
      <c r="J38" s="314"/>
      <c r="L38" t="s">
        <v>127</v>
      </c>
      <c r="M38" t="s">
        <v>221</v>
      </c>
      <c r="N38" t="s">
        <v>230</v>
      </c>
      <c r="O38" t="s">
        <v>231</v>
      </c>
      <c r="P38" t="s">
        <v>135</v>
      </c>
    </row>
    <row r="39" spans="1:16">
      <c r="A39" t="s">
        <v>124</v>
      </c>
      <c r="B39" t="s">
        <v>102</v>
      </c>
      <c r="C39" t="s">
        <v>138</v>
      </c>
      <c r="D39" t="s">
        <v>126</v>
      </c>
      <c r="E39">
        <v>1477.07</v>
      </c>
      <c r="G39" t="s">
        <v>8</v>
      </c>
      <c r="H39">
        <v>1</v>
      </c>
      <c r="I39" s="314"/>
      <c r="J39" s="314"/>
      <c r="L39" t="s">
        <v>127</v>
      </c>
      <c r="M39" t="s">
        <v>134</v>
      </c>
      <c r="N39" t="s">
        <v>230</v>
      </c>
      <c r="O39" t="s">
        <v>231</v>
      </c>
      <c r="P39" t="s">
        <v>135</v>
      </c>
    </row>
    <row r="40" spans="1:16">
      <c r="A40" t="s">
        <v>124</v>
      </c>
      <c r="B40" t="s">
        <v>102</v>
      </c>
      <c r="C40" t="s">
        <v>228</v>
      </c>
      <c r="D40" t="s">
        <v>126</v>
      </c>
      <c r="E40">
        <v>2917.6660000000002</v>
      </c>
      <c r="G40" t="s">
        <v>8</v>
      </c>
      <c r="H40">
        <v>1</v>
      </c>
      <c r="I40" s="314"/>
      <c r="J40" s="314"/>
      <c r="L40" t="s">
        <v>127</v>
      </c>
      <c r="M40" t="s">
        <v>222</v>
      </c>
      <c r="N40" t="s">
        <v>230</v>
      </c>
      <c r="O40" t="s">
        <v>231</v>
      </c>
      <c r="P40" t="s">
        <v>135</v>
      </c>
    </row>
    <row r="41" spans="1:16">
      <c r="A41" t="s">
        <v>124</v>
      </c>
      <c r="B41" t="s">
        <v>102</v>
      </c>
      <c r="C41" t="s">
        <v>191</v>
      </c>
      <c r="D41" t="s">
        <v>126</v>
      </c>
      <c r="E41">
        <v>2917.6660000000002</v>
      </c>
      <c r="G41" t="s">
        <v>8</v>
      </c>
      <c r="H41">
        <v>1</v>
      </c>
      <c r="I41" s="314"/>
      <c r="J41" s="314"/>
      <c r="L41" t="s">
        <v>127</v>
      </c>
      <c r="M41" t="s">
        <v>137</v>
      </c>
      <c r="N41" t="s">
        <v>230</v>
      </c>
      <c r="O41" t="s">
        <v>231</v>
      </c>
      <c r="P41" t="s">
        <v>135</v>
      </c>
    </row>
    <row r="42" spans="1:16">
      <c r="A42" t="s">
        <v>124</v>
      </c>
      <c r="B42" t="s">
        <v>102</v>
      </c>
      <c r="C42" t="s">
        <v>229</v>
      </c>
      <c r="D42" t="s">
        <v>126</v>
      </c>
      <c r="E42">
        <v>1567.5029999999999</v>
      </c>
      <c r="G42" t="s">
        <v>8</v>
      </c>
      <c r="H42">
        <v>1</v>
      </c>
      <c r="I42" s="314"/>
      <c r="J42" s="314"/>
      <c r="L42" t="s">
        <v>127</v>
      </c>
      <c r="M42" t="s">
        <v>221</v>
      </c>
      <c r="N42" t="s">
        <v>230</v>
      </c>
      <c r="O42" t="s">
        <v>231</v>
      </c>
      <c r="P42" t="s">
        <v>135</v>
      </c>
    </row>
    <row r="43" spans="1:16">
      <c r="A43" t="s">
        <v>124</v>
      </c>
      <c r="B43" t="s">
        <v>102</v>
      </c>
      <c r="C43" t="s">
        <v>192</v>
      </c>
      <c r="D43" t="s">
        <v>126</v>
      </c>
      <c r="E43">
        <v>1567.5029999999999</v>
      </c>
      <c r="G43" t="s">
        <v>8</v>
      </c>
      <c r="H43">
        <v>1</v>
      </c>
      <c r="I43" s="314"/>
      <c r="J43" s="314"/>
      <c r="L43" t="s">
        <v>127</v>
      </c>
      <c r="M43" t="s">
        <v>134</v>
      </c>
      <c r="N43" t="s">
        <v>230</v>
      </c>
      <c r="O43" t="s">
        <v>231</v>
      </c>
      <c r="P43" t="s">
        <v>135</v>
      </c>
    </row>
    <row r="44" spans="1:16">
      <c r="I44" s="314"/>
      <c r="J44" s="314"/>
    </row>
    <row r="46" spans="1:16">
      <c r="A46" s="147" t="s">
        <v>86</v>
      </c>
      <c r="B46" s="147" t="s">
        <v>87</v>
      </c>
      <c r="C46" s="147" t="s">
        <v>88</v>
      </c>
      <c r="D46" s="147" t="s">
        <v>89</v>
      </c>
      <c r="E46" s="147" t="s">
        <v>90</v>
      </c>
      <c r="F46" s="147" t="s">
        <v>91</v>
      </c>
      <c r="G46" s="147" t="s">
        <v>92</v>
      </c>
      <c r="H46" s="147" t="s">
        <v>93</v>
      </c>
      <c r="I46" s="147" t="s">
        <v>94</v>
      </c>
      <c r="J46" s="147" t="s">
        <v>95</v>
      </c>
      <c r="K46" s="147" t="s">
        <v>96</v>
      </c>
      <c r="L46" s="147" t="s">
        <v>97</v>
      </c>
      <c r="M46" s="147" t="s">
        <v>98</v>
      </c>
      <c r="N46" s="147" t="s">
        <v>99</v>
      </c>
      <c r="O46" s="147" t="s">
        <v>100</v>
      </c>
      <c r="P46" s="147" t="s">
        <v>101</v>
      </c>
    </row>
    <row r="47" spans="1:16">
      <c r="A47" t="s">
        <v>124</v>
      </c>
      <c r="B47" t="s">
        <v>102</v>
      </c>
      <c r="C47" t="s">
        <v>207</v>
      </c>
      <c r="D47" t="s">
        <v>122</v>
      </c>
      <c r="E47">
        <v>53.981899490000004</v>
      </c>
      <c r="G47" t="s">
        <v>139</v>
      </c>
      <c r="H47">
        <v>1</v>
      </c>
      <c r="I47" s="314"/>
      <c r="J47" s="314"/>
      <c r="L47" t="s">
        <v>127</v>
      </c>
      <c r="M47" t="s">
        <v>103</v>
      </c>
      <c r="N47" t="s">
        <v>230</v>
      </c>
      <c r="O47" t="s">
        <v>232</v>
      </c>
      <c r="P47" t="s">
        <v>149</v>
      </c>
    </row>
    <row r="48" spans="1:16">
      <c r="A48" t="s">
        <v>124</v>
      </c>
      <c r="B48" t="s">
        <v>102</v>
      </c>
      <c r="C48" t="s">
        <v>208</v>
      </c>
      <c r="D48" t="s">
        <v>122</v>
      </c>
      <c r="E48">
        <v>46.81083701</v>
      </c>
      <c r="G48" t="s">
        <v>139</v>
      </c>
      <c r="H48">
        <v>1</v>
      </c>
      <c r="I48" s="314"/>
      <c r="J48" s="314"/>
      <c r="L48" t="s">
        <v>127</v>
      </c>
      <c r="M48" t="s">
        <v>103</v>
      </c>
      <c r="N48" t="s">
        <v>230</v>
      </c>
      <c r="O48" t="s">
        <v>232</v>
      </c>
      <c r="P48" t="s">
        <v>149</v>
      </c>
    </row>
    <row r="49" spans="1:16">
      <c r="A49" t="s">
        <v>124</v>
      </c>
      <c r="B49" t="s">
        <v>102</v>
      </c>
      <c r="C49" t="s">
        <v>209</v>
      </c>
      <c r="D49" t="s">
        <v>122</v>
      </c>
      <c r="E49">
        <v>53.981899490000004</v>
      </c>
      <c r="G49" t="s">
        <v>139</v>
      </c>
      <c r="H49">
        <v>1</v>
      </c>
      <c r="I49" s="314"/>
      <c r="J49" s="314"/>
      <c r="L49" t="s">
        <v>127</v>
      </c>
      <c r="M49" t="s">
        <v>103</v>
      </c>
      <c r="N49" t="s">
        <v>230</v>
      </c>
      <c r="O49" t="s">
        <v>232</v>
      </c>
      <c r="P49" t="s">
        <v>149</v>
      </c>
    </row>
    <row r="50" spans="1:16">
      <c r="A50" t="s">
        <v>124</v>
      </c>
      <c r="B50" t="s">
        <v>102</v>
      </c>
      <c r="C50" t="s">
        <v>148</v>
      </c>
      <c r="D50" t="s">
        <v>122</v>
      </c>
      <c r="E50">
        <v>55.506711029999998</v>
      </c>
      <c r="G50" t="s">
        <v>139</v>
      </c>
      <c r="H50">
        <v>1</v>
      </c>
      <c r="I50" s="314"/>
      <c r="J50" s="314"/>
      <c r="L50" t="s">
        <v>127</v>
      </c>
      <c r="M50" t="s">
        <v>103</v>
      </c>
      <c r="N50" t="s">
        <v>230</v>
      </c>
      <c r="O50" t="s">
        <v>232</v>
      </c>
      <c r="P50" t="s">
        <v>149</v>
      </c>
    </row>
    <row r="51" spans="1:16">
      <c r="A51" t="s">
        <v>124</v>
      </c>
      <c r="B51" t="s">
        <v>102</v>
      </c>
      <c r="C51" t="s">
        <v>210</v>
      </c>
      <c r="D51" t="s">
        <v>122</v>
      </c>
      <c r="E51">
        <v>55.506711029999998</v>
      </c>
      <c r="G51" t="s">
        <v>139</v>
      </c>
      <c r="H51">
        <v>1</v>
      </c>
      <c r="I51" s="314"/>
      <c r="J51" s="314"/>
      <c r="L51" t="s">
        <v>127</v>
      </c>
      <c r="M51" t="s">
        <v>103</v>
      </c>
      <c r="N51" t="s">
        <v>230</v>
      </c>
      <c r="O51" t="s">
        <v>232</v>
      </c>
      <c r="P51" t="s">
        <v>149</v>
      </c>
    </row>
    <row r="52" spans="1:16">
      <c r="A52" t="s">
        <v>124</v>
      </c>
      <c r="B52" t="s">
        <v>102</v>
      </c>
      <c r="C52" t="s">
        <v>179</v>
      </c>
      <c r="D52" t="s">
        <v>122</v>
      </c>
      <c r="E52">
        <v>21.84</v>
      </c>
      <c r="G52" t="s">
        <v>139</v>
      </c>
      <c r="H52">
        <v>1</v>
      </c>
      <c r="I52" s="314"/>
      <c r="J52" s="314"/>
      <c r="L52" t="s">
        <v>127</v>
      </c>
      <c r="M52" t="s">
        <v>103</v>
      </c>
      <c r="N52" t="s">
        <v>230</v>
      </c>
      <c r="O52" t="s">
        <v>232</v>
      </c>
      <c r="P52" t="s">
        <v>129</v>
      </c>
    </row>
    <row r="53" spans="1:16">
      <c r="A53" t="s">
        <v>124</v>
      </c>
      <c r="B53" t="s">
        <v>102</v>
      </c>
      <c r="C53" t="s">
        <v>213</v>
      </c>
      <c r="D53" t="s">
        <v>122</v>
      </c>
      <c r="E53">
        <v>18.998000000000001</v>
      </c>
      <c r="G53" t="s">
        <v>139</v>
      </c>
      <c r="H53">
        <v>1</v>
      </c>
      <c r="I53" s="314"/>
      <c r="J53" s="314"/>
      <c r="L53" t="s">
        <v>127</v>
      </c>
      <c r="M53" t="s">
        <v>103</v>
      </c>
      <c r="N53" t="s">
        <v>230</v>
      </c>
      <c r="O53" t="s">
        <v>232</v>
      </c>
      <c r="P53" t="s">
        <v>129</v>
      </c>
    </row>
    <row r="54" spans="1:16">
      <c r="A54" t="s">
        <v>124</v>
      </c>
      <c r="B54" t="s">
        <v>102</v>
      </c>
      <c r="C54" t="s">
        <v>214</v>
      </c>
      <c r="D54" t="s">
        <v>122</v>
      </c>
      <c r="E54">
        <v>21.84</v>
      </c>
      <c r="G54" t="s">
        <v>139</v>
      </c>
      <c r="H54">
        <v>1</v>
      </c>
      <c r="I54" s="314"/>
      <c r="J54" s="314"/>
      <c r="L54" t="s">
        <v>127</v>
      </c>
      <c r="M54" t="s">
        <v>103</v>
      </c>
      <c r="N54" t="s">
        <v>230</v>
      </c>
      <c r="O54" t="s">
        <v>232</v>
      </c>
      <c r="P54" t="s">
        <v>129</v>
      </c>
    </row>
    <row r="55" spans="1:16">
      <c r="A55" t="s">
        <v>124</v>
      </c>
      <c r="B55" t="s">
        <v>102</v>
      </c>
      <c r="C55" t="s">
        <v>180</v>
      </c>
      <c r="D55" t="s">
        <v>122</v>
      </c>
      <c r="E55">
        <v>18.998000000000001</v>
      </c>
      <c r="G55" t="s">
        <v>139</v>
      </c>
      <c r="H55">
        <v>1</v>
      </c>
      <c r="I55" s="314"/>
      <c r="J55" s="314"/>
      <c r="L55" t="s">
        <v>127</v>
      </c>
      <c r="M55" t="s">
        <v>103</v>
      </c>
      <c r="N55" t="s">
        <v>230</v>
      </c>
      <c r="O55" t="s">
        <v>232</v>
      </c>
      <c r="P55" t="s">
        <v>129</v>
      </c>
    </row>
    <row r="56" spans="1:16">
      <c r="A56" t="s">
        <v>124</v>
      </c>
      <c r="B56" t="s">
        <v>102</v>
      </c>
      <c r="C56" t="s">
        <v>125</v>
      </c>
      <c r="D56" t="s">
        <v>122</v>
      </c>
      <c r="E56">
        <v>21.84</v>
      </c>
      <c r="G56" t="s">
        <v>139</v>
      </c>
      <c r="H56">
        <v>1</v>
      </c>
      <c r="I56" s="314"/>
      <c r="J56" s="314"/>
      <c r="L56" t="s">
        <v>127</v>
      </c>
      <c r="M56" t="s">
        <v>103</v>
      </c>
      <c r="N56" t="s">
        <v>230</v>
      </c>
      <c r="O56" t="s">
        <v>232</v>
      </c>
      <c r="P56" t="s">
        <v>129</v>
      </c>
    </row>
    <row r="57" spans="1:16">
      <c r="A57" t="s">
        <v>124</v>
      </c>
      <c r="B57" t="s">
        <v>102</v>
      </c>
      <c r="C57" t="s">
        <v>181</v>
      </c>
      <c r="D57" t="s">
        <v>122</v>
      </c>
      <c r="E57">
        <v>21.84</v>
      </c>
      <c r="G57" t="s">
        <v>139</v>
      </c>
      <c r="H57">
        <v>1</v>
      </c>
      <c r="I57" s="314"/>
      <c r="J57" s="314"/>
      <c r="L57" t="s">
        <v>127</v>
      </c>
      <c r="M57" t="s">
        <v>103</v>
      </c>
      <c r="N57" t="s">
        <v>230</v>
      </c>
      <c r="O57" t="s">
        <v>232</v>
      </c>
      <c r="P57" t="s">
        <v>129</v>
      </c>
    </row>
    <row r="58" spans="1:16">
      <c r="A58" t="s">
        <v>124</v>
      </c>
      <c r="B58" t="s">
        <v>102</v>
      </c>
      <c r="C58" t="s">
        <v>215</v>
      </c>
      <c r="D58" t="s">
        <v>122</v>
      </c>
      <c r="E58">
        <v>21.84</v>
      </c>
      <c r="G58" t="s">
        <v>139</v>
      </c>
      <c r="H58">
        <v>1</v>
      </c>
      <c r="I58" s="314"/>
      <c r="J58" s="314"/>
      <c r="L58" t="s">
        <v>127</v>
      </c>
      <c r="M58" t="s">
        <v>103</v>
      </c>
      <c r="N58" t="s">
        <v>230</v>
      </c>
      <c r="O58" t="s">
        <v>232</v>
      </c>
      <c r="P58" t="s">
        <v>129</v>
      </c>
    </row>
    <row r="59" spans="1:16">
      <c r="A59" t="s">
        <v>124</v>
      </c>
      <c r="B59" t="s">
        <v>102</v>
      </c>
      <c r="C59" t="s">
        <v>182</v>
      </c>
      <c r="D59" t="s">
        <v>122</v>
      </c>
      <c r="E59">
        <v>21.84</v>
      </c>
      <c r="G59" t="s">
        <v>139</v>
      </c>
      <c r="H59">
        <v>1</v>
      </c>
      <c r="I59" s="314"/>
      <c r="J59" s="314"/>
      <c r="L59" t="s">
        <v>127</v>
      </c>
      <c r="M59" t="s">
        <v>103</v>
      </c>
      <c r="N59" t="s">
        <v>230</v>
      </c>
      <c r="O59" t="s">
        <v>232</v>
      </c>
      <c r="P59" t="s">
        <v>129</v>
      </c>
    </row>
    <row r="60" spans="1:16">
      <c r="A60" t="s">
        <v>124</v>
      </c>
      <c r="B60" t="s">
        <v>102</v>
      </c>
      <c r="C60" t="s">
        <v>130</v>
      </c>
      <c r="D60" t="s">
        <v>122</v>
      </c>
      <c r="E60">
        <v>21.84</v>
      </c>
      <c r="G60" t="s">
        <v>139</v>
      </c>
      <c r="H60">
        <v>1</v>
      </c>
      <c r="I60" s="314"/>
      <c r="J60" s="314"/>
      <c r="L60" t="s">
        <v>127</v>
      </c>
      <c r="M60" t="s">
        <v>103</v>
      </c>
      <c r="N60" t="s">
        <v>230</v>
      </c>
      <c r="O60" t="s">
        <v>232</v>
      </c>
      <c r="P60" t="s">
        <v>129</v>
      </c>
    </row>
    <row r="61" spans="1:16">
      <c r="A61" t="s">
        <v>124</v>
      </c>
      <c r="B61" t="s">
        <v>102</v>
      </c>
      <c r="C61" t="s">
        <v>216</v>
      </c>
      <c r="D61" t="s">
        <v>122</v>
      </c>
      <c r="E61">
        <v>21.84</v>
      </c>
      <c r="G61" t="s">
        <v>139</v>
      </c>
      <c r="H61">
        <v>1</v>
      </c>
      <c r="I61" s="314"/>
      <c r="J61" s="314"/>
      <c r="L61" t="s">
        <v>127</v>
      </c>
      <c r="M61" t="s">
        <v>103</v>
      </c>
      <c r="N61" t="s">
        <v>230</v>
      </c>
      <c r="O61" t="s">
        <v>232</v>
      </c>
      <c r="P61" t="s">
        <v>129</v>
      </c>
    </row>
    <row r="62" spans="1:16">
      <c r="A62" t="s">
        <v>124</v>
      </c>
      <c r="B62" t="s">
        <v>102</v>
      </c>
      <c r="C62" t="s">
        <v>131</v>
      </c>
      <c r="D62" t="s">
        <v>122</v>
      </c>
      <c r="E62">
        <v>21.84</v>
      </c>
      <c r="G62" t="s">
        <v>139</v>
      </c>
      <c r="H62">
        <v>1</v>
      </c>
      <c r="I62" s="314"/>
      <c r="J62" s="314"/>
      <c r="L62" t="s">
        <v>127</v>
      </c>
      <c r="M62" t="s">
        <v>103</v>
      </c>
      <c r="N62" t="s">
        <v>230</v>
      </c>
      <c r="O62" t="s">
        <v>232</v>
      </c>
      <c r="P62" t="s">
        <v>129</v>
      </c>
    </row>
    <row r="63" spans="1:16">
      <c r="A63" t="s">
        <v>124</v>
      </c>
      <c r="B63" t="s">
        <v>102</v>
      </c>
      <c r="C63" t="s">
        <v>217</v>
      </c>
      <c r="D63" t="s">
        <v>122</v>
      </c>
      <c r="E63">
        <v>22.89</v>
      </c>
      <c r="G63" t="s">
        <v>139</v>
      </c>
      <c r="H63">
        <v>1</v>
      </c>
      <c r="I63" s="314"/>
      <c r="J63" s="314"/>
      <c r="L63" t="s">
        <v>127</v>
      </c>
      <c r="M63" t="s">
        <v>103</v>
      </c>
      <c r="N63" t="s">
        <v>230</v>
      </c>
      <c r="O63" t="s">
        <v>232</v>
      </c>
      <c r="P63" t="s">
        <v>129</v>
      </c>
    </row>
    <row r="64" spans="1:16">
      <c r="A64" t="s">
        <v>124</v>
      </c>
      <c r="B64" t="s">
        <v>102</v>
      </c>
      <c r="C64" t="s">
        <v>132</v>
      </c>
      <c r="D64" t="s">
        <v>122</v>
      </c>
      <c r="E64">
        <v>22.89</v>
      </c>
      <c r="G64" t="s">
        <v>139</v>
      </c>
      <c r="H64">
        <v>1</v>
      </c>
      <c r="I64" s="314"/>
      <c r="J64" s="314"/>
      <c r="L64" t="s">
        <v>127</v>
      </c>
      <c r="M64" t="s">
        <v>103</v>
      </c>
      <c r="N64" t="s">
        <v>230</v>
      </c>
      <c r="O64" t="s">
        <v>232</v>
      </c>
      <c r="P64" t="s">
        <v>129</v>
      </c>
    </row>
    <row r="65" spans="1:16">
      <c r="A65" t="s">
        <v>124</v>
      </c>
      <c r="B65" t="s">
        <v>102</v>
      </c>
      <c r="C65" t="s">
        <v>218</v>
      </c>
      <c r="D65" t="s">
        <v>122</v>
      </c>
      <c r="E65">
        <v>21.84</v>
      </c>
      <c r="G65" t="s">
        <v>139</v>
      </c>
      <c r="H65">
        <v>1</v>
      </c>
      <c r="I65" s="314"/>
      <c r="J65" s="314"/>
      <c r="L65" t="s">
        <v>127</v>
      </c>
      <c r="M65" t="s">
        <v>103</v>
      </c>
      <c r="N65" t="s">
        <v>230</v>
      </c>
      <c r="O65" t="s">
        <v>232</v>
      </c>
      <c r="P65" t="s">
        <v>129</v>
      </c>
    </row>
    <row r="66" spans="1:16">
      <c r="A66" t="s">
        <v>124</v>
      </c>
      <c r="B66" t="s">
        <v>102</v>
      </c>
      <c r="C66" t="s">
        <v>144</v>
      </c>
      <c r="D66" t="s">
        <v>122</v>
      </c>
      <c r="E66">
        <v>21.84</v>
      </c>
      <c r="G66" t="s">
        <v>139</v>
      </c>
      <c r="H66">
        <v>1</v>
      </c>
      <c r="I66" s="314"/>
      <c r="J66" s="314"/>
      <c r="L66" t="s">
        <v>127</v>
      </c>
      <c r="M66" t="s">
        <v>103</v>
      </c>
      <c r="N66" t="s">
        <v>230</v>
      </c>
      <c r="O66" t="s">
        <v>232</v>
      </c>
      <c r="P66" t="s">
        <v>129</v>
      </c>
    </row>
    <row r="67" spans="1:16">
      <c r="A67" t="s">
        <v>124</v>
      </c>
      <c r="B67" t="s">
        <v>102</v>
      </c>
      <c r="C67" t="s">
        <v>219</v>
      </c>
      <c r="D67" t="s">
        <v>122</v>
      </c>
      <c r="E67">
        <v>18.998000000000001</v>
      </c>
      <c r="G67" t="s">
        <v>139</v>
      </c>
      <c r="H67">
        <v>1</v>
      </c>
      <c r="I67" s="314"/>
      <c r="J67" s="314"/>
      <c r="L67" t="s">
        <v>127</v>
      </c>
      <c r="M67" t="s">
        <v>103</v>
      </c>
      <c r="N67" t="s">
        <v>230</v>
      </c>
      <c r="O67" t="s">
        <v>232</v>
      </c>
      <c r="P67" t="s">
        <v>129</v>
      </c>
    </row>
    <row r="68" spans="1:16">
      <c r="A68" t="s">
        <v>124</v>
      </c>
      <c r="B68" t="s">
        <v>102</v>
      </c>
      <c r="C68" t="s">
        <v>183</v>
      </c>
      <c r="D68" t="s">
        <v>122</v>
      </c>
      <c r="E68">
        <v>18.998000000000001</v>
      </c>
      <c r="G68" t="s">
        <v>139</v>
      </c>
      <c r="H68">
        <v>1</v>
      </c>
      <c r="I68" s="314"/>
      <c r="J68" s="314"/>
      <c r="L68" t="s">
        <v>127</v>
      </c>
      <c r="M68" t="s">
        <v>103</v>
      </c>
      <c r="N68" t="s">
        <v>230</v>
      </c>
      <c r="O68" t="s">
        <v>232</v>
      </c>
      <c r="P68" t="s">
        <v>129</v>
      </c>
    </row>
    <row r="69" spans="1:16">
      <c r="A69" t="s">
        <v>124</v>
      </c>
      <c r="B69" t="s">
        <v>102</v>
      </c>
      <c r="C69" t="s">
        <v>220</v>
      </c>
      <c r="D69" t="s">
        <v>122</v>
      </c>
      <c r="E69">
        <v>21.84</v>
      </c>
      <c r="G69" t="s">
        <v>139</v>
      </c>
      <c r="H69">
        <v>1</v>
      </c>
      <c r="I69" s="314"/>
      <c r="J69" s="314"/>
      <c r="L69" t="s">
        <v>127</v>
      </c>
      <c r="M69" t="s">
        <v>103</v>
      </c>
      <c r="N69" t="s">
        <v>230</v>
      </c>
      <c r="O69" t="s">
        <v>232</v>
      </c>
      <c r="P69" t="s">
        <v>129</v>
      </c>
    </row>
    <row r="70" spans="1:16">
      <c r="A70" t="s">
        <v>124</v>
      </c>
      <c r="B70" t="s">
        <v>102</v>
      </c>
      <c r="C70" t="s">
        <v>133</v>
      </c>
      <c r="D70" t="s">
        <v>122</v>
      </c>
      <c r="E70">
        <v>21.84</v>
      </c>
      <c r="G70" t="s">
        <v>139</v>
      </c>
      <c r="H70">
        <v>1</v>
      </c>
      <c r="I70" s="314"/>
      <c r="J70" s="314"/>
      <c r="L70" t="s">
        <v>127</v>
      </c>
      <c r="M70" t="s">
        <v>103</v>
      </c>
      <c r="N70" t="s">
        <v>230</v>
      </c>
      <c r="O70" t="s">
        <v>232</v>
      </c>
      <c r="P70" t="s">
        <v>129</v>
      </c>
    </row>
    <row r="71" spans="1:16">
      <c r="A71" t="s">
        <v>124</v>
      </c>
      <c r="B71" t="s">
        <v>102</v>
      </c>
      <c r="C71" t="s">
        <v>184</v>
      </c>
      <c r="D71" t="s">
        <v>122</v>
      </c>
      <c r="E71">
        <v>34.774000000000001</v>
      </c>
      <c r="G71" t="s">
        <v>139</v>
      </c>
      <c r="H71">
        <v>1</v>
      </c>
      <c r="I71" s="314"/>
      <c r="J71" s="314"/>
      <c r="L71" t="s">
        <v>127</v>
      </c>
      <c r="M71" t="s">
        <v>103</v>
      </c>
      <c r="N71" t="s">
        <v>230</v>
      </c>
      <c r="O71" t="s">
        <v>232</v>
      </c>
      <c r="P71" t="s">
        <v>135</v>
      </c>
    </row>
    <row r="72" spans="1:16">
      <c r="A72" t="s">
        <v>124</v>
      </c>
      <c r="B72" t="s">
        <v>102</v>
      </c>
      <c r="C72" t="s">
        <v>223</v>
      </c>
      <c r="D72" t="s">
        <v>122</v>
      </c>
      <c r="E72">
        <v>34.774000000000001</v>
      </c>
      <c r="G72" t="s">
        <v>139</v>
      </c>
      <c r="H72">
        <v>1</v>
      </c>
      <c r="I72" s="314"/>
      <c r="J72" s="314"/>
      <c r="L72" t="s">
        <v>127</v>
      </c>
      <c r="M72" t="s">
        <v>103</v>
      </c>
      <c r="N72" t="s">
        <v>230</v>
      </c>
      <c r="O72" t="s">
        <v>232</v>
      </c>
      <c r="P72" t="s">
        <v>135</v>
      </c>
    </row>
    <row r="73" spans="1:16">
      <c r="A73" t="s">
        <v>124</v>
      </c>
      <c r="B73" t="s">
        <v>102</v>
      </c>
      <c r="C73" t="s">
        <v>185</v>
      </c>
      <c r="D73" t="s">
        <v>122</v>
      </c>
      <c r="E73">
        <v>34.774000000000001</v>
      </c>
      <c r="G73" t="s">
        <v>139</v>
      </c>
      <c r="H73">
        <v>1</v>
      </c>
      <c r="I73" s="314"/>
      <c r="J73" s="314"/>
      <c r="L73" t="s">
        <v>127</v>
      </c>
      <c r="M73" t="s">
        <v>103</v>
      </c>
      <c r="N73" t="s">
        <v>230</v>
      </c>
      <c r="O73" t="s">
        <v>232</v>
      </c>
      <c r="P73" t="s">
        <v>135</v>
      </c>
    </row>
    <row r="74" spans="1:16">
      <c r="A74" t="s">
        <v>124</v>
      </c>
      <c r="B74" t="s">
        <v>102</v>
      </c>
      <c r="C74" t="s">
        <v>186</v>
      </c>
      <c r="D74" t="s">
        <v>122</v>
      </c>
      <c r="E74">
        <v>34.774000000000001</v>
      </c>
      <c r="G74" t="s">
        <v>139</v>
      </c>
      <c r="H74">
        <v>1</v>
      </c>
      <c r="I74" s="314"/>
      <c r="J74" s="314"/>
      <c r="L74" t="s">
        <v>127</v>
      </c>
      <c r="M74" t="s">
        <v>103</v>
      </c>
      <c r="N74" t="s">
        <v>230</v>
      </c>
      <c r="O74" t="s">
        <v>232</v>
      </c>
      <c r="P74" t="s">
        <v>135</v>
      </c>
    </row>
    <row r="75" spans="1:16">
      <c r="A75" t="s">
        <v>124</v>
      </c>
      <c r="B75" t="s">
        <v>102</v>
      </c>
      <c r="C75" t="s">
        <v>224</v>
      </c>
      <c r="D75" t="s">
        <v>122</v>
      </c>
      <c r="E75">
        <v>34.774000000000001</v>
      </c>
      <c r="G75" t="s">
        <v>139</v>
      </c>
      <c r="H75">
        <v>1</v>
      </c>
      <c r="I75" s="314"/>
      <c r="J75" s="314"/>
      <c r="L75" t="s">
        <v>127</v>
      </c>
      <c r="M75" t="s">
        <v>103</v>
      </c>
      <c r="N75" t="s">
        <v>230</v>
      </c>
      <c r="O75" t="s">
        <v>232</v>
      </c>
      <c r="P75" t="s">
        <v>135</v>
      </c>
    </row>
    <row r="76" spans="1:16">
      <c r="A76" t="s">
        <v>124</v>
      </c>
      <c r="B76" t="s">
        <v>102</v>
      </c>
      <c r="C76" t="s">
        <v>187</v>
      </c>
      <c r="D76" t="s">
        <v>122</v>
      </c>
      <c r="E76">
        <v>34.774000000000001</v>
      </c>
      <c r="G76" t="s">
        <v>139</v>
      </c>
      <c r="H76">
        <v>1</v>
      </c>
      <c r="I76" s="314"/>
      <c r="J76" s="314"/>
      <c r="L76" t="s">
        <v>127</v>
      </c>
      <c r="M76" t="s">
        <v>103</v>
      </c>
      <c r="N76" t="s">
        <v>230</v>
      </c>
      <c r="O76" t="s">
        <v>232</v>
      </c>
      <c r="P76" t="s">
        <v>135</v>
      </c>
    </row>
    <row r="77" spans="1:16">
      <c r="A77" t="s">
        <v>124</v>
      </c>
      <c r="B77" t="s">
        <v>102</v>
      </c>
      <c r="C77" t="s">
        <v>225</v>
      </c>
      <c r="D77" t="s">
        <v>122</v>
      </c>
      <c r="E77">
        <v>34.774000000000001</v>
      </c>
      <c r="G77" t="s">
        <v>139</v>
      </c>
      <c r="H77">
        <v>1</v>
      </c>
      <c r="I77" s="314"/>
      <c r="J77" s="314"/>
      <c r="L77" t="s">
        <v>127</v>
      </c>
      <c r="M77" t="s">
        <v>103</v>
      </c>
      <c r="N77" t="s">
        <v>230</v>
      </c>
      <c r="O77" t="s">
        <v>232</v>
      </c>
      <c r="P77" t="s">
        <v>135</v>
      </c>
    </row>
    <row r="78" spans="1:16">
      <c r="A78" t="s">
        <v>124</v>
      </c>
      <c r="B78" t="s">
        <v>102</v>
      </c>
      <c r="C78" t="s">
        <v>188</v>
      </c>
      <c r="D78" t="s">
        <v>122</v>
      </c>
      <c r="E78">
        <v>34.774000000000001</v>
      </c>
      <c r="G78" t="s">
        <v>139</v>
      </c>
      <c r="H78">
        <v>1</v>
      </c>
      <c r="I78" s="314"/>
      <c r="J78" s="314"/>
      <c r="L78" t="s">
        <v>127</v>
      </c>
      <c r="M78" t="s">
        <v>103</v>
      </c>
      <c r="N78" t="s">
        <v>230</v>
      </c>
      <c r="O78" t="s">
        <v>232</v>
      </c>
      <c r="P78" t="s">
        <v>135</v>
      </c>
    </row>
    <row r="79" spans="1:16">
      <c r="A79" t="s">
        <v>124</v>
      </c>
      <c r="B79" t="s">
        <v>102</v>
      </c>
      <c r="C79" t="s">
        <v>189</v>
      </c>
      <c r="D79" t="s">
        <v>122</v>
      </c>
      <c r="E79">
        <v>35.823999999999998</v>
      </c>
      <c r="G79" t="s">
        <v>139</v>
      </c>
      <c r="H79">
        <v>1</v>
      </c>
      <c r="I79" s="314"/>
      <c r="J79" s="314"/>
      <c r="L79" t="s">
        <v>127</v>
      </c>
      <c r="M79" t="s">
        <v>103</v>
      </c>
      <c r="N79" t="s">
        <v>230</v>
      </c>
      <c r="O79" t="s">
        <v>232</v>
      </c>
      <c r="P79" t="s">
        <v>135</v>
      </c>
    </row>
    <row r="80" spans="1:16">
      <c r="A80" t="s">
        <v>124</v>
      </c>
      <c r="B80" t="s">
        <v>102</v>
      </c>
      <c r="C80" t="s">
        <v>226</v>
      </c>
      <c r="D80" t="s">
        <v>122</v>
      </c>
      <c r="E80">
        <v>34.774000000000001</v>
      </c>
      <c r="G80" t="s">
        <v>139</v>
      </c>
      <c r="H80">
        <v>1</v>
      </c>
      <c r="I80" s="314"/>
      <c r="J80" s="314"/>
      <c r="L80" t="s">
        <v>127</v>
      </c>
      <c r="M80" t="s">
        <v>103</v>
      </c>
      <c r="N80" t="s">
        <v>230</v>
      </c>
      <c r="O80" t="s">
        <v>232</v>
      </c>
      <c r="P80" t="s">
        <v>135</v>
      </c>
    </row>
    <row r="81" spans="1:18">
      <c r="A81" t="s">
        <v>124</v>
      </c>
      <c r="B81" t="s">
        <v>102</v>
      </c>
      <c r="C81" t="s">
        <v>136</v>
      </c>
      <c r="D81" t="s">
        <v>122</v>
      </c>
      <c r="E81">
        <v>34.774000000000001</v>
      </c>
      <c r="G81" t="s">
        <v>139</v>
      </c>
      <c r="H81">
        <v>1</v>
      </c>
      <c r="I81" s="314"/>
      <c r="J81" s="314"/>
      <c r="L81" t="s">
        <v>127</v>
      </c>
      <c r="M81" t="s">
        <v>103</v>
      </c>
      <c r="N81" t="s">
        <v>230</v>
      </c>
      <c r="O81" t="s">
        <v>232</v>
      </c>
      <c r="P81" t="s">
        <v>135</v>
      </c>
    </row>
    <row r="82" spans="1:18">
      <c r="A82" t="s">
        <v>124</v>
      </c>
      <c r="B82" t="s">
        <v>102</v>
      </c>
      <c r="C82" t="s">
        <v>190</v>
      </c>
      <c r="D82" t="s">
        <v>122</v>
      </c>
      <c r="E82">
        <v>34.774000000000001</v>
      </c>
      <c r="G82" t="s">
        <v>139</v>
      </c>
      <c r="H82">
        <v>1</v>
      </c>
      <c r="I82" s="314"/>
      <c r="J82" s="314"/>
      <c r="L82" t="s">
        <v>127</v>
      </c>
      <c r="M82" t="s">
        <v>103</v>
      </c>
      <c r="N82" t="s">
        <v>230</v>
      </c>
      <c r="O82" t="s">
        <v>232</v>
      </c>
      <c r="P82" t="s">
        <v>135</v>
      </c>
    </row>
    <row r="83" spans="1:18">
      <c r="A83" t="s">
        <v>124</v>
      </c>
      <c r="B83" t="s">
        <v>102</v>
      </c>
      <c r="C83" t="s">
        <v>227</v>
      </c>
      <c r="D83" t="s">
        <v>122</v>
      </c>
      <c r="E83">
        <v>34.774000000000001</v>
      </c>
      <c r="G83" t="s">
        <v>139</v>
      </c>
      <c r="H83">
        <v>1</v>
      </c>
      <c r="I83" s="314"/>
      <c r="J83" s="314"/>
      <c r="L83" t="s">
        <v>127</v>
      </c>
      <c r="M83" t="s">
        <v>103</v>
      </c>
      <c r="N83" t="s">
        <v>230</v>
      </c>
      <c r="O83" t="s">
        <v>232</v>
      </c>
      <c r="P83" t="s">
        <v>135</v>
      </c>
    </row>
    <row r="84" spans="1:18">
      <c r="A84" t="s">
        <v>124</v>
      </c>
      <c r="B84" t="s">
        <v>102</v>
      </c>
      <c r="C84" t="s">
        <v>138</v>
      </c>
      <c r="D84" t="s">
        <v>122</v>
      </c>
      <c r="E84">
        <v>34.774000000000001</v>
      </c>
      <c r="G84" t="s">
        <v>139</v>
      </c>
      <c r="H84">
        <v>1</v>
      </c>
      <c r="I84" s="314"/>
      <c r="J84" s="314"/>
      <c r="L84" t="s">
        <v>127</v>
      </c>
      <c r="M84" t="s">
        <v>103</v>
      </c>
      <c r="N84" t="s">
        <v>230</v>
      </c>
      <c r="O84" t="s">
        <v>232</v>
      </c>
      <c r="P84" t="s">
        <v>135</v>
      </c>
    </row>
    <row r="85" spans="1:18">
      <c r="A85" t="s">
        <v>124</v>
      </c>
      <c r="B85" t="s">
        <v>102</v>
      </c>
      <c r="C85" t="s">
        <v>228</v>
      </c>
      <c r="D85" t="s">
        <v>122</v>
      </c>
      <c r="E85">
        <v>43.601999999999997</v>
      </c>
      <c r="G85" t="s">
        <v>139</v>
      </c>
      <c r="H85">
        <v>1</v>
      </c>
      <c r="I85" s="314"/>
      <c r="J85" s="314"/>
      <c r="L85" t="s">
        <v>127</v>
      </c>
      <c r="M85" t="s">
        <v>103</v>
      </c>
      <c r="N85" t="s">
        <v>230</v>
      </c>
      <c r="O85" t="s">
        <v>232</v>
      </c>
      <c r="P85" t="s">
        <v>135</v>
      </c>
    </row>
    <row r="86" spans="1:18">
      <c r="A86" t="s">
        <v>124</v>
      </c>
      <c r="B86" t="s">
        <v>102</v>
      </c>
      <c r="C86" t="s">
        <v>191</v>
      </c>
      <c r="D86" t="s">
        <v>122</v>
      </c>
      <c r="E86">
        <v>43.601999999999997</v>
      </c>
      <c r="G86" t="s">
        <v>139</v>
      </c>
      <c r="H86">
        <v>1</v>
      </c>
      <c r="I86" s="314"/>
      <c r="J86" s="314"/>
      <c r="L86" t="s">
        <v>127</v>
      </c>
      <c r="M86" t="s">
        <v>103</v>
      </c>
      <c r="N86" t="s">
        <v>230</v>
      </c>
      <c r="O86" t="s">
        <v>232</v>
      </c>
      <c r="P86" t="s">
        <v>135</v>
      </c>
    </row>
    <row r="87" spans="1:18">
      <c r="A87" t="s">
        <v>124</v>
      </c>
      <c r="B87" t="s">
        <v>102</v>
      </c>
      <c r="C87" t="s">
        <v>229</v>
      </c>
      <c r="D87" t="s">
        <v>122</v>
      </c>
      <c r="E87">
        <v>34.774000000000001</v>
      </c>
      <c r="G87" t="s">
        <v>139</v>
      </c>
      <c r="H87">
        <v>1</v>
      </c>
      <c r="I87" s="314"/>
      <c r="J87" s="314"/>
      <c r="L87" t="s">
        <v>127</v>
      </c>
      <c r="M87" t="s">
        <v>103</v>
      </c>
      <c r="N87" t="s">
        <v>230</v>
      </c>
      <c r="O87" t="s">
        <v>232</v>
      </c>
      <c r="P87" t="s">
        <v>135</v>
      </c>
    </row>
    <row r="88" spans="1:18">
      <c r="A88" t="s">
        <v>124</v>
      </c>
      <c r="B88" t="s">
        <v>102</v>
      </c>
      <c r="C88" t="s">
        <v>192</v>
      </c>
      <c r="D88" t="s">
        <v>122</v>
      </c>
      <c r="E88">
        <v>34.774000000000001</v>
      </c>
      <c r="G88" t="s">
        <v>139</v>
      </c>
      <c r="H88">
        <v>1</v>
      </c>
      <c r="I88" s="314"/>
      <c r="J88" s="314"/>
      <c r="L88" t="s">
        <v>127</v>
      </c>
      <c r="M88" t="s">
        <v>103</v>
      </c>
      <c r="N88" t="s">
        <v>230</v>
      </c>
      <c r="O88" t="s">
        <v>232</v>
      </c>
      <c r="P88" t="s">
        <v>135</v>
      </c>
    </row>
    <row r="89" spans="1:18">
      <c r="I89" s="314"/>
      <c r="J89" s="314"/>
    </row>
    <row r="90" spans="1:18" s="147" customFormat="1">
      <c r="A90" s="147" t="s">
        <v>86</v>
      </c>
      <c r="B90" s="147" t="s">
        <v>87</v>
      </c>
      <c r="C90" s="147" t="s">
        <v>88</v>
      </c>
      <c r="D90" s="147" t="s">
        <v>89</v>
      </c>
      <c r="E90" s="147" t="s">
        <v>90</v>
      </c>
      <c r="F90" s="147" t="s">
        <v>91</v>
      </c>
      <c r="G90" s="147" t="s">
        <v>92</v>
      </c>
      <c r="H90" s="147" t="s">
        <v>93</v>
      </c>
      <c r="I90" s="147" t="s">
        <v>94</v>
      </c>
      <c r="J90" s="147" t="s">
        <v>95</v>
      </c>
      <c r="K90" s="147" t="s">
        <v>96</v>
      </c>
      <c r="L90" s="147" t="s">
        <v>97</v>
      </c>
      <c r="M90" s="147" t="s">
        <v>98</v>
      </c>
      <c r="N90" s="147" t="s">
        <v>99</v>
      </c>
      <c r="O90" s="147" t="s">
        <v>100</v>
      </c>
      <c r="P90" s="147" t="s">
        <v>101</v>
      </c>
      <c r="R90"/>
    </row>
    <row r="91" spans="1:18">
      <c r="A91" t="s">
        <v>124</v>
      </c>
      <c r="B91" t="s">
        <v>102</v>
      </c>
      <c r="C91" t="s">
        <v>207</v>
      </c>
      <c r="D91" t="s">
        <v>143</v>
      </c>
      <c r="E91">
        <v>2.1819999999999999</v>
      </c>
      <c r="G91" t="s">
        <v>31</v>
      </c>
      <c r="H91">
        <v>1</v>
      </c>
      <c r="L91" t="s">
        <v>106</v>
      </c>
      <c r="N91" t="s">
        <v>230</v>
      </c>
      <c r="O91" t="s">
        <v>233</v>
      </c>
      <c r="P91" t="s">
        <v>149</v>
      </c>
    </row>
    <row r="92" spans="1:18">
      <c r="A92" t="s">
        <v>124</v>
      </c>
      <c r="B92" t="s">
        <v>102</v>
      </c>
      <c r="C92" t="s">
        <v>208</v>
      </c>
      <c r="D92" t="s">
        <v>143</v>
      </c>
      <c r="E92">
        <v>2.4239999999999999</v>
      </c>
      <c r="G92" t="s">
        <v>31</v>
      </c>
      <c r="H92">
        <v>1</v>
      </c>
      <c r="L92" t="s">
        <v>106</v>
      </c>
      <c r="N92" t="s">
        <v>230</v>
      </c>
      <c r="O92" t="s">
        <v>233</v>
      </c>
      <c r="P92" t="s">
        <v>149</v>
      </c>
    </row>
    <row r="93" spans="1:18">
      <c r="A93" t="s">
        <v>124</v>
      </c>
      <c r="B93" t="s">
        <v>102</v>
      </c>
      <c r="C93" t="s">
        <v>209</v>
      </c>
      <c r="D93" t="s">
        <v>143</v>
      </c>
      <c r="E93">
        <v>2.4239999999999999</v>
      </c>
      <c r="G93" t="s">
        <v>31</v>
      </c>
      <c r="H93">
        <v>1</v>
      </c>
      <c r="L93" t="s">
        <v>106</v>
      </c>
      <c r="N93" t="s">
        <v>230</v>
      </c>
      <c r="O93" t="s">
        <v>233</v>
      </c>
      <c r="P93" t="s">
        <v>149</v>
      </c>
    </row>
    <row r="94" spans="1:18">
      <c r="A94" t="s">
        <v>124</v>
      </c>
      <c r="B94" t="s">
        <v>102</v>
      </c>
      <c r="C94" t="s">
        <v>148</v>
      </c>
      <c r="D94" t="s">
        <v>143</v>
      </c>
      <c r="E94">
        <v>7.4219999999999997</v>
      </c>
      <c r="G94" t="s">
        <v>31</v>
      </c>
      <c r="H94">
        <v>1</v>
      </c>
      <c r="L94" t="s">
        <v>106</v>
      </c>
      <c r="N94" t="s">
        <v>230</v>
      </c>
      <c r="O94" t="s">
        <v>233</v>
      </c>
      <c r="P94" t="s">
        <v>149</v>
      </c>
    </row>
    <row r="95" spans="1:18">
      <c r="A95" t="s">
        <v>124</v>
      </c>
      <c r="B95" t="s">
        <v>102</v>
      </c>
      <c r="C95" t="s">
        <v>210</v>
      </c>
      <c r="D95" t="s">
        <v>143</v>
      </c>
      <c r="E95">
        <v>8.2469999999999999</v>
      </c>
      <c r="G95" t="s">
        <v>31</v>
      </c>
      <c r="H95">
        <v>1</v>
      </c>
      <c r="L95" t="s">
        <v>106</v>
      </c>
      <c r="N95" t="s">
        <v>230</v>
      </c>
      <c r="O95" t="s">
        <v>233</v>
      </c>
      <c r="P95" t="s">
        <v>149</v>
      </c>
    </row>
    <row r="96" spans="1:18">
      <c r="A96" t="s">
        <v>124</v>
      </c>
      <c r="B96" t="s">
        <v>102</v>
      </c>
      <c r="C96" t="s">
        <v>179</v>
      </c>
      <c r="D96" t="s">
        <v>143</v>
      </c>
      <c r="E96">
        <v>0</v>
      </c>
      <c r="G96" t="s">
        <v>31</v>
      </c>
      <c r="H96">
        <v>1</v>
      </c>
      <c r="L96" t="s">
        <v>106</v>
      </c>
      <c r="N96" t="s">
        <v>230</v>
      </c>
      <c r="O96" t="s">
        <v>233</v>
      </c>
      <c r="P96" t="s">
        <v>129</v>
      </c>
    </row>
    <row r="97" spans="1:16">
      <c r="A97" t="s">
        <v>124</v>
      </c>
      <c r="B97" t="s">
        <v>102</v>
      </c>
      <c r="C97" t="s">
        <v>213</v>
      </c>
      <c r="D97" t="s">
        <v>143</v>
      </c>
      <c r="E97">
        <v>0</v>
      </c>
      <c r="G97" t="s">
        <v>31</v>
      </c>
      <c r="H97">
        <v>1</v>
      </c>
      <c r="L97" t="s">
        <v>106</v>
      </c>
      <c r="N97" t="s">
        <v>230</v>
      </c>
      <c r="O97" t="s">
        <v>233</v>
      </c>
      <c r="P97" t="s">
        <v>129</v>
      </c>
    </row>
    <row r="98" spans="1:16">
      <c r="A98" t="s">
        <v>124</v>
      </c>
      <c r="B98" t="s">
        <v>102</v>
      </c>
      <c r="C98" t="s">
        <v>214</v>
      </c>
      <c r="D98" t="s">
        <v>143</v>
      </c>
      <c r="E98">
        <v>0</v>
      </c>
      <c r="G98" t="s">
        <v>31</v>
      </c>
      <c r="H98">
        <v>1</v>
      </c>
      <c r="L98" t="s">
        <v>106</v>
      </c>
      <c r="N98" t="s">
        <v>230</v>
      </c>
      <c r="O98" t="s">
        <v>233</v>
      </c>
      <c r="P98" t="s">
        <v>129</v>
      </c>
    </row>
    <row r="99" spans="1:16">
      <c r="A99" t="s">
        <v>124</v>
      </c>
      <c r="B99" t="s">
        <v>102</v>
      </c>
      <c r="C99" t="s">
        <v>180</v>
      </c>
      <c r="D99" t="s">
        <v>143</v>
      </c>
      <c r="E99">
        <v>0</v>
      </c>
      <c r="G99" t="s">
        <v>31</v>
      </c>
      <c r="H99">
        <v>1</v>
      </c>
      <c r="L99" t="s">
        <v>106</v>
      </c>
      <c r="N99" t="s">
        <v>230</v>
      </c>
      <c r="O99" t="s">
        <v>233</v>
      </c>
      <c r="P99" t="s">
        <v>129</v>
      </c>
    </row>
    <row r="100" spans="1:16">
      <c r="A100" t="s">
        <v>124</v>
      </c>
      <c r="B100" t="s">
        <v>102</v>
      </c>
      <c r="C100" t="s">
        <v>125</v>
      </c>
      <c r="D100" t="s">
        <v>143</v>
      </c>
      <c r="E100">
        <v>0</v>
      </c>
      <c r="G100" t="s">
        <v>31</v>
      </c>
      <c r="H100">
        <v>1</v>
      </c>
      <c r="L100" t="s">
        <v>106</v>
      </c>
      <c r="N100" t="s">
        <v>230</v>
      </c>
      <c r="O100" t="s">
        <v>233</v>
      </c>
      <c r="P100" t="s">
        <v>129</v>
      </c>
    </row>
    <row r="101" spans="1:16">
      <c r="A101" t="s">
        <v>124</v>
      </c>
      <c r="B101" t="s">
        <v>102</v>
      </c>
      <c r="C101" t="s">
        <v>181</v>
      </c>
      <c r="D101" t="s">
        <v>143</v>
      </c>
      <c r="E101">
        <v>0</v>
      </c>
      <c r="G101" t="s">
        <v>31</v>
      </c>
      <c r="H101">
        <v>1</v>
      </c>
      <c r="L101" t="s">
        <v>106</v>
      </c>
      <c r="N101" t="s">
        <v>230</v>
      </c>
      <c r="O101" t="s">
        <v>233</v>
      </c>
      <c r="P101" t="s">
        <v>129</v>
      </c>
    </row>
    <row r="102" spans="1:16">
      <c r="A102" t="s">
        <v>124</v>
      </c>
      <c r="B102" t="s">
        <v>102</v>
      </c>
      <c r="C102" t="s">
        <v>215</v>
      </c>
      <c r="D102" t="s">
        <v>143</v>
      </c>
      <c r="E102">
        <v>0</v>
      </c>
      <c r="G102" t="s">
        <v>31</v>
      </c>
      <c r="H102">
        <v>1</v>
      </c>
      <c r="L102" t="s">
        <v>106</v>
      </c>
      <c r="N102" t="s">
        <v>230</v>
      </c>
      <c r="O102" t="s">
        <v>233</v>
      </c>
      <c r="P102" t="s">
        <v>129</v>
      </c>
    </row>
    <row r="103" spans="1:16">
      <c r="A103" t="s">
        <v>124</v>
      </c>
      <c r="B103" t="s">
        <v>102</v>
      </c>
      <c r="C103" t="s">
        <v>182</v>
      </c>
      <c r="D103" t="s">
        <v>143</v>
      </c>
      <c r="E103">
        <v>0</v>
      </c>
      <c r="G103" t="s">
        <v>31</v>
      </c>
      <c r="H103">
        <v>1</v>
      </c>
      <c r="L103" t="s">
        <v>106</v>
      </c>
      <c r="N103" t="s">
        <v>230</v>
      </c>
      <c r="O103" t="s">
        <v>233</v>
      </c>
      <c r="P103" t="s">
        <v>129</v>
      </c>
    </row>
    <row r="104" spans="1:16">
      <c r="A104" t="s">
        <v>124</v>
      </c>
      <c r="B104" t="s">
        <v>102</v>
      </c>
      <c r="C104" t="s">
        <v>130</v>
      </c>
      <c r="D104" t="s">
        <v>143</v>
      </c>
      <c r="E104">
        <v>0</v>
      </c>
      <c r="G104" t="s">
        <v>31</v>
      </c>
      <c r="H104">
        <v>1</v>
      </c>
      <c r="L104" t="s">
        <v>106</v>
      </c>
      <c r="N104" t="s">
        <v>230</v>
      </c>
      <c r="O104" t="s">
        <v>233</v>
      </c>
      <c r="P104" t="s">
        <v>129</v>
      </c>
    </row>
    <row r="105" spans="1:16">
      <c r="A105" t="s">
        <v>124</v>
      </c>
      <c r="B105" t="s">
        <v>102</v>
      </c>
      <c r="C105" t="s">
        <v>216</v>
      </c>
      <c r="D105" t="s">
        <v>143</v>
      </c>
      <c r="E105">
        <v>0</v>
      </c>
      <c r="G105" t="s">
        <v>31</v>
      </c>
      <c r="H105">
        <v>1</v>
      </c>
      <c r="L105" t="s">
        <v>106</v>
      </c>
      <c r="N105" t="s">
        <v>230</v>
      </c>
      <c r="O105" t="s">
        <v>233</v>
      </c>
      <c r="P105" t="s">
        <v>129</v>
      </c>
    </row>
    <row r="106" spans="1:16">
      <c r="A106" t="s">
        <v>124</v>
      </c>
      <c r="B106" t="s">
        <v>102</v>
      </c>
      <c r="C106" t="s">
        <v>131</v>
      </c>
      <c r="D106" t="s">
        <v>143</v>
      </c>
      <c r="E106">
        <v>0</v>
      </c>
      <c r="G106" t="s">
        <v>31</v>
      </c>
      <c r="H106">
        <v>1</v>
      </c>
      <c r="L106" t="s">
        <v>106</v>
      </c>
      <c r="N106" t="s">
        <v>230</v>
      </c>
      <c r="O106" t="s">
        <v>233</v>
      </c>
      <c r="P106" t="s">
        <v>129</v>
      </c>
    </row>
    <row r="107" spans="1:16">
      <c r="A107" t="s">
        <v>124</v>
      </c>
      <c r="B107" t="s">
        <v>102</v>
      </c>
      <c r="C107" t="s">
        <v>217</v>
      </c>
      <c r="D107" t="s">
        <v>143</v>
      </c>
      <c r="E107">
        <v>0</v>
      </c>
      <c r="G107" t="s">
        <v>31</v>
      </c>
      <c r="H107">
        <v>1</v>
      </c>
      <c r="L107" t="s">
        <v>106</v>
      </c>
      <c r="N107" t="s">
        <v>230</v>
      </c>
      <c r="O107" t="s">
        <v>233</v>
      </c>
      <c r="P107" t="s">
        <v>129</v>
      </c>
    </row>
    <row r="108" spans="1:16">
      <c r="A108" t="s">
        <v>124</v>
      </c>
      <c r="B108" t="s">
        <v>102</v>
      </c>
      <c r="C108" t="s">
        <v>132</v>
      </c>
      <c r="D108" t="s">
        <v>143</v>
      </c>
      <c r="E108">
        <v>0</v>
      </c>
      <c r="G108" t="s">
        <v>31</v>
      </c>
      <c r="H108">
        <v>1</v>
      </c>
      <c r="L108" t="s">
        <v>106</v>
      </c>
      <c r="N108" t="s">
        <v>230</v>
      </c>
      <c r="O108" t="s">
        <v>233</v>
      </c>
      <c r="P108" t="s">
        <v>129</v>
      </c>
    </row>
    <row r="109" spans="1:16">
      <c r="A109" t="s">
        <v>124</v>
      </c>
      <c r="B109" t="s">
        <v>102</v>
      </c>
      <c r="C109" t="s">
        <v>218</v>
      </c>
      <c r="D109" t="s">
        <v>143</v>
      </c>
      <c r="E109">
        <v>0</v>
      </c>
      <c r="G109" t="s">
        <v>31</v>
      </c>
      <c r="H109">
        <v>1</v>
      </c>
      <c r="L109" t="s">
        <v>106</v>
      </c>
      <c r="N109" t="s">
        <v>230</v>
      </c>
      <c r="O109" t="s">
        <v>233</v>
      </c>
      <c r="P109" t="s">
        <v>129</v>
      </c>
    </row>
    <row r="110" spans="1:16">
      <c r="A110" t="s">
        <v>124</v>
      </c>
      <c r="B110" t="s">
        <v>102</v>
      </c>
      <c r="C110" t="s">
        <v>144</v>
      </c>
      <c r="D110" t="s">
        <v>143</v>
      </c>
      <c r="E110">
        <v>0</v>
      </c>
      <c r="G110" t="s">
        <v>31</v>
      </c>
      <c r="H110">
        <v>1</v>
      </c>
      <c r="L110" t="s">
        <v>106</v>
      </c>
      <c r="N110" t="s">
        <v>230</v>
      </c>
      <c r="O110" t="s">
        <v>233</v>
      </c>
      <c r="P110" t="s">
        <v>129</v>
      </c>
    </row>
    <row r="111" spans="1:16">
      <c r="A111" t="s">
        <v>124</v>
      </c>
      <c r="B111" t="s">
        <v>102</v>
      </c>
      <c r="C111" t="s">
        <v>219</v>
      </c>
      <c r="D111" t="s">
        <v>143</v>
      </c>
      <c r="E111">
        <v>0</v>
      </c>
      <c r="G111" t="s">
        <v>31</v>
      </c>
      <c r="H111">
        <v>1</v>
      </c>
      <c r="L111" t="s">
        <v>106</v>
      </c>
      <c r="N111" t="s">
        <v>230</v>
      </c>
      <c r="O111" t="s">
        <v>233</v>
      </c>
      <c r="P111" t="s">
        <v>129</v>
      </c>
    </row>
    <row r="112" spans="1:16">
      <c r="A112" t="s">
        <v>124</v>
      </c>
      <c r="B112" t="s">
        <v>102</v>
      </c>
      <c r="C112" t="s">
        <v>183</v>
      </c>
      <c r="D112" t="s">
        <v>143</v>
      </c>
      <c r="E112">
        <v>0</v>
      </c>
      <c r="G112" t="s">
        <v>31</v>
      </c>
      <c r="H112">
        <v>1</v>
      </c>
      <c r="L112" t="s">
        <v>106</v>
      </c>
      <c r="N112" t="s">
        <v>230</v>
      </c>
      <c r="O112" t="s">
        <v>233</v>
      </c>
      <c r="P112" t="s">
        <v>129</v>
      </c>
    </row>
    <row r="113" spans="1:16">
      <c r="A113" t="s">
        <v>124</v>
      </c>
      <c r="B113" t="s">
        <v>102</v>
      </c>
      <c r="C113" t="s">
        <v>220</v>
      </c>
      <c r="D113" t="s">
        <v>143</v>
      </c>
      <c r="E113">
        <v>0</v>
      </c>
      <c r="G113" t="s">
        <v>31</v>
      </c>
      <c r="H113">
        <v>1</v>
      </c>
      <c r="L113" t="s">
        <v>106</v>
      </c>
      <c r="N113" t="s">
        <v>230</v>
      </c>
      <c r="O113" t="s">
        <v>233</v>
      </c>
      <c r="P113" t="s">
        <v>129</v>
      </c>
    </row>
    <row r="114" spans="1:16">
      <c r="A114" t="s">
        <v>124</v>
      </c>
      <c r="B114" t="s">
        <v>102</v>
      </c>
      <c r="C114" t="s">
        <v>133</v>
      </c>
      <c r="D114" t="s">
        <v>143</v>
      </c>
      <c r="E114">
        <v>0</v>
      </c>
      <c r="G114" t="s">
        <v>31</v>
      </c>
      <c r="H114">
        <v>1</v>
      </c>
      <c r="L114" t="s">
        <v>106</v>
      </c>
      <c r="N114" t="s">
        <v>230</v>
      </c>
      <c r="O114" t="s">
        <v>233</v>
      </c>
      <c r="P114" t="s">
        <v>129</v>
      </c>
    </row>
    <row r="115" spans="1:16">
      <c r="A115" t="s">
        <v>124</v>
      </c>
      <c r="B115" t="s">
        <v>102</v>
      </c>
      <c r="C115" t="s">
        <v>184</v>
      </c>
      <c r="D115" t="s">
        <v>143</v>
      </c>
      <c r="E115">
        <v>0</v>
      </c>
      <c r="G115" t="s">
        <v>31</v>
      </c>
      <c r="H115">
        <v>1</v>
      </c>
      <c r="L115" t="s">
        <v>106</v>
      </c>
      <c r="N115" t="s">
        <v>230</v>
      </c>
      <c r="O115" t="s">
        <v>233</v>
      </c>
      <c r="P115" t="s">
        <v>135</v>
      </c>
    </row>
    <row r="116" spans="1:16">
      <c r="A116" t="s">
        <v>124</v>
      </c>
      <c r="B116" t="s">
        <v>102</v>
      </c>
      <c r="C116" t="s">
        <v>223</v>
      </c>
      <c r="D116" t="s">
        <v>143</v>
      </c>
      <c r="E116">
        <v>0</v>
      </c>
      <c r="G116" t="s">
        <v>31</v>
      </c>
      <c r="H116">
        <v>1</v>
      </c>
      <c r="L116" t="s">
        <v>106</v>
      </c>
      <c r="N116" t="s">
        <v>230</v>
      </c>
      <c r="O116" t="s">
        <v>233</v>
      </c>
      <c r="P116" t="s">
        <v>135</v>
      </c>
    </row>
    <row r="117" spans="1:16">
      <c r="A117" t="s">
        <v>124</v>
      </c>
      <c r="B117" t="s">
        <v>102</v>
      </c>
      <c r="C117" t="s">
        <v>185</v>
      </c>
      <c r="D117" t="s">
        <v>143</v>
      </c>
      <c r="E117">
        <v>0</v>
      </c>
      <c r="G117" t="s">
        <v>31</v>
      </c>
      <c r="H117">
        <v>1</v>
      </c>
      <c r="L117" t="s">
        <v>106</v>
      </c>
      <c r="N117" t="s">
        <v>230</v>
      </c>
      <c r="O117" t="s">
        <v>233</v>
      </c>
      <c r="P117" t="s">
        <v>135</v>
      </c>
    </row>
    <row r="118" spans="1:16">
      <c r="A118" t="s">
        <v>124</v>
      </c>
      <c r="B118" t="s">
        <v>102</v>
      </c>
      <c r="C118" t="s">
        <v>186</v>
      </c>
      <c r="D118" t="s">
        <v>143</v>
      </c>
      <c r="E118">
        <v>0</v>
      </c>
      <c r="G118" t="s">
        <v>31</v>
      </c>
      <c r="H118">
        <v>1</v>
      </c>
      <c r="L118" t="s">
        <v>106</v>
      </c>
      <c r="N118" t="s">
        <v>230</v>
      </c>
      <c r="O118" t="s">
        <v>233</v>
      </c>
      <c r="P118" t="s">
        <v>135</v>
      </c>
    </row>
    <row r="119" spans="1:16">
      <c r="A119" t="s">
        <v>124</v>
      </c>
      <c r="B119" t="s">
        <v>102</v>
      </c>
      <c r="C119" t="s">
        <v>224</v>
      </c>
      <c r="D119" t="s">
        <v>143</v>
      </c>
      <c r="E119">
        <v>0</v>
      </c>
      <c r="G119" t="s">
        <v>31</v>
      </c>
      <c r="H119">
        <v>1</v>
      </c>
      <c r="L119" t="s">
        <v>106</v>
      </c>
      <c r="N119" t="s">
        <v>230</v>
      </c>
      <c r="O119" t="s">
        <v>233</v>
      </c>
      <c r="P119" t="s">
        <v>135</v>
      </c>
    </row>
    <row r="120" spans="1:16">
      <c r="A120" t="s">
        <v>124</v>
      </c>
      <c r="B120" t="s">
        <v>102</v>
      </c>
      <c r="C120" t="s">
        <v>187</v>
      </c>
      <c r="D120" t="s">
        <v>143</v>
      </c>
      <c r="E120">
        <v>0</v>
      </c>
      <c r="G120" t="s">
        <v>31</v>
      </c>
      <c r="H120">
        <v>1</v>
      </c>
      <c r="L120" t="s">
        <v>106</v>
      </c>
      <c r="N120" t="s">
        <v>230</v>
      </c>
      <c r="O120" t="s">
        <v>233</v>
      </c>
      <c r="P120" t="s">
        <v>135</v>
      </c>
    </row>
    <row r="121" spans="1:16">
      <c r="A121" t="s">
        <v>124</v>
      </c>
      <c r="B121" t="s">
        <v>102</v>
      </c>
      <c r="C121" t="s">
        <v>225</v>
      </c>
      <c r="D121" t="s">
        <v>143</v>
      </c>
      <c r="E121">
        <v>0</v>
      </c>
      <c r="G121" t="s">
        <v>31</v>
      </c>
      <c r="H121">
        <v>1</v>
      </c>
      <c r="L121" t="s">
        <v>106</v>
      </c>
      <c r="N121" t="s">
        <v>230</v>
      </c>
      <c r="O121" t="s">
        <v>233</v>
      </c>
      <c r="P121" t="s">
        <v>135</v>
      </c>
    </row>
    <row r="122" spans="1:16">
      <c r="A122" t="s">
        <v>124</v>
      </c>
      <c r="B122" t="s">
        <v>102</v>
      </c>
      <c r="C122" t="s">
        <v>188</v>
      </c>
      <c r="D122" t="s">
        <v>143</v>
      </c>
      <c r="E122">
        <v>0</v>
      </c>
      <c r="G122" t="s">
        <v>31</v>
      </c>
      <c r="H122">
        <v>1</v>
      </c>
      <c r="L122" t="s">
        <v>106</v>
      </c>
      <c r="N122" t="s">
        <v>230</v>
      </c>
      <c r="O122" t="s">
        <v>233</v>
      </c>
      <c r="P122" t="s">
        <v>135</v>
      </c>
    </row>
    <row r="123" spans="1:16">
      <c r="A123" t="s">
        <v>124</v>
      </c>
      <c r="B123" t="s">
        <v>102</v>
      </c>
      <c r="C123" t="s">
        <v>189</v>
      </c>
      <c r="D123" t="s">
        <v>143</v>
      </c>
      <c r="E123">
        <v>0</v>
      </c>
      <c r="G123" t="s">
        <v>31</v>
      </c>
      <c r="H123">
        <v>1</v>
      </c>
      <c r="L123" t="s">
        <v>106</v>
      </c>
      <c r="N123" t="s">
        <v>230</v>
      </c>
      <c r="O123" t="s">
        <v>233</v>
      </c>
      <c r="P123" t="s">
        <v>135</v>
      </c>
    </row>
    <row r="124" spans="1:16">
      <c r="A124" t="s">
        <v>124</v>
      </c>
      <c r="B124" t="s">
        <v>102</v>
      </c>
      <c r="C124" t="s">
        <v>226</v>
      </c>
      <c r="D124" t="s">
        <v>143</v>
      </c>
      <c r="E124">
        <v>0</v>
      </c>
      <c r="G124" t="s">
        <v>31</v>
      </c>
      <c r="H124">
        <v>1</v>
      </c>
      <c r="L124" t="s">
        <v>106</v>
      </c>
      <c r="N124" t="s">
        <v>230</v>
      </c>
      <c r="O124" t="s">
        <v>233</v>
      </c>
      <c r="P124" t="s">
        <v>135</v>
      </c>
    </row>
    <row r="125" spans="1:16">
      <c r="A125" t="s">
        <v>124</v>
      </c>
      <c r="B125" t="s">
        <v>102</v>
      </c>
      <c r="C125" t="s">
        <v>136</v>
      </c>
      <c r="D125" t="s">
        <v>143</v>
      </c>
      <c r="E125">
        <v>0</v>
      </c>
      <c r="G125" t="s">
        <v>31</v>
      </c>
      <c r="H125">
        <v>1</v>
      </c>
      <c r="L125" t="s">
        <v>106</v>
      </c>
      <c r="N125" t="s">
        <v>230</v>
      </c>
      <c r="O125" t="s">
        <v>233</v>
      </c>
      <c r="P125" t="s">
        <v>135</v>
      </c>
    </row>
    <row r="126" spans="1:16">
      <c r="A126" t="s">
        <v>124</v>
      </c>
      <c r="B126" t="s">
        <v>102</v>
      </c>
      <c r="C126" t="s">
        <v>190</v>
      </c>
      <c r="D126" t="s">
        <v>143</v>
      </c>
      <c r="E126">
        <v>0</v>
      </c>
      <c r="G126" t="s">
        <v>31</v>
      </c>
      <c r="H126">
        <v>1</v>
      </c>
      <c r="L126" t="s">
        <v>106</v>
      </c>
      <c r="N126" t="s">
        <v>230</v>
      </c>
      <c r="O126" t="s">
        <v>233</v>
      </c>
      <c r="P126" t="s">
        <v>135</v>
      </c>
    </row>
    <row r="127" spans="1:16">
      <c r="A127" t="s">
        <v>124</v>
      </c>
      <c r="B127" t="s">
        <v>102</v>
      </c>
      <c r="C127" t="s">
        <v>227</v>
      </c>
      <c r="D127" t="s">
        <v>143</v>
      </c>
      <c r="E127">
        <v>1</v>
      </c>
      <c r="G127" t="s">
        <v>31</v>
      </c>
      <c r="H127">
        <v>1</v>
      </c>
      <c r="L127" t="s">
        <v>106</v>
      </c>
      <c r="N127" t="s">
        <v>230</v>
      </c>
      <c r="O127" t="s">
        <v>233</v>
      </c>
      <c r="P127" t="s">
        <v>135</v>
      </c>
    </row>
    <row r="128" spans="1:16">
      <c r="A128" t="s">
        <v>124</v>
      </c>
      <c r="B128" t="s">
        <v>102</v>
      </c>
      <c r="C128" t="s">
        <v>138</v>
      </c>
      <c r="D128" t="s">
        <v>143</v>
      </c>
      <c r="E128">
        <v>1</v>
      </c>
      <c r="G128" t="s">
        <v>31</v>
      </c>
      <c r="H128">
        <v>1</v>
      </c>
      <c r="L128" t="s">
        <v>106</v>
      </c>
      <c r="N128" t="s">
        <v>230</v>
      </c>
      <c r="O128" t="s">
        <v>233</v>
      </c>
      <c r="P128" t="s">
        <v>135</v>
      </c>
    </row>
    <row r="129" spans="1:16">
      <c r="A129" t="s">
        <v>124</v>
      </c>
      <c r="B129" t="s">
        <v>102</v>
      </c>
      <c r="C129" t="s">
        <v>228</v>
      </c>
      <c r="D129" t="s">
        <v>143</v>
      </c>
      <c r="E129">
        <v>1</v>
      </c>
      <c r="G129" t="s">
        <v>31</v>
      </c>
      <c r="H129">
        <v>1</v>
      </c>
      <c r="L129" t="s">
        <v>106</v>
      </c>
      <c r="N129" t="s">
        <v>230</v>
      </c>
      <c r="O129" t="s">
        <v>233</v>
      </c>
      <c r="P129" t="s">
        <v>135</v>
      </c>
    </row>
    <row r="130" spans="1:16">
      <c r="A130" t="s">
        <v>124</v>
      </c>
      <c r="B130" t="s">
        <v>102</v>
      </c>
      <c r="C130" t="s">
        <v>191</v>
      </c>
      <c r="D130" t="s">
        <v>143</v>
      </c>
      <c r="E130">
        <v>1</v>
      </c>
      <c r="G130" t="s">
        <v>31</v>
      </c>
      <c r="H130">
        <v>1</v>
      </c>
      <c r="L130" t="s">
        <v>106</v>
      </c>
      <c r="N130" t="s">
        <v>230</v>
      </c>
      <c r="O130" t="s">
        <v>233</v>
      </c>
      <c r="P130" t="s">
        <v>135</v>
      </c>
    </row>
    <row r="131" spans="1:16">
      <c r="A131" t="s">
        <v>124</v>
      </c>
      <c r="B131" t="s">
        <v>102</v>
      </c>
      <c r="C131" t="s">
        <v>229</v>
      </c>
      <c r="D131" t="s">
        <v>143</v>
      </c>
      <c r="E131">
        <v>0</v>
      </c>
      <c r="G131" t="s">
        <v>31</v>
      </c>
      <c r="H131">
        <v>1</v>
      </c>
      <c r="L131" t="s">
        <v>106</v>
      </c>
      <c r="N131" t="s">
        <v>230</v>
      </c>
      <c r="O131" t="s">
        <v>233</v>
      </c>
      <c r="P131" t="s">
        <v>135</v>
      </c>
    </row>
    <row r="132" spans="1:16">
      <c r="A132" t="s">
        <v>124</v>
      </c>
      <c r="B132" t="s">
        <v>102</v>
      </c>
      <c r="C132" t="s">
        <v>192</v>
      </c>
      <c r="D132" t="s">
        <v>143</v>
      </c>
      <c r="E132">
        <v>0</v>
      </c>
      <c r="G132" t="s">
        <v>31</v>
      </c>
      <c r="H132">
        <v>1</v>
      </c>
      <c r="L132" t="s">
        <v>106</v>
      </c>
      <c r="N132" t="s">
        <v>230</v>
      </c>
      <c r="O132" t="s">
        <v>233</v>
      </c>
      <c r="P132" t="s">
        <v>135</v>
      </c>
    </row>
    <row r="135" spans="1:16" ht="15">
      <c r="A135" s="315"/>
      <c r="B135" s="315"/>
      <c r="C135" s="315"/>
      <c r="D135" s="315"/>
      <c r="E135" s="315"/>
      <c r="F135" s="315"/>
      <c r="G135" s="315"/>
      <c r="H135" s="315"/>
      <c r="I135" s="315"/>
      <c r="J135" s="315"/>
      <c r="K135" s="315"/>
      <c r="L135" s="315"/>
      <c r="M135" s="315"/>
    </row>
    <row r="136" spans="1:16" ht="15">
      <c r="A136" s="315"/>
      <c r="B136" s="315"/>
      <c r="C136" s="315"/>
      <c r="D136" s="315"/>
      <c r="E136" s="315"/>
      <c r="F136" s="315"/>
      <c r="G136" s="315"/>
      <c r="H136" s="315"/>
      <c r="I136" s="315"/>
      <c r="J136" s="315"/>
      <c r="K136" s="315"/>
      <c r="L136" s="195"/>
      <c r="M136" s="316" t="s">
        <v>198</v>
      </c>
      <c r="N136" s="195">
        <v>5.2789999999999997E-2</v>
      </c>
    </row>
    <row r="137" spans="1:16" ht="15">
      <c r="A137" s="315"/>
      <c r="B137" s="315"/>
      <c r="C137" s="315"/>
      <c r="D137" s="315"/>
      <c r="E137" s="315"/>
      <c r="F137" s="315"/>
      <c r="G137" s="315"/>
      <c r="H137" s="315"/>
      <c r="I137" s="315"/>
      <c r="J137" s="315"/>
      <c r="K137" s="315"/>
      <c r="L137" s="195"/>
      <c r="M137" s="316" t="s">
        <v>199</v>
      </c>
      <c r="N137" s="195">
        <v>0.21</v>
      </c>
    </row>
    <row r="138" spans="1:16" ht="15">
      <c r="A138" s="315"/>
      <c r="B138" s="315"/>
      <c r="C138" s="315"/>
      <c r="D138" s="315"/>
      <c r="E138" s="315"/>
      <c r="F138" s="315"/>
      <c r="G138" s="315"/>
      <c r="H138" s="315"/>
      <c r="I138" s="315"/>
      <c r="J138" s="317"/>
      <c r="K138" s="317"/>
      <c r="L138" s="195"/>
      <c r="M138" s="195"/>
      <c r="N138" s="195"/>
    </row>
    <row r="139" spans="1:16" ht="29.25">
      <c r="A139" s="318"/>
      <c r="B139" s="315"/>
      <c r="C139" s="319"/>
      <c r="D139" s="315"/>
      <c r="E139" s="320" t="s">
        <v>250</v>
      </c>
      <c r="F139" s="320" t="s">
        <v>251</v>
      </c>
      <c r="G139" s="320" t="s">
        <v>252</v>
      </c>
      <c r="H139" s="320" t="s">
        <v>253</v>
      </c>
      <c r="I139" s="320" t="s">
        <v>254</v>
      </c>
      <c r="J139" s="321" t="s">
        <v>255</v>
      </c>
      <c r="K139" s="321" t="s">
        <v>256</v>
      </c>
      <c r="L139" s="162" t="s">
        <v>200</v>
      </c>
      <c r="M139" s="162"/>
      <c r="N139" s="195"/>
    </row>
    <row r="140" spans="1:16" ht="15">
      <c r="A140" s="318"/>
      <c r="B140" s="315"/>
      <c r="C140" s="319">
        <v>2028</v>
      </c>
      <c r="D140" s="315" t="s">
        <v>257</v>
      </c>
      <c r="E140" s="322">
        <v>818</v>
      </c>
      <c r="F140" s="322">
        <v>300</v>
      </c>
      <c r="G140" s="322">
        <v>0</v>
      </c>
      <c r="H140" s="323">
        <v>0</v>
      </c>
      <c r="I140" s="324">
        <v>1</v>
      </c>
      <c r="J140" s="325" t="s">
        <v>258</v>
      </c>
      <c r="K140" s="325" t="s">
        <v>259</v>
      </c>
      <c r="L140" s="273">
        <f>IF(G140&lt;&gt;0,H140*1000*$N$136*(1-$N$137)/G140,0)</f>
        <v>0</v>
      </c>
      <c r="M140" s="273"/>
      <c r="N140" s="195"/>
    </row>
    <row r="141" spans="1:16" ht="15">
      <c r="A141" s="318"/>
      <c r="B141" s="315"/>
      <c r="C141" s="319"/>
      <c r="D141" s="315" t="s">
        <v>260</v>
      </c>
      <c r="E141" s="322">
        <v>600</v>
      </c>
      <c r="F141" s="322">
        <v>300</v>
      </c>
      <c r="G141" s="322">
        <v>0</v>
      </c>
      <c r="H141" s="323">
        <v>0</v>
      </c>
      <c r="I141" s="324">
        <v>1</v>
      </c>
      <c r="J141" s="325" t="s">
        <v>261</v>
      </c>
      <c r="K141" s="325" t="s">
        <v>258</v>
      </c>
      <c r="L141" s="273">
        <f t="shared" ref="L141:L160" si="0">IF(G141&lt;&gt;0,H141*1000*$N$136*(1-$N$137)/G141,0)</f>
        <v>0</v>
      </c>
      <c r="M141" s="273"/>
      <c r="N141" s="195"/>
    </row>
    <row r="142" spans="1:16" ht="15">
      <c r="A142" s="318"/>
      <c r="B142" s="315"/>
      <c r="C142" s="319"/>
      <c r="D142" s="315" t="s">
        <v>262</v>
      </c>
      <c r="E142" s="322">
        <v>200</v>
      </c>
      <c r="F142" s="322">
        <v>200</v>
      </c>
      <c r="G142" s="322">
        <v>0</v>
      </c>
      <c r="H142" s="323">
        <v>0</v>
      </c>
      <c r="I142" s="324">
        <v>1</v>
      </c>
      <c r="J142" s="325" t="s">
        <v>263</v>
      </c>
      <c r="K142" s="325" t="s">
        <v>261</v>
      </c>
      <c r="L142" s="273">
        <f t="shared" si="0"/>
        <v>0</v>
      </c>
      <c r="M142" s="273"/>
      <c r="N142" s="195"/>
    </row>
    <row r="143" spans="1:16" ht="15">
      <c r="A143" s="318"/>
      <c r="B143" s="315"/>
      <c r="C143" s="319"/>
      <c r="D143" s="315" t="s">
        <v>264</v>
      </c>
      <c r="E143" s="322">
        <v>0</v>
      </c>
      <c r="F143" s="322">
        <v>340</v>
      </c>
      <c r="G143" s="322">
        <v>0</v>
      </c>
      <c r="H143" s="323">
        <v>0</v>
      </c>
      <c r="I143" s="324">
        <v>1</v>
      </c>
      <c r="J143" s="325" t="s">
        <v>265</v>
      </c>
      <c r="K143" s="325" t="s">
        <v>265</v>
      </c>
      <c r="L143" s="273">
        <f t="shared" si="0"/>
        <v>0</v>
      </c>
      <c r="M143" s="273"/>
      <c r="N143" s="195"/>
    </row>
    <row r="144" spans="1:16" ht="15">
      <c r="A144" s="318"/>
      <c r="B144" s="315"/>
      <c r="C144" s="319"/>
      <c r="D144" s="315" t="s">
        <v>266</v>
      </c>
      <c r="E144" s="322">
        <v>0</v>
      </c>
      <c r="F144" s="322">
        <v>0</v>
      </c>
      <c r="G144" s="322">
        <v>152</v>
      </c>
      <c r="H144" s="323">
        <v>3.57</v>
      </c>
      <c r="I144" s="324">
        <v>1</v>
      </c>
      <c r="J144" s="325" t="s">
        <v>265</v>
      </c>
      <c r="K144" s="325" t="s">
        <v>265</v>
      </c>
      <c r="L144" s="273">
        <f t="shared" si="0"/>
        <v>0.97949761184210526</v>
      </c>
      <c r="M144" s="273"/>
      <c r="N144" s="195"/>
    </row>
    <row r="145" spans="1:14" ht="15">
      <c r="A145" s="318"/>
      <c r="B145" s="315"/>
      <c r="C145" s="319"/>
      <c r="D145" s="315" t="s">
        <v>267</v>
      </c>
      <c r="E145" s="322">
        <v>300</v>
      </c>
      <c r="F145" s="322">
        <v>300</v>
      </c>
      <c r="G145" s="322">
        <v>300</v>
      </c>
      <c r="H145" s="323">
        <v>137.51</v>
      </c>
      <c r="I145" s="324">
        <v>1</v>
      </c>
      <c r="J145" s="325" t="s">
        <v>268</v>
      </c>
      <c r="K145" s="325" t="s">
        <v>269</v>
      </c>
      <c r="L145" s="273">
        <f t="shared" si="0"/>
        <v>19.115769303333334</v>
      </c>
      <c r="M145" s="273"/>
      <c r="N145" s="195"/>
    </row>
    <row r="146" spans="1:14" ht="15">
      <c r="A146" s="318"/>
      <c r="B146" s="315"/>
      <c r="C146" s="319">
        <v>2029</v>
      </c>
      <c r="D146" s="315" t="s">
        <v>270</v>
      </c>
      <c r="E146" s="322">
        <v>433.2</v>
      </c>
      <c r="F146" s="322">
        <v>433.2</v>
      </c>
      <c r="G146" s="322">
        <v>433.2</v>
      </c>
      <c r="H146" s="323">
        <v>60.84</v>
      </c>
      <c r="I146" s="324">
        <v>1</v>
      </c>
      <c r="J146" s="325" t="s">
        <v>271</v>
      </c>
      <c r="K146" s="325" t="s">
        <v>269</v>
      </c>
      <c r="L146" s="273">
        <f t="shared" si="0"/>
        <v>5.8570578116343484</v>
      </c>
      <c r="M146" s="273"/>
      <c r="N146" s="195"/>
    </row>
    <row r="147" spans="1:14" ht="15">
      <c r="A147" s="318"/>
      <c r="B147" s="315"/>
      <c r="C147" s="319"/>
      <c r="D147" s="315" t="s">
        <v>272</v>
      </c>
      <c r="E147" s="322">
        <v>0</v>
      </c>
      <c r="F147" s="322">
        <v>0</v>
      </c>
      <c r="G147" s="322">
        <v>199</v>
      </c>
      <c r="H147" s="323">
        <v>13.9</v>
      </c>
      <c r="I147" s="324">
        <v>1</v>
      </c>
      <c r="J147" s="325" t="s">
        <v>265</v>
      </c>
      <c r="K147" s="325" t="s">
        <v>265</v>
      </c>
      <c r="L147" s="273">
        <f t="shared" si="0"/>
        <v>2.9129999497487438</v>
      </c>
      <c r="M147" s="273"/>
      <c r="N147" s="195"/>
    </row>
    <row r="148" spans="1:14" ht="15">
      <c r="A148" s="318"/>
      <c r="B148" s="315"/>
      <c r="C148" s="319"/>
      <c r="D148" s="315" t="s">
        <v>273</v>
      </c>
      <c r="E148" s="322">
        <v>0</v>
      </c>
      <c r="F148" s="322">
        <v>0</v>
      </c>
      <c r="G148" s="322">
        <v>122.52626751</v>
      </c>
      <c r="H148" s="323">
        <v>12.71</v>
      </c>
      <c r="I148" s="324">
        <v>0.19510552</v>
      </c>
      <c r="J148" s="325" t="s">
        <v>265</v>
      </c>
      <c r="K148" s="325" t="s">
        <v>265</v>
      </c>
      <c r="L148" s="273">
        <f t="shared" si="0"/>
        <v>4.3260855143305417</v>
      </c>
      <c r="M148" s="273"/>
      <c r="N148" s="195"/>
    </row>
    <row r="149" spans="1:14" ht="15">
      <c r="A149" s="318"/>
      <c r="B149" s="315"/>
      <c r="C149" s="319">
        <v>2030</v>
      </c>
      <c r="D149" s="315" t="s">
        <v>274</v>
      </c>
      <c r="E149" s="322">
        <v>400</v>
      </c>
      <c r="F149" s="322">
        <v>400</v>
      </c>
      <c r="G149" s="322">
        <v>400</v>
      </c>
      <c r="H149" s="323">
        <v>115.13</v>
      </c>
      <c r="I149" s="324">
        <v>1</v>
      </c>
      <c r="J149" s="325" t="s">
        <v>275</v>
      </c>
      <c r="K149" s="325" t="s">
        <v>258</v>
      </c>
      <c r="L149" s="273">
        <f t="shared" si="0"/>
        <v>12.0034825825</v>
      </c>
      <c r="M149" s="273"/>
      <c r="N149" s="195"/>
    </row>
    <row r="150" spans="1:14" ht="15">
      <c r="A150" s="318"/>
      <c r="B150" s="315"/>
      <c r="C150" s="319"/>
      <c r="D150" s="315" t="s">
        <v>276</v>
      </c>
      <c r="E150" s="322">
        <v>0</v>
      </c>
      <c r="F150" s="322">
        <v>0</v>
      </c>
      <c r="G150" s="322">
        <v>393</v>
      </c>
      <c r="H150" s="323">
        <v>2.2599999999999998</v>
      </c>
      <c r="I150" s="324">
        <v>1</v>
      </c>
      <c r="J150" s="325" t="s">
        <v>265</v>
      </c>
      <c r="K150" s="325" t="s">
        <v>265</v>
      </c>
      <c r="L150" s="273">
        <f t="shared" si="0"/>
        <v>0.23982510432569976</v>
      </c>
      <c r="M150" s="273"/>
      <c r="N150" s="195"/>
    </row>
    <row r="151" spans="1:14" ht="15">
      <c r="A151" s="318"/>
      <c r="B151" s="315"/>
      <c r="C151" s="319"/>
      <c r="D151" s="315" t="s">
        <v>273</v>
      </c>
      <c r="E151" s="322">
        <v>0</v>
      </c>
      <c r="F151" s="322">
        <v>0</v>
      </c>
      <c r="G151" s="322">
        <v>69.49052906</v>
      </c>
      <c r="H151" s="323">
        <v>7.37</v>
      </c>
      <c r="I151" s="324">
        <v>0.11065371</v>
      </c>
      <c r="J151" s="325" t="s">
        <v>265</v>
      </c>
      <c r="K151" s="325" t="s">
        <v>265</v>
      </c>
      <c r="L151" s="273">
        <f t="shared" si="0"/>
        <v>4.423037515437791</v>
      </c>
      <c r="M151" s="273"/>
      <c r="N151" s="195"/>
    </row>
    <row r="152" spans="1:14" ht="15">
      <c r="A152" s="318"/>
      <c r="B152" s="315"/>
      <c r="C152" s="319">
        <v>2035</v>
      </c>
      <c r="D152" s="315" t="s">
        <v>277</v>
      </c>
      <c r="E152" s="322">
        <v>0</v>
      </c>
      <c r="F152" s="322">
        <v>0</v>
      </c>
      <c r="G152" s="322">
        <v>78.377606729999997</v>
      </c>
      <c r="H152" s="323">
        <v>58.94</v>
      </c>
      <c r="I152" s="324">
        <v>0.15130811999999999</v>
      </c>
      <c r="J152" s="325" t="s">
        <v>265</v>
      </c>
      <c r="K152" s="325" t="s">
        <v>265</v>
      </c>
      <c r="L152" s="273">
        <f t="shared" si="0"/>
        <v>31.361504344826532</v>
      </c>
      <c r="M152" s="273"/>
      <c r="N152" s="195"/>
    </row>
    <row r="153" spans="1:14" ht="15">
      <c r="A153" s="318"/>
      <c r="B153" s="315"/>
      <c r="C153" s="319">
        <v>2036</v>
      </c>
      <c r="D153" s="315" t="s">
        <v>278</v>
      </c>
      <c r="E153" s="322">
        <v>800</v>
      </c>
      <c r="F153" s="322">
        <v>800</v>
      </c>
      <c r="G153" s="322">
        <v>800</v>
      </c>
      <c r="H153" s="323">
        <v>276.92</v>
      </c>
      <c r="I153" s="324">
        <v>1</v>
      </c>
      <c r="J153" s="325" t="s">
        <v>268</v>
      </c>
      <c r="K153" s="325" t="s">
        <v>269</v>
      </c>
      <c r="L153" s="273">
        <f t="shared" si="0"/>
        <v>14.435874215000002</v>
      </c>
      <c r="M153" s="273"/>
      <c r="N153" s="195"/>
    </row>
    <row r="154" spans="1:14" ht="15">
      <c r="A154" s="318"/>
      <c r="B154" s="315"/>
      <c r="C154" s="319">
        <v>2037</v>
      </c>
      <c r="D154" s="315" t="s">
        <v>277</v>
      </c>
      <c r="E154" s="322">
        <v>0</v>
      </c>
      <c r="F154" s="322">
        <v>0</v>
      </c>
      <c r="G154" s="322">
        <v>117.40434073999999</v>
      </c>
      <c r="H154" s="323">
        <v>92.09</v>
      </c>
      <c r="I154" s="324">
        <v>0.22664930999999999</v>
      </c>
      <c r="J154" s="325" t="s">
        <v>265</v>
      </c>
      <c r="K154" s="325" t="s">
        <v>265</v>
      </c>
      <c r="L154" s="273">
        <f t="shared" si="0"/>
        <v>32.711998081102635</v>
      </c>
      <c r="M154" s="273"/>
      <c r="N154" s="195"/>
    </row>
    <row r="155" spans="1:14" ht="15">
      <c r="A155" s="318"/>
      <c r="B155" s="315"/>
      <c r="C155" s="319"/>
      <c r="D155" s="315" t="s">
        <v>279</v>
      </c>
      <c r="E155" s="322">
        <v>75</v>
      </c>
      <c r="F155" s="322">
        <v>75</v>
      </c>
      <c r="G155" s="322">
        <v>42</v>
      </c>
      <c r="H155" s="323">
        <v>15.76</v>
      </c>
      <c r="I155" s="324">
        <v>1</v>
      </c>
      <c r="J155" s="325" t="s">
        <v>280</v>
      </c>
      <c r="K155" s="325" t="s">
        <v>269</v>
      </c>
      <c r="L155" s="273">
        <f t="shared" si="0"/>
        <v>15.648967047619047</v>
      </c>
      <c r="M155" s="325"/>
    </row>
    <row r="156" spans="1:14" ht="15">
      <c r="A156" s="318"/>
      <c r="B156" s="315"/>
      <c r="C156" s="319">
        <v>2039</v>
      </c>
      <c r="D156" s="315" t="s">
        <v>281</v>
      </c>
      <c r="E156" s="322">
        <v>0</v>
      </c>
      <c r="F156" s="322">
        <v>0</v>
      </c>
      <c r="G156" s="322">
        <v>70.945653100000001</v>
      </c>
      <c r="H156" s="323">
        <v>75.05</v>
      </c>
      <c r="I156" s="324">
        <v>0.18052329</v>
      </c>
      <c r="J156" s="325" t="s">
        <v>265</v>
      </c>
      <c r="K156" s="325" t="s">
        <v>265</v>
      </c>
      <c r="L156" s="273">
        <f t="shared" si="0"/>
        <v>44.116764991765223</v>
      </c>
      <c r="M156" s="325"/>
    </row>
    <row r="157" spans="1:14" ht="15">
      <c r="A157" s="318"/>
      <c r="B157" s="315"/>
      <c r="C157" s="319"/>
      <c r="D157" s="315" t="s">
        <v>282</v>
      </c>
      <c r="E157" s="322">
        <v>450</v>
      </c>
      <c r="F157" s="322">
        <v>450</v>
      </c>
      <c r="G157" s="322">
        <v>450</v>
      </c>
      <c r="H157" s="323">
        <v>480.72</v>
      </c>
      <c r="I157" s="324">
        <v>1</v>
      </c>
      <c r="J157" s="325" t="s">
        <v>283</v>
      </c>
      <c r="K157" s="325" t="s">
        <v>284</v>
      </c>
      <c r="L157" s="273">
        <f t="shared" si="0"/>
        <v>44.55109989333333</v>
      </c>
      <c r="M157" s="325"/>
    </row>
    <row r="158" spans="1:14" ht="15">
      <c r="A158" s="318"/>
      <c r="B158" s="315"/>
      <c r="C158" s="319">
        <v>2043</v>
      </c>
      <c r="D158" s="315" t="s">
        <v>285</v>
      </c>
      <c r="E158" s="322">
        <v>0</v>
      </c>
      <c r="F158" s="322">
        <v>0</v>
      </c>
      <c r="G158" s="322">
        <v>54.105130359999997</v>
      </c>
      <c r="H158" s="323">
        <v>12.81</v>
      </c>
      <c r="I158" s="324">
        <v>0.23422134</v>
      </c>
      <c r="J158" s="325" t="s">
        <v>265</v>
      </c>
      <c r="K158" s="325" t="s">
        <v>265</v>
      </c>
      <c r="L158" s="273">
        <f t="shared" si="0"/>
        <v>9.8739161599905625</v>
      </c>
      <c r="M158" s="325"/>
    </row>
    <row r="159" spans="1:14" ht="15">
      <c r="A159" s="318"/>
      <c r="B159" s="315"/>
      <c r="C159" s="319">
        <v>2045</v>
      </c>
      <c r="D159" s="315" t="s">
        <v>286</v>
      </c>
      <c r="E159" s="322">
        <v>150</v>
      </c>
      <c r="F159" s="322">
        <v>150</v>
      </c>
      <c r="G159" s="322">
        <v>359</v>
      </c>
      <c r="H159" s="323">
        <v>144.52000000000001</v>
      </c>
      <c r="I159" s="324">
        <v>1</v>
      </c>
      <c r="J159" s="325" t="s">
        <v>280</v>
      </c>
      <c r="K159" s="325" t="s">
        <v>271</v>
      </c>
      <c r="L159" s="273">
        <f t="shared" si="0"/>
        <v>16.788514016713091</v>
      </c>
      <c r="M159" s="325"/>
    </row>
    <row r="160" spans="1:14" ht="15">
      <c r="B160" s="315"/>
      <c r="C160" s="326" t="s">
        <v>287</v>
      </c>
      <c r="D160" s="326"/>
      <c r="E160" s="327">
        <v>4226.2</v>
      </c>
      <c r="F160" s="327">
        <v>3748.2</v>
      </c>
      <c r="G160" s="327">
        <v>4041.0495275000003</v>
      </c>
      <c r="H160" s="328">
        <v>1510.1</v>
      </c>
      <c r="I160" s="329">
        <v>15.098461289999998</v>
      </c>
      <c r="J160" s="325" t="s">
        <v>288</v>
      </c>
      <c r="K160" s="325" t="s">
        <v>288</v>
      </c>
      <c r="L160" s="311">
        <f t="shared" si="0"/>
        <v>15.584407214370621</v>
      </c>
      <c r="M160" s="325"/>
    </row>
    <row r="164" spans="1:16" s="147" customFormat="1">
      <c r="A164" s="147" t="s">
        <v>87</v>
      </c>
      <c r="B164" s="147" t="s">
        <v>88</v>
      </c>
      <c r="C164" s="147" t="s">
        <v>89</v>
      </c>
      <c r="D164" s="147" t="s">
        <v>90</v>
      </c>
      <c r="E164" s="147" t="s">
        <v>91</v>
      </c>
      <c r="F164" s="147" t="s">
        <v>92</v>
      </c>
      <c r="G164" s="147" t="s">
        <v>93</v>
      </c>
      <c r="H164" s="147" t="s">
        <v>94</v>
      </c>
      <c r="I164" s="147" t="s">
        <v>95</v>
      </c>
      <c r="J164" s="147" t="s">
        <v>96</v>
      </c>
      <c r="K164" s="147" t="s">
        <v>97</v>
      </c>
      <c r="L164" s="147" t="s">
        <v>98</v>
      </c>
      <c r="M164" s="147" t="s">
        <v>99</v>
      </c>
      <c r="N164" s="147" t="s">
        <v>100</v>
      </c>
      <c r="O164" s="147" t="s">
        <v>101</v>
      </c>
      <c r="P164" s="147" t="s">
        <v>0</v>
      </c>
    </row>
    <row r="165" spans="1:16">
      <c r="A165" t="s">
        <v>102</v>
      </c>
      <c r="B165" t="s">
        <v>128</v>
      </c>
      <c r="C165" t="s">
        <v>104</v>
      </c>
      <c r="D165" s="330">
        <v>1</v>
      </c>
      <c r="F165" t="s">
        <v>105</v>
      </c>
      <c r="G165">
        <v>1</v>
      </c>
      <c r="H165" s="314">
        <v>45658</v>
      </c>
      <c r="K165" t="s">
        <v>106</v>
      </c>
      <c r="N165" t="s">
        <v>294</v>
      </c>
      <c r="O165" t="s">
        <v>141</v>
      </c>
      <c r="P165">
        <f>YEAR(H165)</f>
        <v>2025</v>
      </c>
    </row>
    <row r="166" spans="1:16">
      <c r="A166" t="s">
        <v>102</v>
      </c>
      <c r="B166" t="s">
        <v>128</v>
      </c>
      <c r="C166" t="s">
        <v>104</v>
      </c>
      <c r="D166" s="330">
        <v>0.94920000000000004</v>
      </c>
      <c r="F166" t="s">
        <v>105</v>
      </c>
      <c r="G166">
        <v>1</v>
      </c>
      <c r="H166" s="314">
        <v>46023</v>
      </c>
      <c r="K166" t="s">
        <v>106</v>
      </c>
      <c r="N166" t="s">
        <v>294</v>
      </c>
      <c r="O166" t="s">
        <v>141</v>
      </c>
      <c r="P166">
        <f t="shared" ref="P166:P208" si="1">YEAR(H166)</f>
        <v>2026</v>
      </c>
    </row>
    <row r="167" spans="1:16">
      <c r="A167" t="s">
        <v>102</v>
      </c>
      <c r="B167" t="s">
        <v>128</v>
      </c>
      <c r="C167" t="s">
        <v>104</v>
      </c>
      <c r="D167" s="330">
        <v>0.92149999999999999</v>
      </c>
      <c r="F167" t="s">
        <v>105</v>
      </c>
      <c r="G167">
        <v>1</v>
      </c>
      <c r="H167" s="314">
        <v>46388</v>
      </c>
      <c r="K167" t="s">
        <v>106</v>
      </c>
      <c r="N167" t="s">
        <v>294</v>
      </c>
      <c r="O167" t="s">
        <v>141</v>
      </c>
      <c r="P167">
        <f t="shared" si="1"/>
        <v>2027</v>
      </c>
    </row>
    <row r="168" spans="1:16">
      <c r="A168" t="s">
        <v>102</v>
      </c>
      <c r="B168" t="s">
        <v>128</v>
      </c>
      <c r="C168" t="s">
        <v>104</v>
      </c>
      <c r="D168" s="330">
        <v>0.89200000000000002</v>
      </c>
      <c r="F168" t="s">
        <v>105</v>
      </c>
      <c r="G168">
        <v>1</v>
      </c>
      <c r="H168" s="314">
        <v>46753</v>
      </c>
      <c r="K168" t="s">
        <v>106</v>
      </c>
      <c r="N168" t="s">
        <v>294</v>
      </c>
      <c r="O168" t="s">
        <v>141</v>
      </c>
      <c r="P168">
        <f t="shared" si="1"/>
        <v>2028</v>
      </c>
    </row>
    <row r="169" spans="1:16">
      <c r="A169" t="s">
        <v>102</v>
      </c>
      <c r="B169" t="s">
        <v>128</v>
      </c>
      <c r="C169" t="s">
        <v>104</v>
      </c>
      <c r="D169" s="330">
        <v>0.8609</v>
      </c>
      <c r="F169" t="s">
        <v>105</v>
      </c>
      <c r="G169">
        <v>1</v>
      </c>
      <c r="H169" s="314">
        <v>47119</v>
      </c>
      <c r="K169" t="s">
        <v>106</v>
      </c>
      <c r="N169" t="s">
        <v>294</v>
      </c>
      <c r="O169" t="s">
        <v>141</v>
      </c>
      <c r="P169">
        <f t="shared" si="1"/>
        <v>2029</v>
      </c>
    </row>
    <row r="170" spans="1:16">
      <c r="A170" t="s">
        <v>102</v>
      </c>
      <c r="B170" t="s">
        <v>128</v>
      </c>
      <c r="C170" t="s">
        <v>104</v>
      </c>
      <c r="D170" s="330">
        <v>0.82789999999999997</v>
      </c>
      <c r="F170" t="s">
        <v>105</v>
      </c>
      <c r="G170">
        <v>1</v>
      </c>
      <c r="H170" s="314">
        <v>47484</v>
      </c>
      <c r="K170" t="s">
        <v>106</v>
      </c>
      <c r="N170" t="s">
        <v>294</v>
      </c>
      <c r="O170" t="s">
        <v>141</v>
      </c>
      <c r="P170">
        <f t="shared" si="1"/>
        <v>2030</v>
      </c>
    </row>
    <row r="171" spans="1:16">
      <c r="A171" t="s">
        <v>102</v>
      </c>
      <c r="B171" t="s">
        <v>128</v>
      </c>
      <c r="C171" t="s">
        <v>104</v>
      </c>
      <c r="D171" s="330">
        <v>0.79320000000000002</v>
      </c>
      <c r="F171" t="s">
        <v>105</v>
      </c>
      <c r="G171">
        <v>1</v>
      </c>
      <c r="H171" s="314">
        <v>47849</v>
      </c>
      <c r="K171" t="s">
        <v>106</v>
      </c>
      <c r="N171" t="s">
        <v>294</v>
      </c>
      <c r="O171" t="s">
        <v>141</v>
      </c>
      <c r="P171">
        <f t="shared" si="1"/>
        <v>2031</v>
      </c>
    </row>
    <row r="172" spans="1:16">
      <c r="A172" t="s">
        <v>102</v>
      </c>
      <c r="B172" t="s">
        <v>128</v>
      </c>
      <c r="C172" t="s">
        <v>104</v>
      </c>
      <c r="D172" s="330">
        <v>0.79759999999999998</v>
      </c>
      <c r="F172" t="s">
        <v>105</v>
      </c>
      <c r="G172">
        <v>1</v>
      </c>
      <c r="H172" s="314">
        <v>48214</v>
      </c>
      <c r="K172" t="s">
        <v>106</v>
      </c>
      <c r="N172" t="s">
        <v>294</v>
      </c>
      <c r="O172" t="s">
        <v>141</v>
      </c>
      <c r="P172">
        <f t="shared" si="1"/>
        <v>2032</v>
      </c>
    </row>
    <row r="173" spans="1:16">
      <c r="A173" t="s">
        <v>102</v>
      </c>
      <c r="B173" t="s">
        <v>128</v>
      </c>
      <c r="C173" t="s">
        <v>104</v>
      </c>
      <c r="D173" s="330">
        <v>0.80189999999999995</v>
      </c>
      <c r="F173" t="s">
        <v>105</v>
      </c>
      <c r="G173">
        <v>1</v>
      </c>
      <c r="H173" s="314">
        <v>48580</v>
      </c>
      <c r="K173" t="s">
        <v>106</v>
      </c>
      <c r="N173" t="s">
        <v>294</v>
      </c>
      <c r="O173" t="s">
        <v>141</v>
      </c>
      <c r="P173">
        <f t="shared" si="1"/>
        <v>2033</v>
      </c>
    </row>
    <row r="174" spans="1:16">
      <c r="A174" t="s">
        <v>102</v>
      </c>
      <c r="B174" t="s">
        <v>128</v>
      </c>
      <c r="C174" t="s">
        <v>104</v>
      </c>
      <c r="D174" s="330">
        <v>0.80600000000000005</v>
      </c>
      <c r="F174" t="s">
        <v>105</v>
      </c>
      <c r="G174">
        <v>1</v>
      </c>
      <c r="H174" s="314">
        <v>48945</v>
      </c>
      <c r="K174" t="s">
        <v>106</v>
      </c>
      <c r="N174" t="s">
        <v>294</v>
      </c>
      <c r="O174" t="s">
        <v>141</v>
      </c>
      <c r="P174">
        <f t="shared" si="1"/>
        <v>2034</v>
      </c>
    </row>
    <row r="175" spans="1:16">
      <c r="A175" t="s">
        <v>102</v>
      </c>
      <c r="B175" t="s">
        <v>128</v>
      </c>
      <c r="C175" t="s">
        <v>104</v>
      </c>
      <c r="D175" s="330">
        <v>0.81010000000000004</v>
      </c>
      <c r="F175" t="s">
        <v>105</v>
      </c>
      <c r="G175">
        <v>1</v>
      </c>
      <c r="H175" s="314">
        <v>49310</v>
      </c>
      <c r="K175" t="s">
        <v>106</v>
      </c>
      <c r="N175" t="s">
        <v>294</v>
      </c>
      <c r="O175" t="s">
        <v>141</v>
      </c>
      <c r="P175">
        <f t="shared" si="1"/>
        <v>2035</v>
      </c>
    </row>
    <row r="176" spans="1:16">
      <c r="A176" t="s">
        <v>102</v>
      </c>
      <c r="B176" t="s">
        <v>128</v>
      </c>
      <c r="C176" t="s">
        <v>104</v>
      </c>
      <c r="D176" s="330">
        <v>0.81430000000000002</v>
      </c>
      <c r="F176" t="s">
        <v>105</v>
      </c>
      <c r="G176">
        <v>1</v>
      </c>
      <c r="H176" s="314">
        <v>49675</v>
      </c>
      <c r="K176" t="s">
        <v>106</v>
      </c>
      <c r="N176" t="s">
        <v>294</v>
      </c>
      <c r="O176" t="s">
        <v>141</v>
      </c>
      <c r="P176">
        <f t="shared" si="1"/>
        <v>2036</v>
      </c>
    </row>
    <row r="177" spans="1:16">
      <c r="A177" t="s">
        <v>102</v>
      </c>
      <c r="B177" t="s">
        <v>128</v>
      </c>
      <c r="C177" t="s">
        <v>104</v>
      </c>
      <c r="D177" s="330">
        <v>0.81840000000000002</v>
      </c>
      <c r="F177" t="s">
        <v>105</v>
      </c>
      <c r="G177">
        <v>1</v>
      </c>
      <c r="H177" s="314">
        <v>50041</v>
      </c>
      <c r="K177" t="s">
        <v>106</v>
      </c>
      <c r="N177" t="s">
        <v>294</v>
      </c>
      <c r="O177" t="s">
        <v>141</v>
      </c>
      <c r="P177">
        <f t="shared" si="1"/>
        <v>2037</v>
      </c>
    </row>
    <row r="178" spans="1:16">
      <c r="A178" t="s">
        <v>102</v>
      </c>
      <c r="B178" t="s">
        <v>128</v>
      </c>
      <c r="C178" t="s">
        <v>104</v>
      </c>
      <c r="D178" s="330">
        <v>0.8226</v>
      </c>
      <c r="F178" t="s">
        <v>105</v>
      </c>
      <c r="G178">
        <v>1</v>
      </c>
      <c r="H178" s="314">
        <v>50406</v>
      </c>
      <c r="K178" t="s">
        <v>106</v>
      </c>
      <c r="N178" t="s">
        <v>294</v>
      </c>
      <c r="O178" t="s">
        <v>141</v>
      </c>
      <c r="P178">
        <f t="shared" si="1"/>
        <v>2038</v>
      </c>
    </row>
    <row r="179" spans="1:16">
      <c r="A179" t="s">
        <v>102</v>
      </c>
      <c r="B179" t="s">
        <v>128</v>
      </c>
      <c r="C179" t="s">
        <v>104</v>
      </c>
      <c r="D179" s="330">
        <v>0.82679999999999998</v>
      </c>
      <c r="F179" t="s">
        <v>105</v>
      </c>
      <c r="G179">
        <v>1</v>
      </c>
      <c r="H179" s="314">
        <v>50771</v>
      </c>
      <c r="K179" t="s">
        <v>106</v>
      </c>
      <c r="N179" t="s">
        <v>294</v>
      </c>
      <c r="O179" t="s">
        <v>141</v>
      </c>
      <c r="P179">
        <f t="shared" si="1"/>
        <v>2039</v>
      </c>
    </row>
    <row r="180" spans="1:16">
      <c r="A180" t="s">
        <v>102</v>
      </c>
      <c r="B180" t="s">
        <v>128</v>
      </c>
      <c r="C180" t="s">
        <v>104</v>
      </c>
      <c r="D180" s="330">
        <v>0.83099999999999996</v>
      </c>
      <c r="F180" t="s">
        <v>105</v>
      </c>
      <c r="G180">
        <v>1</v>
      </c>
      <c r="H180" s="314">
        <v>51136</v>
      </c>
      <c r="K180" t="s">
        <v>106</v>
      </c>
      <c r="N180" t="s">
        <v>294</v>
      </c>
      <c r="O180" t="s">
        <v>141</v>
      </c>
      <c r="P180">
        <f t="shared" si="1"/>
        <v>2040</v>
      </c>
    </row>
    <row r="181" spans="1:16">
      <c r="A181" t="s">
        <v>102</v>
      </c>
      <c r="B181" t="s">
        <v>128</v>
      </c>
      <c r="C181" t="s">
        <v>104</v>
      </c>
      <c r="D181" s="330">
        <v>0.83530000000000004</v>
      </c>
      <c r="F181" t="s">
        <v>105</v>
      </c>
      <c r="G181">
        <v>1</v>
      </c>
      <c r="H181" s="314">
        <v>51502</v>
      </c>
      <c r="K181" t="s">
        <v>106</v>
      </c>
      <c r="N181" t="s">
        <v>294</v>
      </c>
      <c r="O181" t="s">
        <v>141</v>
      </c>
      <c r="P181">
        <f t="shared" si="1"/>
        <v>2041</v>
      </c>
    </row>
    <row r="182" spans="1:16">
      <c r="A182" t="s">
        <v>102</v>
      </c>
      <c r="B182" t="s">
        <v>128</v>
      </c>
      <c r="C182" t="s">
        <v>104</v>
      </c>
      <c r="D182" s="330">
        <v>0.83960000000000001</v>
      </c>
      <c r="F182" t="s">
        <v>105</v>
      </c>
      <c r="G182">
        <v>1</v>
      </c>
      <c r="H182" s="314">
        <v>51867</v>
      </c>
      <c r="K182" t="s">
        <v>106</v>
      </c>
      <c r="N182" t="s">
        <v>294</v>
      </c>
      <c r="O182" t="s">
        <v>141</v>
      </c>
      <c r="P182">
        <f t="shared" si="1"/>
        <v>2042</v>
      </c>
    </row>
    <row r="183" spans="1:16">
      <c r="A183" t="s">
        <v>102</v>
      </c>
      <c r="B183" t="s">
        <v>128</v>
      </c>
      <c r="C183" t="s">
        <v>104</v>
      </c>
      <c r="D183" s="330">
        <v>0.84389999999999998</v>
      </c>
      <c r="F183" t="s">
        <v>105</v>
      </c>
      <c r="G183">
        <v>1</v>
      </c>
      <c r="H183" s="314">
        <v>52232</v>
      </c>
      <c r="K183" t="s">
        <v>106</v>
      </c>
      <c r="N183" t="s">
        <v>294</v>
      </c>
      <c r="O183" t="s">
        <v>141</v>
      </c>
      <c r="P183">
        <f t="shared" si="1"/>
        <v>2043</v>
      </c>
    </row>
    <row r="184" spans="1:16">
      <c r="A184" t="s">
        <v>102</v>
      </c>
      <c r="B184" t="s">
        <v>128</v>
      </c>
      <c r="C184" t="s">
        <v>104</v>
      </c>
      <c r="D184" s="330">
        <v>0.84819999999999995</v>
      </c>
      <c r="F184" t="s">
        <v>105</v>
      </c>
      <c r="G184">
        <v>1</v>
      </c>
      <c r="H184" s="314">
        <v>52597</v>
      </c>
      <c r="K184" t="s">
        <v>106</v>
      </c>
      <c r="N184" t="s">
        <v>294</v>
      </c>
      <c r="O184" t="s">
        <v>141</v>
      </c>
      <c r="P184">
        <f t="shared" si="1"/>
        <v>2044</v>
      </c>
    </row>
    <row r="185" spans="1:16">
      <c r="A185" t="s">
        <v>102</v>
      </c>
      <c r="B185" t="s">
        <v>128</v>
      </c>
      <c r="C185" t="s">
        <v>104</v>
      </c>
      <c r="D185" s="330">
        <v>0.85250000000000004</v>
      </c>
      <c r="F185" t="s">
        <v>105</v>
      </c>
      <c r="G185">
        <v>1</v>
      </c>
      <c r="H185" s="314">
        <v>52963</v>
      </c>
      <c r="K185" t="s">
        <v>106</v>
      </c>
      <c r="N185" t="s">
        <v>294</v>
      </c>
      <c r="O185" t="s">
        <v>141</v>
      </c>
      <c r="P185">
        <f t="shared" si="1"/>
        <v>2045</v>
      </c>
    </row>
    <row r="186" spans="1:16">
      <c r="P186">
        <f t="shared" si="1"/>
        <v>1900</v>
      </c>
    </row>
    <row r="187" spans="1:16">
      <c r="A187" t="s">
        <v>87</v>
      </c>
      <c r="B187" t="s">
        <v>88</v>
      </c>
      <c r="C187" t="s">
        <v>89</v>
      </c>
      <c r="D187" t="s">
        <v>90</v>
      </c>
      <c r="E187" t="s">
        <v>91</v>
      </c>
      <c r="F187" t="s">
        <v>92</v>
      </c>
      <c r="G187" t="s">
        <v>93</v>
      </c>
      <c r="H187" t="s">
        <v>94</v>
      </c>
      <c r="I187" t="s">
        <v>95</v>
      </c>
      <c r="J187" t="s">
        <v>96</v>
      </c>
      <c r="K187" t="s">
        <v>97</v>
      </c>
      <c r="L187" t="s">
        <v>98</v>
      </c>
      <c r="M187" t="s">
        <v>99</v>
      </c>
      <c r="N187" t="s">
        <v>100</v>
      </c>
      <c r="O187" t="s">
        <v>101</v>
      </c>
    </row>
    <row r="188" spans="1:16">
      <c r="A188" t="s">
        <v>102</v>
      </c>
      <c r="B188" t="s">
        <v>134</v>
      </c>
      <c r="C188" t="s">
        <v>104</v>
      </c>
      <c r="D188" s="330">
        <v>1</v>
      </c>
      <c r="F188" t="s">
        <v>105</v>
      </c>
      <c r="G188">
        <v>1</v>
      </c>
      <c r="H188" s="314">
        <v>45658</v>
      </c>
      <c r="I188" s="314"/>
      <c r="K188" t="s">
        <v>106</v>
      </c>
      <c r="N188" t="s">
        <v>294</v>
      </c>
      <c r="O188" t="s">
        <v>141</v>
      </c>
      <c r="P188">
        <f t="shared" si="1"/>
        <v>2025</v>
      </c>
    </row>
    <row r="189" spans="1:16">
      <c r="A189" t="s">
        <v>102</v>
      </c>
      <c r="B189" t="s">
        <v>134</v>
      </c>
      <c r="C189" t="s">
        <v>104</v>
      </c>
      <c r="D189" s="330">
        <v>1.0223</v>
      </c>
      <c r="F189" t="s">
        <v>105</v>
      </c>
      <c r="G189">
        <v>1</v>
      </c>
      <c r="H189" s="314">
        <v>46023</v>
      </c>
      <c r="I189" s="314"/>
      <c r="K189" t="s">
        <v>106</v>
      </c>
      <c r="N189" t="s">
        <v>294</v>
      </c>
      <c r="O189" t="s">
        <v>141</v>
      </c>
      <c r="P189">
        <f t="shared" si="1"/>
        <v>2026</v>
      </c>
    </row>
    <row r="190" spans="1:16">
      <c r="A190" t="s">
        <v>102</v>
      </c>
      <c r="B190" t="s">
        <v>134</v>
      </c>
      <c r="C190" t="s">
        <v>104</v>
      </c>
      <c r="D190" s="330">
        <v>1.0335000000000001</v>
      </c>
      <c r="F190" t="s">
        <v>105</v>
      </c>
      <c r="G190">
        <v>1</v>
      </c>
      <c r="H190" s="314">
        <v>46388</v>
      </c>
      <c r="I190" s="314"/>
      <c r="K190" t="s">
        <v>106</v>
      </c>
      <c r="N190" t="s">
        <v>294</v>
      </c>
      <c r="O190" t="s">
        <v>141</v>
      </c>
      <c r="P190">
        <f t="shared" si="1"/>
        <v>2027</v>
      </c>
    </row>
    <row r="191" spans="1:16">
      <c r="A191" t="s">
        <v>102</v>
      </c>
      <c r="B191" t="s">
        <v>134</v>
      </c>
      <c r="C191" t="s">
        <v>104</v>
      </c>
      <c r="D191" s="330">
        <v>1.0447</v>
      </c>
      <c r="F191" t="s">
        <v>105</v>
      </c>
      <c r="G191">
        <v>1</v>
      </c>
      <c r="H191" s="314">
        <v>46753</v>
      </c>
      <c r="I191" s="314"/>
      <c r="K191" t="s">
        <v>106</v>
      </c>
      <c r="N191" t="s">
        <v>294</v>
      </c>
      <c r="O191" t="s">
        <v>141</v>
      </c>
      <c r="P191">
        <f t="shared" si="1"/>
        <v>2028</v>
      </c>
    </row>
    <row r="192" spans="1:16">
      <c r="A192" t="s">
        <v>102</v>
      </c>
      <c r="B192" t="s">
        <v>134</v>
      </c>
      <c r="C192" t="s">
        <v>104</v>
      </c>
      <c r="D192" s="330">
        <v>1.0559000000000001</v>
      </c>
      <c r="F192" t="s">
        <v>105</v>
      </c>
      <c r="G192">
        <v>1</v>
      </c>
      <c r="H192" s="314">
        <v>47119</v>
      </c>
      <c r="I192" s="314"/>
      <c r="K192" t="s">
        <v>106</v>
      </c>
      <c r="N192" t="s">
        <v>294</v>
      </c>
      <c r="O192" t="s">
        <v>141</v>
      </c>
      <c r="P192">
        <f t="shared" si="1"/>
        <v>2029</v>
      </c>
    </row>
    <row r="193" spans="1:16">
      <c r="A193" t="s">
        <v>102</v>
      </c>
      <c r="B193" t="s">
        <v>134</v>
      </c>
      <c r="C193" t="s">
        <v>104</v>
      </c>
      <c r="D193" s="330">
        <v>1.0670999999999999</v>
      </c>
      <c r="F193" t="s">
        <v>105</v>
      </c>
      <c r="G193">
        <v>1</v>
      </c>
      <c r="H193" s="314">
        <v>47484</v>
      </c>
      <c r="I193" s="314"/>
      <c r="K193" t="s">
        <v>106</v>
      </c>
      <c r="N193" t="s">
        <v>294</v>
      </c>
      <c r="O193" t="s">
        <v>141</v>
      </c>
      <c r="P193">
        <f t="shared" si="1"/>
        <v>2030</v>
      </c>
    </row>
    <row r="194" spans="1:16">
      <c r="A194" t="s">
        <v>102</v>
      </c>
      <c r="B194" t="s">
        <v>134</v>
      </c>
      <c r="C194" t="s">
        <v>104</v>
      </c>
      <c r="D194" s="330">
        <v>1.0782</v>
      </c>
      <c r="F194" t="s">
        <v>105</v>
      </c>
      <c r="G194">
        <v>1</v>
      </c>
      <c r="H194" s="314">
        <v>47849</v>
      </c>
      <c r="I194" s="314"/>
      <c r="K194" t="s">
        <v>106</v>
      </c>
      <c r="N194" t="s">
        <v>294</v>
      </c>
      <c r="O194" t="s">
        <v>141</v>
      </c>
      <c r="P194">
        <f t="shared" si="1"/>
        <v>2031</v>
      </c>
    </row>
    <row r="195" spans="1:16">
      <c r="A195" t="s">
        <v>102</v>
      </c>
      <c r="B195" t="s">
        <v>134</v>
      </c>
      <c r="C195" t="s">
        <v>104</v>
      </c>
      <c r="D195" s="330">
        <v>1.0893999999999999</v>
      </c>
      <c r="F195" t="s">
        <v>105</v>
      </c>
      <c r="G195">
        <v>1</v>
      </c>
      <c r="H195" s="314">
        <v>48214</v>
      </c>
      <c r="I195" s="314"/>
      <c r="K195" t="s">
        <v>106</v>
      </c>
      <c r="N195" t="s">
        <v>294</v>
      </c>
      <c r="O195" t="s">
        <v>141</v>
      </c>
      <c r="P195">
        <f t="shared" si="1"/>
        <v>2032</v>
      </c>
    </row>
    <row r="196" spans="1:16">
      <c r="A196" t="s">
        <v>102</v>
      </c>
      <c r="B196" t="s">
        <v>134</v>
      </c>
      <c r="C196" t="s">
        <v>104</v>
      </c>
      <c r="D196" s="330">
        <v>1.1005</v>
      </c>
      <c r="F196" t="s">
        <v>105</v>
      </c>
      <c r="G196">
        <v>1</v>
      </c>
      <c r="H196" s="314">
        <v>48580</v>
      </c>
      <c r="I196" s="314"/>
      <c r="K196" t="s">
        <v>106</v>
      </c>
      <c r="N196" t="s">
        <v>294</v>
      </c>
      <c r="O196" t="s">
        <v>141</v>
      </c>
      <c r="P196">
        <f t="shared" si="1"/>
        <v>2033</v>
      </c>
    </row>
    <row r="197" spans="1:16">
      <c r="A197" t="s">
        <v>102</v>
      </c>
      <c r="B197" t="s">
        <v>134</v>
      </c>
      <c r="C197" t="s">
        <v>104</v>
      </c>
      <c r="D197" s="330">
        <v>1.1115999999999999</v>
      </c>
      <c r="F197" t="s">
        <v>105</v>
      </c>
      <c r="G197">
        <v>1</v>
      </c>
      <c r="H197" s="314">
        <v>48945</v>
      </c>
      <c r="I197" s="314"/>
      <c r="K197" t="s">
        <v>106</v>
      </c>
      <c r="N197" t="s">
        <v>294</v>
      </c>
      <c r="O197" t="s">
        <v>141</v>
      </c>
      <c r="P197">
        <f t="shared" si="1"/>
        <v>2034</v>
      </c>
    </row>
    <row r="198" spans="1:16">
      <c r="A198" t="s">
        <v>102</v>
      </c>
      <c r="B198" t="s">
        <v>134</v>
      </c>
      <c r="C198" t="s">
        <v>104</v>
      </c>
      <c r="D198" s="330">
        <v>1.1228</v>
      </c>
      <c r="F198" t="s">
        <v>105</v>
      </c>
      <c r="G198">
        <v>1</v>
      </c>
      <c r="H198" s="314">
        <v>49310</v>
      </c>
      <c r="I198" s="314"/>
      <c r="K198" t="s">
        <v>106</v>
      </c>
      <c r="N198" t="s">
        <v>294</v>
      </c>
      <c r="O198" t="s">
        <v>141</v>
      </c>
      <c r="P198">
        <f t="shared" si="1"/>
        <v>2035</v>
      </c>
    </row>
    <row r="199" spans="1:16">
      <c r="A199" t="s">
        <v>102</v>
      </c>
      <c r="B199" t="s">
        <v>134</v>
      </c>
      <c r="C199" t="s">
        <v>104</v>
      </c>
      <c r="D199" s="330">
        <v>1.1341000000000001</v>
      </c>
      <c r="F199" t="s">
        <v>105</v>
      </c>
      <c r="G199">
        <v>1</v>
      </c>
      <c r="H199" s="314">
        <v>49675</v>
      </c>
      <c r="I199" s="314"/>
      <c r="K199" t="s">
        <v>106</v>
      </c>
      <c r="N199" t="s">
        <v>294</v>
      </c>
      <c r="O199" t="s">
        <v>141</v>
      </c>
      <c r="P199">
        <f t="shared" si="1"/>
        <v>2036</v>
      </c>
    </row>
    <row r="200" spans="1:16">
      <c r="A200" t="s">
        <v>102</v>
      </c>
      <c r="B200" t="s">
        <v>134</v>
      </c>
      <c r="C200" t="s">
        <v>104</v>
      </c>
      <c r="D200" s="330">
        <v>1.1455</v>
      </c>
      <c r="F200" t="s">
        <v>105</v>
      </c>
      <c r="G200">
        <v>1</v>
      </c>
      <c r="H200" s="314">
        <v>50041</v>
      </c>
      <c r="I200" s="314"/>
      <c r="K200" t="s">
        <v>106</v>
      </c>
      <c r="N200" t="s">
        <v>294</v>
      </c>
      <c r="O200" t="s">
        <v>141</v>
      </c>
      <c r="P200">
        <f t="shared" si="1"/>
        <v>2037</v>
      </c>
    </row>
    <row r="201" spans="1:16">
      <c r="A201" t="s">
        <v>102</v>
      </c>
      <c r="B201" t="s">
        <v>134</v>
      </c>
      <c r="C201" t="s">
        <v>104</v>
      </c>
      <c r="D201" s="330">
        <v>1.157</v>
      </c>
      <c r="F201" t="s">
        <v>105</v>
      </c>
      <c r="G201">
        <v>1</v>
      </c>
      <c r="H201" s="314">
        <v>50406</v>
      </c>
      <c r="I201" s="314"/>
      <c r="K201" t="s">
        <v>106</v>
      </c>
      <c r="N201" t="s">
        <v>294</v>
      </c>
      <c r="O201" t="s">
        <v>141</v>
      </c>
      <c r="P201">
        <f t="shared" si="1"/>
        <v>2038</v>
      </c>
    </row>
    <row r="202" spans="1:16">
      <c r="A202" t="s">
        <v>102</v>
      </c>
      <c r="B202" t="s">
        <v>134</v>
      </c>
      <c r="C202" t="s">
        <v>104</v>
      </c>
      <c r="D202" s="330">
        <v>1.1687000000000001</v>
      </c>
      <c r="F202" t="s">
        <v>105</v>
      </c>
      <c r="G202">
        <v>1</v>
      </c>
      <c r="H202" s="314">
        <v>50771</v>
      </c>
      <c r="I202" s="314"/>
      <c r="K202" t="s">
        <v>106</v>
      </c>
      <c r="N202" t="s">
        <v>294</v>
      </c>
      <c r="O202" t="s">
        <v>141</v>
      </c>
      <c r="P202">
        <f t="shared" si="1"/>
        <v>2039</v>
      </c>
    </row>
    <row r="203" spans="1:16">
      <c r="A203" t="s">
        <v>102</v>
      </c>
      <c r="B203" t="s">
        <v>134</v>
      </c>
      <c r="C203" t="s">
        <v>104</v>
      </c>
      <c r="D203" s="330">
        <v>1.1803999999999999</v>
      </c>
      <c r="F203" t="s">
        <v>105</v>
      </c>
      <c r="G203">
        <v>1</v>
      </c>
      <c r="H203" s="314">
        <v>51136</v>
      </c>
      <c r="I203" s="314"/>
      <c r="K203" t="s">
        <v>106</v>
      </c>
      <c r="N203" t="s">
        <v>294</v>
      </c>
      <c r="O203" t="s">
        <v>141</v>
      </c>
      <c r="P203">
        <f t="shared" si="1"/>
        <v>2040</v>
      </c>
    </row>
    <row r="204" spans="1:16">
      <c r="A204" t="s">
        <v>102</v>
      </c>
      <c r="B204" t="s">
        <v>134</v>
      </c>
      <c r="C204" t="s">
        <v>104</v>
      </c>
      <c r="D204" s="330">
        <v>1.1922999999999999</v>
      </c>
      <c r="F204" t="s">
        <v>105</v>
      </c>
      <c r="G204">
        <v>1</v>
      </c>
      <c r="H204" s="314">
        <v>51502</v>
      </c>
      <c r="I204" s="314"/>
      <c r="K204" t="s">
        <v>106</v>
      </c>
      <c r="N204" t="s">
        <v>294</v>
      </c>
      <c r="O204" t="s">
        <v>141</v>
      </c>
      <c r="P204">
        <f t="shared" si="1"/>
        <v>2041</v>
      </c>
    </row>
    <row r="205" spans="1:16">
      <c r="A205" t="s">
        <v>102</v>
      </c>
      <c r="B205" t="s">
        <v>134</v>
      </c>
      <c r="C205" t="s">
        <v>104</v>
      </c>
      <c r="D205" s="330">
        <v>1.2042999999999999</v>
      </c>
      <c r="F205" t="s">
        <v>105</v>
      </c>
      <c r="G205">
        <v>1</v>
      </c>
      <c r="H205" s="314">
        <v>51867</v>
      </c>
      <c r="I205" s="314"/>
      <c r="K205" t="s">
        <v>106</v>
      </c>
      <c r="N205" t="s">
        <v>294</v>
      </c>
      <c r="O205" t="s">
        <v>141</v>
      </c>
      <c r="P205">
        <f t="shared" si="1"/>
        <v>2042</v>
      </c>
    </row>
    <row r="206" spans="1:16">
      <c r="A206" t="s">
        <v>102</v>
      </c>
      <c r="B206" t="s">
        <v>134</v>
      </c>
      <c r="C206" t="s">
        <v>104</v>
      </c>
      <c r="D206" s="330">
        <v>1.2163999999999999</v>
      </c>
      <c r="F206" t="s">
        <v>105</v>
      </c>
      <c r="G206">
        <v>1</v>
      </c>
      <c r="H206" s="314">
        <v>52232</v>
      </c>
      <c r="I206" s="314"/>
      <c r="K206" t="s">
        <v>106</v>
      </c>
      <c r="N206" t="s">
        <v>294</v>
      </c>
      <c r="O206" t="s">
        <v>141</v>
      </c>
      <c r="P206">
        <f t="shared" si="1"/>
        <v>2043</v>
      </c>
    </row>
    <row r="207" spans="1:16">
      <c r="A207" t="s">
        <v>102</v>
      </c>
      <c r="B207" t="s">
        <v>134</v>
      </c>
      <c r="C207" t="s">
        <v>104</v>
      </c>
      <c r="D207" s="330">
        <v>1.2286999999999999</v>
      </c>
      <c r="F207" t="s">
        <v>105</v>
      </c>
      <c r="G207">
        <v>1</v>
      </c>
      <c r="H207" s="314">
        <v>52597</v>
      </c>
      <c r="I207" s="314"/>
      <c r="K207" t="s">
        <v>106</v>
      </c>
      <c r="N207" t="s">
        <v>294</v>
      </c>
      <c r="O207" t="s">
        <v>141</v>
      </c>
      <c r="P207">
        <f t="shared" si="1"/>
        <v>2044</v>
      </c>
    </row>
    <row r="208" spans="1:16">
      <c r="A208" t="s">
        <v>102</v>
      </c>
      <c r="B208" t="s">
        <v>134</v>
      </c>
      <c r="C208" t="s">
        <v>104</v>
      </c>
      <c r="D208" s="330">
        <v>1.2410000000000001</v>
      </c>
      <c r="F208" t="s">
        <v>105</v>
      </c>
      <c r="G208">
        <v>1</v>
      </c>
      <c r="H208" s="314">
        <v>52963</v>
      </c>
      <c r="I208" s="314"/>
      <c r="K208" t="s">
        <v>106</v>
      </c>
      <c r="N208" t="s">
        <v>294</v>
      </c>
      <c r="O208" t="s">
        <v>141</v>
      </c>
      <c r="P208">
        <f t="shared" si="1"/>
        <v>2045</v>
      </c>
    </row>
    <row r="210" spans="1:18">
      <c r="A210" t="s">
        <v>87</v>
      </c>
      <c r="B210" t="s">
        <v>88</v>
      </c>
      <c r="C210" t="s">
        <v>89</v>
      </c>
      <c r="D210" t="s">
        <v>90</v>
      </c>
      <c r="E210" t="s">
        <v>91</v>
      </c>
      <c r="F210" t="s">
        <v>92</v>
      </c>
      <c r="G210" t="s">
        <v>93</v>
      </c>
      <c r="H210" t="s">
        <v>94</v>
      </c>
      <c r="I210" t="s">
        <v>95</v>
      </c>
      <c r="J210" t="s">
        <v>96</v>
      </c>
      <c r="K210" t="s">
        <v>97</v>
      </c>
      <c r="L210" t="s">
        <v>98</v>
      </c>
      <c r="M210" t="s">
        <v>99</v>
      </c>
      <c r="N210" t="s">
        <v>100</v>
      </c>
      <c r="O210" t="s">
        <v>101</v>
      </c>
    </row>
    <row r="211" spans="1:18">
      <c r="A211" t="s">
        <v>102</v>
      </c>
      <c r="B211" t="s">
        <v>103</v>
      </c>
      <c r="C211" t="s">
        <v>104</v>
      </c>
      <c r="D211" s="330">
        <v>1</v>
      </c>
      <c r="F211" t="s">
        <v>105</v>
      </c>
      <c r="G211">
        <v>1</v>
      </c>
      <c r="H211" s="314">
        <v>45658</v>
      </c>
      <c r="I211" s="314"/>
      <c r="K211" t="s">
        <v>106</v>
      </c>
      <c r="N211" t="s">
        <v>295</v>
      </c>
      <c r="O211" t="s">
        <v>105</v>
      </c>
      <c r="P211">
        <f t="shared" ref="P211:P234" si="2">YEAR(H211)</f>
        <v>2025</v>
      </c>
    </row>
    <row r="212" spans="1:18">
      <c r="A212" t="s">
        <v>102</v>
      </c>
      <c r="B212" t="s">
        <v>103</v>
      </c>
      <c r="C212" t="s">
        <v>104</v>
      </c>
      <c r="D212" s="330">
        <v>1.0222</v>
      </c>
      <c r="F212" t="s">
        <v>105</v>
      </c>
      <c r="G212">
        <v>1</v>
      </c>
      <c r="H212" s="314">
        <v>46023</v>
      </c>
      <c r="I212" s="314"/>
      <c r="K212" t="s">
        <v>106</v>
      </c>
      <c r="N212" t="s">
        <v>295</v>
      </c>
      <c r="O212" t="s">
        <v>105</v>
      </c>
      <c r="P212">
        <f t="shared" si="2"/>
        <v>2026</v>
      </c>
      <c r="Q212" s="331">
        <f>D212/D211-1</f>
        <v>2.2199999999999998E-2</v>
      </c>
      <c r="R212" s="332"/>
    </row>
    <row r="213" spans="1:18">
      <c r="A213" t="s">
        <v>102</v>
      </c>
      <c r="B213" t="s">
        <v>103</v>
      </c>
      <c r="C213" t="s">
        <v>104</v>
      </c>
      <c r="D213" s="330">
        <v>1.0448928399999999</v>
      </c>
      <c r="F213" t="s">
        <v>105</v>
      </c>
      <c r="G213">
        <v>1</v>
      </c>
      <c r="H213" s="314">
        <v>46388</v>
      </c>
      <c r="I213" s="314"/>
      <c r="K213" t="s">
        <v>106</v>
      </c>
      <c r="N213" t="s">
        <v>295</v>
      </c>
      <c r="O213" t="s">
        <v>105</v>
      </c>
      <c r="P213">
        <f t="shared" si="2"/>
        <v>2027</v>
      </c>
      <c r="Q213" s="331">
        <f t="shared" ref="Q213:Q234" si="3">D213/D212-1</f>
        <v>2.2199999999999998E-2</v>
      </c>
      <c r="R213" s="332">
        <f>Q213-Q212</f>
        <v>0</v>
      </c>
    </row>
    <row r="214" spans="1:18">
      <c r="A214" t="s">
        <v>102</v>
      </c>
      <c r="B214" t="s">
        <v>103</v>
      </c>
      <c r="C214" t="s">
        <v>104</v>
      </c>
      <c r="D214" s="330">
        <v>1.068089461</v>
      </c>
      <c r="F214" t="s">
        <v>105</v>
      </c>
      <c r="G214">
        <v>1</v>
      </c>
      <c r="H214" s="314">
        <v>46753</v>
      </c>
      <c r="I214" s="314"/>
      <c r="K214" t="s">
        <v>106</v>
      </c>
      <c r="N214" t="s">
        <v>295</v>
      </c>
      <c r="O214" t="s">
        <v>105</v>
      </c>
      <c r="P214">
        <f t="shared" si="2"/>
        <v>2028</v>
      </c>
      <c r="Q214" s="331">
        <f t="shared" si="3"/>
        <v>2.2199999954062299E-2</v>
      </c>
      <c r="R214" s="332">
        <f t="shared" ref="R214:R234" si="4">Q214-Q213</f>
        <v>-4.5937698089915102E-11</v>
      </c>
    </row>
    <row r="215" spans="1:18">
      <c r="A215" t="s">
        <v>102</v>
      </c>
      <c r="B215" t="s">
        <v>103</v>
      </c>
      <c r="C215" t="s">
        <v>104</v>
      </c>
      <c r="D215" s="330">
        <v>1.0918010469999999</v>
      </c>
      <c r="F215" t="s">
        <v>105</v>
      </c>
      <c r="G215">
        <v>1</v>
      </c>
      <c r="H215" s="314">
        <v>47119</v>
      </c>
      <c r="I215" s="314"/>
      <c r="K215" t="s">
        <v>106</v>
      </c>
      <c r="N215" t="s">
        <v>295</v>
      </c>
      <c r="O215" t="s">
        <v>105</v>
      </c>
      <c r="P215">
        <f t="shared" si="2"/>
        <v>2029</v>
      </c>
      <c r="Q215" s="331">
        <f t="shared" si="3"/>
        <v>2.2199999967980055E-2</v>
      </c>
      <c r="R215" s="332">
        <f t="shared" si="4"/>
        <v>1.3917755836700962E-11</v>
      </c>
    </row>
    <row r="216" spans="1:18">
      <c r="A216" t="s">
        <v>102</v>
      </c>
      <c r="B216" t="s">
        <v>103</v>
      </c>
      <c r="C216" t="s">
        <v>104</v>
      </c>
      <c r="D216" s="330">
        <v>1.11603903</v>
      </c>
      <c r="F216" t="s">
        <v>105</v>
      </c>
      <c r="G216">
        <v>1</v>
      </c>
      <c r="H216" s="314">
        <v>47484</v>
      </c>
      <c r="I216" s="314"/>
      <c r="K216" t="s">
        <v>106</v>
      </c>
      <c r="N216" t="s">
        <v>295</v>
      </c>
      <c r="O216" t="s">
        <v>105</v>
      </c>
      <c r="P216">
        <f t="shared" si="2"/>
        <v>2030</v>
      </c>
      <c r="Q216" s="331">
        <f t="shared" si="3"/>
        <v>2.219999977706566E-2</v>
      </c>
      <c r="R216" s="332">
        <f t="shared" si="4"/>
        <v>-1.9091439540375177E-10</v>
      </c>
    </row>
    <row r="217" spans="1:18">
      <c r="A217" t="s">
        <v>102</v>
      </c>
      <c r="B217" t="s">
        <v>103</v>
      </c>
      <c r="C217" t="s">
        <v>104</v>
      </c>
      <c r="D217" s="330">
        <v>1.1408150969999999</v>
      </c>
      <c r="F217" t="s">
        <v>105</v>
      </c>
      <c r="G217">
        <v>1</v>
      </c>
      <c r="H217" s="314">
        <v>47849</v>
      </c>
      <c r="I217" s="314"/>
      <c r="K217" t="s">
        <v>106</v>
      </c>
      <c r="N217" t="s">
        <v>295</v>
      </c>
      <c r="O217" t="s">
        <v>105</v>
      </c>
      <c r="P217">
        <f t="shared" si="2"/>
        <v>2031</v>
      </c>
      <c r="Q217" s="331">
        <f t="shared" si="3"/>
        <v>2.2200000478477699E-2</v>
      </c>
      <c r="R217" s="332">
        <f t="shared" si="4"/>
        <v>7.0141203956097797E-10</v>
      </c>
    </row>
    <row r="218" spans="1:18">
      <c r="A218" t="s">
        <v>102</v>
      </c>
      <c r="B218" t="s">
        <v>103</v>
      </c>
      <c r="C218" t="s">
        <v>104</v>
      </c>
      <c r="D218" s="330">
        <v>1.166141192</v>
      </c>
      <c r="F218" t="s">
        <v>105</v>
      </c>
      <c r="G218">
        <v>1</v>
      </c>
      <c r="H218" s="314">
        <v>48214</v>
      </c>
      <c r="I218" s="314"/>
      <c r="K218" t="s">
        <v>106</v>
      </c>
      <c r="N218" t="s">
        <v>295</v>
      </c>
      <c r="O218" t="s">
        <v>105</v>
      </c>
      <c r="P218">
        <f t="shared" si="2"/>
        <v>2032</v>
      </c>
      <c r="Q218" s="331">
        <f t="shared" si="3"/>
        <v>2.2199999865534892E-2</v>
      </c>
      <c r="R218" s="332">
        <f t="shared" si="4"/>
        <v>-6.1294280762069775E-10</v>
      </c>
    </row>
    <row r="219" spans="1:18">
      <c r="A219" t="s">
        <v>102</v>
      </c>
      <c r="B219" t="s">
        <v>103</v>
      </c>
      <c r="C219" t="s">
        <v>104</v>
      </c>
      <c r="D219" s="330">
        <v>1.192029526</v>
      </c>
      <c r="F219" t="s">
        <v>105</v>
      </c>
      <c r="G219">
        <v>1</v>
      </c>
      <c r="H219" s="314">
        <v>48580</v>
      </c>
      <c r="I219" s="314"/>
      <c r="K219" t="s">
        <v>106</v>
      </c>
      <c r="N219" t="s">
        <v>295</v>
      </c>
      <c r="O219" t="s">
        <v>105</v>
      </c>
      <c r="P219">
        <f t="shared" si="2"/>
        <v>2033</v>
      </c>
      <c r="Q219" s="331">
        <f t="shared" si="3"/>
        <v>2.2199999603478515E-2</v>
      </c>
      <c r="R219" s="332">
        <f t="shared" si="4"/>
        <v>-2.6205637659870717E-10</v>
      </c>
    </row>
    <row r="220" spans="1:18">
      <c r="A220" t="s">
        <v>102</v>
      </c>
      <c r="B220" t="s">
        <v>103</v>
      </c>
      <c r="C220" t="s">
        <v>104</v>
      </c>
      <c r="D220" s="330">
        <v>1.2184925820000001</v>
      </c>
      <c r="F220" t="s">
        <v>105</v>
      </c>
      <c r="G220">
        <v>1</v>
      </c>
      <c r="H220" s="314">
        <v>48945</v>
      </c>
      <c r="I220" s="314"/>
      <c r="K220" t="s">
        <v>106</v>
      </c>
      <c r="N220" t="s">
        <v>295</v>
      </c>
      <c r="O220" t="s">
        <v>105</v>
      </c>
      <c r="P220">
        <f t="shared" si="2"/>
        <v>2034</v>
      </c>
      <c r="Q220" s="331">
        <f t="shared" si="3"/>
        <v>2.2200000438579837E-2</v>
      </c>
      <c r="R220" s="332">
        <f t="shared" si="4"/>
        <v>8.351013214280556E-10</v>
      </c>
    </row>
    <row r="221" spans="1:18">
      <c r="A221" t="s">
        <v>102</v>
      </c>
      <c r="B221" t="s">
        <v>103</v>
      </c>
      <c r="C221" t="s">
        <v>104</v>
      </c>
      <c r="D221" s="330">
        <v>1.245543117</v>
      </c>
      <c r="F221" t="s">
        <v>105</v>
      </c>
      <c r="G221">
        <v>1</v>
      </c>
      <c r="H221" s="314">
        <v>49310</v>
      </c>
      <c r="I221" s="314"/>
      <c r="K221" t="s">
        <v>106</v>
      </c>
      <c r="N221" t="s">
        <v>295</v>
      </c>
      <c r="O221" t="s">
        <v>105</v>
      </c>
      <c r="P221">
        <f t="shared" si="2"/>
        <v>2035</v>
      </c>
      <c r="Q221" s="331">
        <f t="shared" si="3"/>
        <v>2.2199999737052112E-2</v>
      </c>
      <c r="R221" s="332">
        <f t="shared" si="4"/>
        <v>-7.0152772480014391E-10</v>
      </c>
    </row>
    <row r="222" spans="1:18">
      <c r="A222" t="s">
        <v>102</v>
      </c>
      <c r="B222" t="s">
        <v>103</v>
      </c>
      <c r="C222" t="s">
        <v>104</v>
      </c>
      <c r="D222" s="330">
        <v>1.2731941739999999</v>
      </c>
      <c r="F222" t="s">
        <v>105</v>
      </c>
      <c r="G222">
        <v>1</v>
      </c>
      <c r="H222" s="314">
        <v>49675</v>
      </c>
      <c r="I222" s="314"/>
      <c r="K222" t="s">
        <v>106</v>
      </c>
      <c r="N222" t="s">
        <v>295</v>
      </c>
      <c r="O222" t="s">
        <v>105</v>
      </c>
      <c r="P222">
        <f t="shared" si="2"/>
        <v>2036</v>
      </c>
      <c r="Q222" s="331">
        <f t="shared" si="3"/>
        <v>2.2199999841514773E-2</v>
      </c>
      <c r="R222" s="332">
        <f t="shared" si="4"/>
        <v>1.0446266074382038E-10</v>
      </c>
    </row>
    <row r="223" spans="1:18">
      <c r="A223" t="s">
        <v>102</v>
      </c>
      <c r="B223" t="s">
        <v>103</v>
      </c>
      <c r="C223" t="s">
        <v>104</v>
      </c>
      <c r="D223" s="330">
        <v>1.3014590850000001</v>
      </c>
      <c r="F223" t="s">
        <v>105</v>
      </c>
      <c r="G223">
        <v>1</v>
      </c>
      <c r="H223" s="314">
        <v>50041</v>
      </c>
      <c r="I223" s="314"/>
      <c r="K223" t="s">
        <v>106</v>
      </c>
      <c r="N223" t="s">
        <v>295</v>
      </c>
      <c r="O223" t="s">
        <v>105</v>
      </c>
      <c r="P223">
        <f t="shared" si="2"/>
        <v>2037</v>
      </c>
      <c r="Q223" s="331">
        <f t="shared" si="3"/>
        <v>2.220000026484592E-2</v>
      </c>
      <c r="R223" s="332">
        <f t="shared" si="4"/>
        <v>4.2333114791404114E-10</v>
      </c>
    </row>
    <row r="224" spans="1:18">
      <c r="A224" t="s">
        <v>102</v>
      </c>
      <c r="B224" t="s">
        <v>103</v>
      </c>
      <c r="C224" t="s">
        <v>104</v>
      </c>
      <c r="D224" s="330">
        <v>1.330351477</v>
      </c>
      <c r="F224" t="s">
        <v>105</v>
      </c>
      <c r="G224">
        <v>1</v>
      </c>
      <c r="H224" s="314">
        <v>50406</v>
      </c>
      <c r="I224" s="314"/>
      <c r="K224" t="s">
        <v>106</v>
      </c>
      <c r="N224" t="s">
        <v>295</v>
      </c>
      <c r="O224" t="s">
        <v>105</v>
      </c>
      <c r="P224">
        <f t="shared" si="2"/>
        <v>2038</v>
      </c>
      <c r="Q224" s="331">
        <f t="shared" si="3"/>
        <v>2.2200000240499174E-2</v>
      </c>
      <c r="R224" s="332">
        <f t="shared" si="4"/>
        <v>-2.4346746840819833E-11</v>
      </c>
    </row>
    <row r="225" spans="1:18">
      <c r="A225" t="s">
        <v>102</v>
      </c>
      <c r="B225" t="s">
        <v>103</v>
      </c>
      <c r="C225" t="s">
        <v>104</v>
      </c>
      <c r="D225" s="330">
        <v>1.3598852800000001</v>
      </c>
      <c r="F225" t="s">
        <v>105</v>
      </c>
      <c r="G225">
        <v>1</v>
      </c>
      <c r="H225" s="314">
        <v>50771</v>
      </c>
      <c r="I225" s="314"/>
      <c r="K225" t="s">
        <v>106</v>
      </c>
      <c r="N225" t="s">
        <v>295</v>
      </c>
      <c r="O225" t="s">
        <v>105</v>
      </c>
      <c r="P225">
        <f t="shared" si="2"/>
        <v>2039</v>
      </c>
      <c r="Q225" s="331">
        <f t="shared" si="3"/>
        <v>2.2200000158304034E-2</v>
      </c>
      <c r="R225" s="332">
        <f t="shared" si="4"/>
        <v>-8.2195139583518539E-11</v>
      </c>
    </row>
    <row r="226" spans="1:18">
      <c r="A226" t="s">
        <v>102</v>
      </c>
      <c r="B226" t="s">
        <v>103</v>
      </c>
      <c r="C226" t="s">
        <v>104</v>
      </c>
      <c r="D226" s="330">
        <v>1.3900747330000001</v>
      </c>
      <c r="F226" t="s">
        <v>105</v>
      </c>
      <c r="G226">
        <v>1</v>
      </c>
      <c r="H226" s="314">
        <v>51136</v>
      </c>
      <c r="I226" s="314"/>
      <c r="K226" t="s">
        <v>106</v>
      </c>
      <c r="N226" t="s">
        <v>295</v>
      </c>
      <c r="O226" t="s">
        <v>105</v>
      </c>
      <c r="P226">
        <f t="shared" si="2"/>
        <v>2040</v>
      </c>
      <c r="Q226" s="331">
        <f t="shared" si="3"/>
        <v>2.2199999841163054E-2</v>
      </c>
      <c r="R226" s="332">
        <f t="shared" si="4"/>
        <v>-3.1714098014390402E-10</v>
      </c>
    </row>
    <row r="227" spans="1:18">
      <c r="A227" t="s">
        <v>102</v>
      </c>
      <c r="B227" t="s">
        <v>103</v>
      </c>
      <c r="C227" t="s">
        <v>104</v>
      </c>
      <c r="D227" s="330">
        <v>1.4209343919999999</v>
      </c>
      <c r="F227" t="s">
        <v>105</v>
      </c>
      <c r="G227">
        <v>1</v>
      </c>
      <c r="H227" s="314">
        <v>51502</v>
      </c>
      <c r="I227" s="314"/>
      <c r="K227" t="s">
        <v>106</v>
      </c>
      <c r="N227" t="s">
        <v>295</v>
      </c>
      <c r="O227" t="s">
        <v>105</v>
      </c>
      <c r="P227">
        <f t="shared" si="2"/>
        <v>2041</v>
      </c>
      <c r="Q227" s="331">
        <f t="shared" si="3"/>
        <v>2.2199999947772442E-2</v>
      </c>
      <c r="R227" s="332">
        <f t="shared" si="4"/>
        <v>1.0660938798423558E-10</v>
      </c>
    </row>
    <row r="228" spans="1:18">
      <c r="A228" t="s">
        <v>102</v>
      </c>
      <c r="B228" t="s">
        <v>103</v>
      </c>
      <c r="C228" t="s">
        <v>104</v>
      </c>
      <c r="D228" s="330">
        <v>1.4524791349999999</v>
      </c>
      <c r="F228" t="s">
        <v>105</v>
      </c>
      <c r="G228">
        <v>1</v>
      </c>
      <c r="H228" s="314">
        <v>51867</v>
      </c>
      <c r="I228" s="314"/>
      <c r="K228" t="s">
        <v>106</v>
      </c>
      <c r="N228" t="s">
        <v>295</v>
      </c>
      <c r="O228" t="s">
        <v>105</v>
      </c>
      <c r="P228">
        <f t="shared" si="2"/>
        <v>2042</v>
      </c>
      <c r="Q228" s="331">
        <f t="shared" si="3"/>
        <v>2.2199999646429935E-2</v>
      </c>
      <c r="R228" s="332">
        <f t="shared" si="4"/>
        <v>-3.0134250650348804E-10</v>
      </c>
    </row>
    <row r="229" spans="1:18">
      <c r="A229" t="s">
        <v>102</v>
      </c>
      <c r="B229" t="s">
        <v>103</v>
      </c>
      <c r="C229" t="s">
        <v>104</v>
      </c>
      <c r="D229" s="330">
        <v>1.484724172</v>
      </c>
      <c r="F229" t="s">
        <v>105</v>
      </c>
      <c r="G229">
        <v>1</v>
      </c>
      <c r="H229" s="314">
        <v>52232</v>
      </c>
      <c r="I229" s="314"/>
      <c r="K229" t="s">
        <v>106</v>
      </c>
      <c r="N229" t="s">
        <v>295</v>
      </c>
      <c r="O229" t="s">
        <v>105</v>
      </c>
      <c r="P229">
        <f t="shared" si="2"/>
        <v>2043</v>
      </c>
      <c r="Q229" s="331">
        <f t="shared" si="3"/>
        <v>2.2200000139761089E-2</v>
      </c>
      <c r="R229" s="332">
        <f t="shared" si="4"/>
        <v>4.9333115370586711E-10</v>
      </c>
    </row>
    <row r="230" spans="1:18">
      <c r="A230" t="s">
        <v>102</v>
      </c>
      <c r="B230" t="s">
        <v>103</v>
      </c>
      <c r="C230" t="s">
        <v>104</v>
      </c>
      <c r="D230" s="330">
        <v>1.517685049</v>
      </c>
      <c r="F230" t="s">
        <v>105</v>
      </c>
      <c r="G230">
        <v>1</v>
      </c>
      <c r="H230" s="314">
        <v>52597</v>
      </c>
      <c r="I230" s="314"/>
      <c r="K230" t="s">
        <v>106</v>
      </c>
      <c r="N230" t="s">
        <v>295</v>
      </c>
      <c r="O230" t="s">
        <v>105</v>
      </c>
      <c r="P230">
        <f t="shared" si="2"/>
        <v>2044</v>
      </c>
      <c r="Q230" s="331">
        <f t="shared" si="3"/>
        <v>2.2200000257017516E-2</v>
      </c>
      <c r="R230" s="332">
        <f t="shared" si="4"/>
        <v>1.1725642679039083E-10</v>
      </c>
    </row>
    <row r="231" spans="1:18">
      <c r="A231" t="s">
        <v>102</v>
      </c>
      <c r="B231" t="s">
        <v>103</v>
      </c>
      <c r="C231" t="s">
        <v>104</v>
      </c>
      <c r="D231" s="330">
        <v>1.551377657</v>
      </c>
      <c r="F231" t="s">
        <v>105</v>
      </c>
      <c r="G231">
        <v>1</v>
      </c>
      <c r="H231" s="314">
        <v>52963</v>
      </c>
      <c r="I231" s="314"/>
      <c r="K231" t="s">
        <v>106</v>
      </c>
      <c r="N231" t="s">
        <v>295</v>
      </c>
      <c r="O231" t="s">
        <v>105</v>
      </c>
      <c r="P231">
        <f t="shared" si="2"/>
        <v>2045</v>
      </c>
      <c r="Q231" s="331">
        <f t="shared" si="3"/>
        <v>2.2199999942148718E-2</v>
      </c>
      <c r="R231" s="332">
        <f t="shared" si="4"/>
        <v>-3.1486879770170617E-10</v>
      </c>
    </row>
    <row r="232" spans="1:18">
      <c r="A232" t="s">
        <v>102</v>
      </c>
      <c r="B232" t="s">
        <v>103</v>
      </c>
      <c r="C232" t="s">
        <v>104</v>
      </c>
      <c r="D232" s="330">
        <v>1.5858182409999999</v>
      </c>
      <c r="F232" t="s">
        <v>105</v>
      </c>
      <c r="G232">
        <v>1</v>
      </c>
      <c r="H232" s="314">
        <v>53328</v>
      </c>
      <c r="I232" s="314"/>
      <c r="K232" t="s">
        <v>106</v>
      </c>
      <c r="N232" t="s">
        <v>295</v>
      </c>
      <c r="O232" t="s">
        <v>105</v>
      </c>
      <c r="P232">
        <f t="shared" si="2"/>
        <v>2046</v>
      </c>
      <c r="Q232" s="331">
        <f t="shared" si="3"/>
        <v>2.2200000009410914E-2</v>
      </c>
      <c r="R232" s="332">
        <f t="shared" si="4"/>
        <v>6.7262195813100334E-11</v>
      </c>
    </row>
    <row r="233" spans="1:18">
      <c r="A233" t="s">
        <v>102</v>
      </c>
      <c r="B233" t="s">
        <v>103</v>
      </c>
      <c r="C233" t="s">
        <v>104</v>
      </c>
      <c r="D233" s="330">
        <v>1.6210234059999999</v>
      </c>
      <c r="F233" t="s">
        <v>105</v>
      </c>
      <c r="G233">
        <v>1</v>
      </c>
      <c r="H233" s="314">
        <v>53693</v>
      </c>
      <c r="I233" s="314"/>
      <c r="K233" t="s">
        <v>106</v>
      </c>
      <c r="N233" t="s">
        <v>295</v>
      </c>
      <c r="O233" t="s">
        <v>105</v>
      </c>
      <c r="P233">
        <f t="shared" si="2"/>
        <v>2047</v>
      </c>
      <c r="Q233" s="331">
        <f t="shared" si="3"/>
        <v>2.2200000031403322E-2</v>
      </c>
      <c r="R233" s="332">
        <f t="shared" si="4"/>
        <v>2.1992407894799726E-11</v>
      </c>
    </row>
    <row r="234" spans="1:18">
      <c r="A234" t="s">
        <v>102</v>
      </c>
      <c r="B234" t="s">
        <v>103</v>
      </c>
      <c r="C234" t="s">
        <v>104</v>
      </c>
      <c r="D234" s="330">
        <v>1.657010125</v>
      </c>
      <c r="F234" t="s">
        <v>105</v>
      </c>
      <c r="G234">
        <v>1</v>
      </c>
      <c r="H234" s="314">
        <v>54058</v>
      </c>
      <c r="I234" s="314"/>
      <c r="K234" t="s">
        <v>106</v>
      </c>
      <c r="N234" t="s">
        <v>295</v>
      </c>
      <c r="O234" t="s">
        <v>105</v>
      </c>
      <c r="P234">
        <f t="shared" si="2"/>
        <v>2048</v>
      </c>
      <c r="Q234" s="331">
        <f t="shared" si="3"/>
        <v>2.219999962172059E-2</v>
      </c>
      <c r="R234" s="332">
        <f t="shared" si="4"/>
        <v>-4.0968273218311424E-10</v>
      </c>
    </row>
    <row r="237" spans="1:18" ht="15">
      <c r="A237" s="344" t="s">
        <v>87</v>
      </c>
      <c r="B237" s="344" t="s">
        <v>88</v>
      </c>
      <c r="C237" s="344" t="s">
        <v>89</v>
      </c>
      <c r="D237" s="344" t="s">
        <v>90</v>
      </c>
      <c r="E237" s="344" t="s">
        <v>91</v>
      </c>
      <c r="F237" s="344" t="s">
        <v>92</v>
      </c>
      <c r="G237" s="344" t="s">
        <v>93</v>
      </c>
      <c r="H237" s="344" t="s">
        <v>94</v>
      </c>
      <c r="I237" s="344" t="s">
        <v>95</v>
      </c>
      <c r="J237" s="344" t="s">
        <v>96</v>
      </c>
      <c r="K237" s="344" t="s">
        <v>97</v>
      </c>
      <c r="L237" s="344" t="s">
        <v>98</v>
      </c>
      <c r="M237" s="344" t="s">
        <v>99</v>
      </c>
      <c r="N237" s="344" t="s">
        <v>100</v>
      </c>
      <c r="O237" s="344" t="s">
        <v>101</v>
      </c>
    </row>
    <row r="238" spans="1:18">
      <c r="A238" t="s">
        <v>102</v>
      </c>
      <c r="B238" t="s">
        <v>307</v>
      </c>
      <c r="C238" t="s">
        <v>104</v>
      </c>
      <c r="D238" s="330">
        <v>1</v>
      </c>
      <c r="F238" t="s">
        <v>105</v>
      </c>
      <c r="G238">
        <v>1</v>
      </c>
      <c r="H238" s="314">
        <v>45658</v>
      </c>
      <c r="I238" s="314"/>
      <c r="K238" t="s">
        <v>106</v>
      </c>
      <c r="N238" t="s">
        <v>294</v>
      </c>
      <c r="O238" t="s">
        <v>141</v>
      </c>
      <c r="P238">
        <f t="shared" ref="P238:P258" si="5">YEAR(H238)</f>
        <v>2025</v>
      </c>
    </row>
    <row r="239" spans="1:18">
      <c r="A239" t="s">
        <v>102</v>
      </c>
      <c r="B239" t="s">
        <v>307</v>
      </c>
      <c r="C239" t="s">
        <v>104</v>
      </c>
      <c r="D239" s="330">
        <v>0.97650000000000003</v>
      </c>
      <c r="F239" t="s">
        <v>105</v>
      </c>
      <c r="G239">
        <v>1</v>
      </c>
      <c r="H239" s="314">
        <v>46023</v>
      </c>
      <c r="I239" s="314"/>
      <c r="K239" t="s">
        <v>106</v>
      </c>
      <c r="N239" t="s">
        <v>294</v>
      </c>
      <c r="O239" t="s">
        <v>141</v>
      </c>
      <c r="P239">
        <f t="shared" si="5"/>
        <v>2026</v>
      </c>
    </row>
    <row r="240" spans="1:18">
      <c r="A240" t="s">
        <v>102</v>
      </c>
      <c r="B240" t="s">
        <v>307</v>
      </c>
      <c r="C240" t="s">
        <v>104</v>
      </c>
      <c r="D240" s="330">
        <v>0.96330000000000005</v>
      </c>
      <c r="F240" t="s">
        <v>105</v>
      </c>
      <c r="G240">
        <v>1</v>
      </c>
      <c r="H240" s="314">
        <v>46388</v>
      </c>
      <c r="I240" s="314"/>
      <c r="K240" t="s">
        <v>106</v>
      </c>
      <c r="N240" t="s">
        <v>294</v>
      </c>
      <c r="O240" t="s">
        <v>141</v>
      </c>
      <c r="P240">
        <f t="shared" si="5"/>
        <v>2027</v>
      </c>
    </row>
    <row r="241" spans="1:16">
      <c r="A241" t="s">
        <v>102</v>
      </c>
      <c r="B241" t="s">
        <v>307</v>
      </c>
      <c r="C241" t="s">
        <v>104</v>
      </c>
      <c r="D241" s="330">
        <v>0.97019999999999995</v>
      </c>
      <c r="F241" t="s">
        <v>105</v>
      </c>
      <c r="G241">
        <v>1</v>
      </c>
      <c r="H241" s="314">
        <v>46753</v>
      </c>
      <c r="I241" s="314"/>
      <c r="K241" t="s">
        <v>106</v>
      </c>
      <c r="N241" t="s">
        <v>294</v>
      </c>
      <c r="O241" t="s">
        <v>141</v>
      </c>
      <c r="P241">
        <f t="shared" si="5"/>
        <v>2028</v>
      </c>
    </row>
    <row r="242" spans="1:16">
      <c r="A242" t="s">
        <v>102</v>
      </c>
      <c r="B242" t="s">
        <v>307</v>
      </c>
      <c r="C242" t="s">
        <v>104</v>
      </c>
      <c r="D242" s="330">
        <v>0.97689999999999999</v>
      </c>
      <c r="F242" t="s">
        <v>105</v>
      </c>
      <c r="G242">
        <v>1</v>
      </c>
      <c r="H242" s="314">
        <v>47119</v>
      </c>
      <c r="I242" s="314"/>
      <c r="K242" t="s">
        <v>106</v>
      </c>
      <c r="N242" t="s">
        <v>294</v>
      </c>
      <c r="O242" t="s">
        <v>141</v>
      </c>
      <c r="P242">
        <f t="shared" si="5"/>
        <v>2029</v>
      </c>
    </row>
    <row r="243" spans="1:16">
      <c r="A243" t="s">
        <v>102</v>
      </c>
      <c r="B243" t="s">
        <v>307</v>
      </c>
      <c r="C243" t="s">
        <v>104</v>
      </c>
      <c r="D243" s="330">
        <v>0.98350000000000004</v>
      </c>
      <c r="F243" t="s">
        <v>105</v>
      </c>
      <c r="G243">
        <v>1</v>
      </c>
      <c r="H243" s="314">
        <v>47484</v>
      </c>
      <c r="I243" s="314"/>
      <c r="K243" t="s">
        <v>106</v>
      </c>
      <c r="N243" t="s">
        <v>294</v>
      </c>
      <c r="O243" t="s">
        <v>141</v>
      </c>
      <c r="P243">
        <f t="shared" si="5"/>
        <v>2030</v>
      </c>
    </row>
    <row r="244" spans="1:16">
      <c r="A244" t="s">
        <v>102</v>
      </c>
      <c r="B244" t="s">
        <v>307</v>
      </c>
      <c r="C244" t="s">
        <v>104</v>
      </c>
      <c r="D244" s="330">
        <v>0.9899</v>
      </c>
      <c r="F244" t="s">
        <v>105</v>
      </c>
      <c r="G244">
        <v>1</v>
      </c>
      <c r="H244" s="314">
        <v>47849</v>
      </c>
      <c r="I244" s="314"/>
      <c r="K244" t="s">
        <v>106</v>
      </c>
      <c r="N244" t="s">
        <v>294</v>
      </c>
      <c r="O244" t="s">
        <v>141</v>
      </c>
      <c r="P244">
        <f t="shared" si="5"/>
        <v>2031</v>
      </c>
    </row>
    <row r="245" spans="1:16">
      <c r="A245" t="s">
        <v>102</v>
      </c>
      <c r="B245" t="s">
        <v>307</v>
      </c>
      <c r="C245" t="s">
        <v>104</v>
      </c>
      <c r="D245" s="330">
        <v>0.99609999999999999</v>
      </c>
      <c r="F245" t="s">
        <v>105</v>
      </c>
      <c r="G245">
        <v>1</v>
      </c>
      <c r="H245" s="314">
        <v>48214</v>
      </c>
      <c r="I245" s="314"/>
      <c r="K245" t="s">
        <v>106</v>
      </c>
      <c r="N245" t="s">
        <v>294</v>
      </c>
      <c r="O245" t="s">
        <v>141</v>
      </c>
      <c r="P245">
        <f t="shared" si="5"/>
        <v>2032</v>
      </c>
    </row>
    <row r="246" spans="1:16">
      <c r="A246" t="s">
        <v>102</v>
      </c>
      <c r="B246" t="s">
        <v>307</v>
      </c>
      <c r="C246" t="s">
        <v>104</v>
      </c>
      <c r="D246" s="330">
        <v>1.0021</v>
      </c>
      <c r="F246" t="s">
        <v>105</v>
      </c>
      <c r="G246">
        <v>1</v>
      </c>
      <c r="H246" s="314">
        <v>48580</v>
      </c>
      <c r="I246" s="314"/>
      <c r="K246" t="s">
        <v>106</v>
      </c>
      <c r="N246" t="s">
        <v>294</v>
      </c>
      <c r="O246" t="s">
        <v>141</v>
      </c>
      <c r="P246">
        <f t="shared" si="5"/>
        <v>2033</v>
      </c>
    </row>
    <row r="247" spans="1:16">
      <c r="A247" t="s">
        <v>102</v>
      </c>
      <c r="B247" t="s">
        <v>307</v>
      </c>
      <c r="C247" t="s">
        <v>104</v>
      </c>
      <c r="D247" s="330">
        <v>1.0079</v>
      </c>
      <c r="F247" t="s">
        <v>105</v>
      </c>
      <c r="G247">
        <v>1</v>
      </c>
      <c r="H247" s="314">
        <v>48945</v>
      </c>
      <c r="I247" s="314"/>
      <c r="K247" t="s">
        <v>106</v>
      </c>
      <c r="N247" t="s">
        <v>294</v>
      </c>
      <c r="O247" t="s">
        <v>141</v>
      </c>
      <c r="P247">
        <f t="shared" si="5"/>
        <v>2034</v>
      </c>
    </row>
    <row r="248" spans="1:16">
      <c r="A248" t="s">
        <v>102</v>
      </c>
      <c r="B248" t="s">
        <v>307</v>
      </c>
      <c r="C248" t="s">
        <v>104</v>
      </c>
      <c r="D248" s="330">
        <v>1.0138</v>
      </c>
      <c r="F248" t="s">
        <v>105</v>
      </c>
      <c r="G248">
        <v>1</v>
      </c>
      <c r="H248" s="314">
        <v>49310</v>
      </c>
      <c r="I248" s="314"/>
      <c r="K248" t="s">
        <v>106</v>
      </c>
      <c r="N248" t="s">
        <v>294</v>
      </c>
      <c r="O248" t="s">
        <v>141</v>
      </c>
      <c r="P248">
        <f t="shared" si="5"/>
        <v>2035</v>
      </c>
    </row>
    <row r="249" spans="1:16">
      <c r="A249" t="s">
        <v>102</v>
      </c>
      <c r="B249" t="s">
        <v>307</v>
      </c>
      <c r="C249" t="s">
        <v>104</v>
      </c>
      <c r="D249" s="330">
        <v>1.0196000000000001</v>
      </c>
      <c r="F249" t="s">
        <v>105</v>
      </c>
      <c r="G249">
        <v>1</v>
      </c>
      <c r="H249" s="314">
        <v>49675</v>
      </c>
      <c r="I249" s="314"/>
      <c r="K249" t="s">
        <v>106</v>
      </c>
      <c r="N249" t="s">
        <v>294</v>
      </c>
      <c r="O249" t="s">
        <v>141</v>
      </c>
      <c r="P249">
        <f t="shared" si="5"/>
        <v>2036</v>
      </c>
    </row>
    <row r="250" spans="1:16">
      <c r="A250" t="s">
        <v>102</v>
      </c>
      <c r="B250" t="s">
        <v>307</v>
      </c>
      <c r="C250" t="s">
        <v>104</v>
      </c>
      <c r="D250" s="330">
        <v>1.0255000000000001</v>
      </c>
      <c r="F250" t="s">
        <v>105</v>
      </c>
      <c r="G250">
        <v>1</v>
      </c>
      <c r="H250" s="314">
        <v>50041</v>
      </c>
      <c r="I250" s="314"/>
      <c r="K250" t="s">
        <v>106</v>
      </c>
      <c r="N250" t="s">
        <v>294</v>
      </c>
      <c r="O250" t="s">
        <v>141</v>
      </c>
      <c r="P250">
        <f t="shared" si="5"/>
        <v>2037</v>
      </c>
    </row>
    <row r="251" spans="1:16">
      <c r="A251" t="s">
        <v>102</v>
      </c>
      <c r="B251" t="s">
        <v>307</v>
      </c>
      <c r="C251" t="s">
        <v>104</v>
      </c>
      <c r="D251" s="330">
        <v>1.0315000000000001</v>
      </c>
      <c r="F251" t="s">
        <v>105</v>
      </c>
      <c r="G251">
        <v>1</v>
      </c>
      <c r="H251" s="314">
        <v>50406</v>
      </c>
      <c r="I251" s="314"/>
      <c r="K251" t="s">
        <v>106</v>
      </c>
      <c r="N251" t="s">
        <v>294</v>
      </c>
      <c r="O251" t="s">
        <v>141</v>
      </c>
      <c r="P251">
        <f t="shared" si="5"/>
        <v>2038</v>
      </c>
    </row>
    <row r="252" spans="1:16">
      <c r="A252" t="s">
        <v>102</v>
      </c>
      <c r="B252" t="s">
        <v>307</v>
      </c>
      <c r="C252" t="s">
        <v>104</v>
      </c>
      <c r="D252" s="330">
        <v>1.0375000000000001</v>
      </c>
      <c r="F252" t="s">
        <v>105</v>
      </c>
      <c r="G252">
        <v>1</v>
      </c>
      <c r="H252" s="314">
        <v>50771</v>
      </c>
      <c r="I252" s="314"/>
      <c r="K252" t="s">
        <v>106</v>
      </c>
      <c r="N252" t="s">
        <v>294</v>
      </c>
      <c r="O252" t="s">
        <v>141</v>
      </c>
      <c r="P252">
        <f t="shared" si="5"/>
        <v>2039</v>
      </c>
    </row>
    <row r="253" spans="1:16">
      <c r="A253" t="s">
        <v>102</v>
      </c>
      <c r="B253" t="s">
        <v>307</v>
      </c>
      <c r="C253" t="s">
        <v>104</v>
      </c>
      <c r="D253" s="330">
        <v>1.0435000000000001</v>
      </c>
      <c r="F253" t="s">
        <v>105</v>
      </c>
      <c r="G253">
        <v>1</v>
      </c>
      <c r="H253" s="314">
        <v>51136</v>
      </c>
      <c r="I253" s="314"/>
      <c r="K253" t="s">
        <v>106</v>
      </c>
      <c r="N253" t="s">
        <v>294</v>
      </c>
      <c r="O253" t="s">
        <v>141</v>
      </c>
      <c r="P253">
        <f t="shared" si="5"/>
        <v>2040</v>
      </c>
    </row>
    <row r="254" spans="1:16">
      <c r="A254" t="s">
        <v>102</v>
      </c>
      <c r="B254" t="s">
        <v>307</v>
      </c>
      <c r="C254" t="s">
        <v>104</v>
      </c>
      <c r="D254" s="330">
        <v>1.0495000000000001</v>
      </c>
      <c r="F254" t="s">
        <v>105</v>
      </c>
      <c r="G254">
        <v>1</v>
      </c>
      <c r="H254" s="314">
        <v>51502</v>
      </c>
      <c r="I254" s="314"/>
      <c r="K254" t="s">
        <v>106</v>
      </c>
      <c r="N254" t="s">
        <v>294</v>
      </c>
      <c r="O254" t="s">
        <v>141</v>
      </c>
      <c r="P254">
        <f t="shared" si="5"/>
        <v>2041</v>
      </c>
    </row>
    <row r="255" spans="1:16">
      <c r="A255" t="s">
        <v>102</v>
      </c>
      <c r="B255" t="s">
        <v>307</v>
      </c>
      <c r="C255" t="s">
        <v>104</v>
      </c>
      <c r="D255" s="330">
        <v>1.0556000000000001</v>
      </c>
      <c r="F255" t="s">
        <v>105</v>
      </c>
      <c r="G255">
        <v>1</v>
      </c>
      <c r="H255" s="314">
        <v>51867</v>
      </c>
      <c r="I255" s="314"/>
      <c r="K255" t="s">
        <v>106</v>
      </c>
      <c r="N255" t="s">
        <v>294</v>
      </c>
      <c r="O255" t="s">
        <v>141</v>
      </c>
      <c r="P255">
        <f t="shared" si="5"/>
        <v>2042</v>
      </c>
    </row>
    <row r="256" spans="1:16">
      <c r="A256" t="s">
        <v>102</v>
      </c>
      <c r="B256" t="s">
        <v>307</v>
      </c>
      <c r="C256" t="s">
        <v>104</v>
      </c>
      <c r="D256" s="330">
        <v>1.0617000000000001</v>
      </c>
      <c r="F256" t="s">
        <v>105</v>
      </c>
      <c r="G256">
        <v>1</v>
      </c>
      <c r="H256" s="314">
        <v>52232</v>
      </c>
      <c r="I256" s="314"/>
      <c r="K256" t="s">
        <v>106</v>
      </c>
      <c r="N256" t="s">
        <v>294</v>
      </c>
      <c r="O256" t="s">
        <v>141</v>
      </c>
      <c r="P256">
        <f t="shared" si="5"/>
        <v>2043</v>
      </c>
    </row>
    <row r="257" spans="1:16">
      <c r="A257" t="s">
        <v>102</v>
      </c>
      <c r="B257" t="s">
        <v>307</v>
      </c>
      <c r="C257" t="s">
        <v>104</v>
      </c>
      <c r="D257" s="330">
        <v>1.0679000000000001</v>
      </c>
      <c r="F257" t="s">
        <v>105</v>
      </c>
      <c r="G257">
        <v>1</v>
      </c>
      <c r="H257" s="314">
        <v>52597</v>
      </c>
      <c r="I257" s="314"/>
      <c r="K257" t="s">
        <v>106</v>
      </c>
      <c r="N257" t="s">
        <v>294</v>
      </c>
      <c r="O257" t="s">
        <v>141</v>
      </c>
      <c r="P257">
        <f t="shared" si="5"/>
        <v>2044</v>
      </c>
    </row>
    <row r="258" spans="1:16">
      <c r="A258" t="s">
        <v>102</v>
      </c>
      <c r="B258" t="s">
        <v>307</v>
      </c>
      <c r="C258" t="s">
        <v>104</v>
      </c>
      <c r="D258" s="330">
        <v>1.0741000000000001</v>
      </c>
      <c r="F258" t="s">
        <v>105</v>
      </c>
      <c r="G258">
        <v>1</v>
      </c>
      <c r="H258" s="314">
        <v>52963</v>
      </c>
      <c r="I258" s="314"/>
      <c r="K258" t="s">
        <v>106</v>
      </c>
      <c r="N258" t="s">
        <v>294</v>
      </c>
      <c r="O258" t="s">
        <v>141</v>
      </c>
      <c r="P258">
        <f t="shared" si="5"/>
        <v>2045</v>
      </c>
    </row>
  </sheetData>
  <conditionalFormatting sqref="J140:K160">
    <cfRule type="notContainsBlanks" dxfId="1" priority="1">
      <formula>LEN(TRIM(J140))&gt;0</formula>
    </cfRule>
  </conditionalFormatting>
  <conditionalFormatting sqref="M155:M160">
    <cfRule type="notContainsBlanks" dxfId="0" priority="2">
      <formula>LEN(TRIM(M155))&gt;0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086A-67B2-493D-A5A8-007331A6CF79}">
  <sheetPr>
    <pageSetUpPr fitToPage="1"/>
  </sheetPr>
  <dimension ref="B1:AC89"/>
  <sheetViews>
    <sheetView view="pageBreakPreview" zoomScale="80" zoomScaleNormal="100" zoomScaleSheetLayoutView="80" workbookViewId="0">
      <selection activeCell="C10" sqref="C10"/>
    </sheetView>
  </sheetViews>
  <sheetFormatPr defaultColWidth="9.33203125" defaultRowHeight="12.75"/>
  <cols>
    <col min="1" max="1" width="13.33203125" style="61" customWidth="1"/>
    <col min="2" max="2" width="15" style="61" customWidth="1"/>
    <col min="3" max="3" width="19.33203125" style="61" customWidth="1"/>
    <col min="4" max="4" width="22.83203125" style="61" customWidth="1"/>
    <col min="5" max="5" width="11.1640625" style="61" customWidth="1"/>
    <col min="6" max="6" width="13.5" style="61" customWidth="1"/>
    <col min="7" max="7" width="12.33203125" style="61" customWidth="1"/>
    <col min="8" max="8" width="9.5" style="61" bestFit="1" customWidth="1"/>
    <col min="9" max="9" width="10.5" style="61" customWidth="1"/>
    <col min="10" max="10" width="12.6640625" style="61" customWidth="1"/>
    <col min="11" max="11" width="14" style="61" customWidth="1"/>
    <col min="12" max="12" width="13.33203125" style="61" customWidth="1"/>
    <col min="13" max="13" width="3.1640625" style="61" customWidth="1"/>
    <col min="14" max="14" width="15" style="61" hidden="1" customWidth="1"/>
    <col min="15" max="15" width="5.6640625" style="61" customWidth="1"/>
    <col min="16" max="16" width="9.33203125" style="61" customWidth="1"/>
    <col min="17" max="18" width="16" style="61" customWidth="1"/>
    <col min="19" max="19" width="23.5" style="61" customWidth="1"/>
    <col min="20" max="20" width="18.1640625" style="61" customWidth="1"/>
    <col min="21" max="21" width="13.33203125" style="61" customWidth="1"/>
    <col min="22" max="22" width="18.1640625" style="61" customWidth="1"/>
    <col min="23" max="23" width="12.83203125" style="61" customWidth="1"/>
    <col min="24" max="24" width="15.33203125" style="61" customWidth="1"/>
    <col min="25" max="26" width="9.33203125" style="61"/>
    <col min="27" max="27" width="13.33203125" style="61" customWidth="1"/>
    <col min="28" max="28" width="13.6640625" style="61" customWidth="1"/>
    <col min="29" max="29" width="12" style="61" bestFit="1" customWidth="1"/>
    <col min="30" max="16384" width="9.33203125" style="61"/>
  </cols>
  <sheetData>
    <row r="1" spans="2:29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59" t="str">
        <f>T57</f>
        <v>PV_.PX.COR._.PTC.Utility_Scale</v>
      </c>
      <c r="C2" s="60"/>
      <c r="D2" s="60"/>
      <c r="E2" s="60"/>
      <c r="F2" s="60"/>
      <c r="G2" s="60"/>
      <c r="H2" s="60"/>
      <c r="I2" s="60"/>
      <c r="J2" s="60"/>
      <c r="K2" s="60"/>
    </row>
    <row r="3" spans="2:29" ht="15.75">
      <c r="B3" s="59" t="str">
        <f>TEXT($C$61,"0%")&amp;" Capacity Factor"</f>
        <v>24% Capacity Factor</v>
      </c>
      <c r="C3" s="60"/>
      <c r="D3" s="60"/>
      <c r="E3" s="60"/>
      <c r="F3" s="60"/>
      <c r="G3" s="60"/>
      <c r="H3" s="60"/>
      <c r="I3" s="60"/>
      <c r="J3" s="60"/>
      <c r="K3" s="60"/>
    </row>
    <row r="4" spans="2:29">
      <c r="B4" s="60"/>
      <c r="C4" s="60"/>
      <c r="D4" s="60"/>
      <c r="E4" s="60"/>
      <c r="F4" s="60"/>
      <c r="G4" s="60"/>
      <c r="H4" s="60"/>
      <c r="I4" s="60"/>
      <c r="Q4" s="201"/>
      <c r="R4" s="201"/>
    </row>
    <row r="5" spans="2:29" ht="51.75" customHeight="1">
      <c r="B5" s="62" t="s">
        <v>0</v>
      </c>
      <c r="C5" s="63" t="s">
        <v>10</v>
      </c>
      <c r="D5" s="63" t="s">
        <v>11</v>
      </c>
      <c r="E5" s="63" t="s">
        <v>12</v>
      </c>
      <c r="F5" s="14" t="s">
        <v>73</v>
      </c>
      <c r="G5" s="63" t="s">
        <v>58</v>
      </c>
      <c r="H5" s="14" t="s">
        <v>13</v>
      </c>
      <c r="I5" s="63" t="s">
        <v>297</v>
      </c>
      <c r="J5" s="63" t="s">
        <v>63</v>
      </c>
      <c r="K5" s="14" t="s">
        <v>48</v>
      </c>
      <c r="L5" s="63" t="s">
        <v>84</v>
      </c>
      <c r="N5" s="100"/>
      <c r="O5" s="100"/>
      <c r="Q5" s="201"/>
      <c r="R5" s="201"/>
      <c r="T5" s="142"/>
      <c r="Z5" s="100"/>
      <c r="AA5" s="100"/>
    </row>
    <row r="6" spans="2:29" ht="24" customHeight="1">
      <c r="B6" s="64"/>
      <c r="C6" s="65" t="s">
        <v>8</v>
      </c>
      <c r="D6" s="66" t="s">
        <v>9</v>
      </c>
      <c r="E6" s="66" t="s">
        <v>9</v>
      </c>
      <c r="F6" s="16" t="s">
        <v>9</v>
      </c>
      <c r="G6" s="65" t="s">
        <v>31</v>
      </c>
      <c r="H6" s="15" t="s">
        <v>31</v>
      </c>
      <c r="I6" s="15" t="s">
        <v>31</v>
      </c>
      <c r="J6" s="65" t="s">
        <v>31</v>
      </c>
      <c r="K6" s="16" t="s">
        <v>9</v>
      </c>
      <c r="L6" s="66" t="s">
        <v>9</v>
      </c>
      <c r="W6" s="79"/>
      <c r="X6" s="79"/>
    </row>
    <row r="7" spans="2:29">
      <c r="C7" s="67" t="s">
        <v>1</v>
      </c>
      <c r="D7" s="67" t="s">
        <v>2</v>
      </c>
      <c r="E7" s="67" t="s">
        <v>3</v>
      </c>
      <c r="F7" s="67" t="s">
        <v>4</v>
      </c>
      <c r="G7" s="67" t="s">
        <v>5</v>
      </c>
      <c r="H7" s="67" t="s">
        <v>7</v>
      </c>
      <c r="I7" s="67" t="s">
        <v>22</v>
      </c>
      <c r="J7" s="67" t="s">
        <v>22</v>
      </c>
      <c r="K7" s="67" t="s">
        <v>23</v>
      </c>
      <c r="L7" s="67" t="s">
        <v>24</v>
      </c>
      <c r="U7" s="79"/>
    </row>
    <row r="8" spans="2:29" ht="21.75" customHeight="1">
      <c r="X8" s="72"/>
    </row>
    <row r="9" spans="2:29">
      <c r="B9" s="68">
        <v>2025</v>
      </c>
      <c r="C9" s="154">
        <v>1492.9877450036922</v>
      </c>
      <c r="D9" s="69"/>
      <c r="E9" s="313">
        <v>22.139408338698008</v>
      </c>
      <c r="F9" s="69"/>
      <c r="G9" s="70"/>
      <c r="H9" s="69"/>
      <c r="I9" s="69"/>
      <c r="J9" s="70"/>
      <c r="K9" s="70"/>
      <c r="L9" s="69"/>
      <c r="T9" s="71"/>
      <c r="X9" s="155"/>
    </row>
    <row r="10" spans="2:29">
      <c r="B10" s="68">
        <f t="shared" ref="B10:B43" si="0">B9+1</f>
        <v>2026</v>
      </c>
      <c r="C10" s="217">
        <f>$C$9*_xlfn.XLOOKUP(B10,'2025 IRPUpdt Assumptions'!$P$165:$P$185,'2025 IRPUpdt Assumptions'!$D$165:$D$185)</f>
        <v>1417.1439675575048</v>
      </c>
      <c r="D10" s="69"/>
      <c r="E10" s="218">
        <f t="shared" ref="E10:F43" si="1">E9*(1+Inflation)</f>
        <v>22.630903203817102</v>
      </c>
      <c r="F10" s="69"/>
      <c r="G10" s="70"/>
      <c r="H10" s="69"/>
      <c r="I10" s="69"/>
      <c r="J10" s="70"/>
      <c r="K10" s="70"/>
      <c r="L10" s="69"/>
      <c r="Q10" s="69"/>
      <c r="R10" s="69"/>
      <c r="U10" s="153"/>
      <c r="X10" s="155"/>
    </row>
    <row r="11" spans="2:29">
      <c r="B11" s="68">
        <f t="shared" si="0"/>
        <v>2027</v>
      </c>
      <c r="C11" s="217">
        <f>$C$9*_xlfn.XLOOKUP(B11,'2025 IRPUpdt Assumptions'!$P$165:$P$185,'2025 IRPUpdt Assumptions'!$D$165:$D$185)</f>
        <v>1375.7882070209023</v>
      </c>
      <c r="D11" s="69"/>
      <c r="E11" s="218">
        <f t="shared" si="1"/>
        <v>23.133309254941842</v>
      </c>
      <c r="F11" s="69"/>
      <c r="G11" s="70"/>
      <c r="H11" s="69"/>
      <c r="I11" s="69"/>
      <c r="J11" s="70"/>
      <c r="K11" s="70"/>
      <c r="L11" s="69"/>
      <c r="Q11" s="69"/>
      <c r="R11" s="69"/>
      <c r="X11" s="155"/>
      <c r="AC11" s="144"/>
    </row>
    <row r="12" spans="2:29">
      <c r="B12" s="68">
        <f t="shared" si="0"/>
        <v>2028</v>
      </c>
      <c r="C12" s="217">
        <f>$C$9*_xlfn.XLOOKUP(B12,'2025 IRPUpdt Assumptions'!$P$165:$P$185,'2025 IRPUpdt Assumptions'!$D$165:$D$185)</f>
        <v>1331.7450685432934</v>
      </c>
      <c r="D12" s="313">
        <f>C12*$C$60</f>
        <v>91.371029152755369</v>
      </c>
      <c r="E12" s="218">
        <f t="shared" si="1"/>
        <v>23.64686872040155</v>
      </c>
      <c r="F12" s="313">
        <f>$C$58</f>
        <v>0.97949761184210526</v>
      </c>
      <c r="G12" s="70">
        <f t="shared" ref="G12:G15" si="2">(D12+E12+F12)/(8.76*$C$61)</f>
        <v>54.073409920063121</v>
      </c>
      <c r="H12" s="69"/>
      <c r="I12" s="69"/>
      <c r="J12" s="70">
        <f t="shared" ref="J12:J15" si="3">(G12+H12+I12)</f>
        <v>54.073409920063121</v>
      </c>
      <c r="K12" s="70">
        <f t="shared" ref="K12:K15" si="4">ROUND(J12*$C$61*8.76,2)</f>
        <v>116</v>
      </c>
      <c r="L12" s="69">
        <f t="shared" ref="L12:L15" si="5">(D12+E12+F12)</f>
        <v>115.99739548499903</v>
      </c>
      <c r="P12" s="79"/>
      <c r="Q12" s="69"/>
      <c r="R12" s="69"/>
      <c r="U12" s="156"/>
      <c r="X12" s="155"/>
      <c r="Y12" s="156"/>
    </row>
    <row r="13" spans="2:29">
      <c r="B13" s="68">
        <f t="shared" si="0"/>
        <v>2029</v>
      </c>
      <c r="C13" s="71"/>
      <c r="D13" s="218">
        <f t="shared" ref="D13:F43" si="6">D12*(1+Inflation)</f>
        <v>93.399465999946543</v>
      </c>
      <c r="E13" s="218">
        <f t="shared" si="1"/>
        <v>24.171829205994463</v>
      </c>
      <c r="F13" s="218">
        <f t="shared" si="6"/>
        <v>1.001242458825</v>
      </c>
      <c r="G13" s="70">
        <f t="shared" si="2"/>
        <v>55.273839620288513</v>
      </c>
      <c r="H13" s="69"/>
      <c r="I13" s="69"/>
      <c r="J13" s="70">
        <f t="shared" si="3"/>
        <v>55.273839620288513</v>
      </c>
      <c r="K13" s="70">
        <f t="shared" si="4"/>
        <v>118.57</v>
      </c>
      <c r="L13" s="69">
        <f t="shared" si="5"/>
        <v>118.572537664766</v>
      </c>
      <c r="P13" s="79"/>
      <c r="Q13" s="69"/>
      <c r="R13" s="69"/>
      <c r="U13" s="156"/>
      <c r="W13" s="79"/>
      <c r="X13" s="155"/>
      <c r="Y13" s="156"/>
    </row>
    <row r="14" spans="2:29">
      <c r="B14" s="68">
        <f t="shared" si="0"/>
        <v>2030</v>
      </c>
      <c r="C14" s="71"/>
      <c r="D14" s="218">
        <f t="shared" si="6"/>
        <v>95.472934145145359</v>
      </c>
      <c r="E14" s="218">
        <f t="shared" si="1"/>
        <v>24.708443814367541</v>
      </c>
      <c r="F14" s="218">
        <f t="shared" si="1"/>
        <v>1.023470041410915</v>
      </c>
      <c r="G14" s="70">
        <f t="shared" si="2"/>
        <v>56.500918859858928</v>
      </c>
      <c r="H14" s="69"/>
      <c r="I14" s="69"/>
      <c r="J14" s="70">
        <f t="shared" si="3"/>
        <v>56.500918859858928</v>
      </c>
      <c r="K14" s="70">
        <f t="shared" si="4"/>
        <v>121.2</v>
      </c>
      <c r="L14" s="69">
        <f t="shared" si="5"/>
        <v>121.20484800092382</v>
      </c>
      <c r="P14" s="79"/>
      <c r="Q14" s="69"/>
      <c r="R14" s="69"/>
      <c r="U14" s="156"/>
      <c r="V14" s="79"/>
      <c r="W14" s="79"/>
      <c r="X14" s="155"/>
      <c r="Y14" s="156"/>
      <c r="Z14" s="79"/>
    </row>
    <row r="15" spans="2:29">
      <c r="B15" s="68">
        <f t="shared" si="0"/>
        <v>2031</v>
      </c>
      <c r="C15" s="71"/>
      <c r="D15" s="218">
        <f t="shared" si="6"/>
        <v>97.59243328316758</v>
      </c>
      <c r="E15" s="218">
        <f t="shared" si="1"/>
        <v>25.256971267046502</v>
      </c>
      <c r="F15" s="218">
        <f t="shared" si="1"/>
        <v>1.0461910763302373</v>
      </c>
      <c r="G15" s="70">
        <f t="shared" si="2"/>
        <v>57.755239258547782</v>
      </c>
      <c r="H15" s="69"/>
      <c r="I15" s="69"/>
      <c r="J15" s="70">
        <f t="shared" si="3"/>
        <v>57.755239258547782</v>
      </c>
      <c r="K15" s="70">
        <f t="shared" si="4"/>
        <v>123.9</v>
      </c>
      <c r="L15" s="69">
        <f t="shared" si="5"/>
        <v>123.89559562654431</v>
      </c>
      <c r="P15" s="79"/>
      <c r="Q15" s="69"/>
      <c r="R15" s="69"/>
      <c r="U15" s="156"/>
      <c r="V15" s="79"/>
      <c r="W15" s="79"/>
      <c r="X15" s="155"/>
      <c r="Y15" s="156"/>
      <c r="Z15" s="79"/>
      <c r="AA15" s="79"/>
    </row>
    <row r="16" spans="2:29">
      <c r="B16" s="68">
        <f t="shared" si="0"/>
        <v>2032</v>
      </c>
      <c r="C16" s="71"/>
      <c r="D16" s="218">
        <f t="shared" si="6"/>
        <v>99.758985302053901</v>
      </c>
      <c r="E16" s="218">
        <f t="shared" si="1"/>
        <v>25.817676029174933</v>
      </c>
      <c r="F16" s="218">
        <f t="shared" si="1"/>
        <v>1.0694165182247686</v>
      </c>
      <c r="G16" s="70">
        <f t="shared" ref="G16:G35" si="7">(D16+E16+F16)/(8.76*$C$61)</f>
        <v>59.03740557008755</v>
      </c>
      <c r="H16" s="69"/>
      <c r="I16" s="69"/>
      <c r="J16" s="70">
        <f t="shared" ref="J16" si="8">(G16+H16+I16)</f>
        <v>59.03740557008755</v>
      </c>
      <c r="K16" s="70">
        <f t="shared" ref="K16" si="9">ROUND(J16*$C$61*8.76,2)</f>
        <v>126.65</v>
      </c>
      <c r="L16" s="69">
        <f t="shared" ref="L16" si="10">(D16+E16+F16)</f>
        <v>126.6460778494536</v>
      </c>
      <c r="P16" s="79"/>
      <c r="Q16" s="69"/>
      <c r="R16" s="69"/>
      <c r="U16" s="156"/>
      <c r="V16" s="79"/>
      <c r="W16" s="79"/>
      <c r="X16" s="155"/>
      <c r="Y16" s="156"/>
      <c r="Z16" s="79"/>
      <c r="AA16" s="79"/>
    </row>
    <row r="17" spans="2:27">
      <c r="B17" s="68">
        <f t="shared" si="0"/>
        <v>2033</v>
      </c>
      <c r="C17" s="71"/>
      <c r="D17" s="218">
        <f t="shared" si="6"/>
        <v>101.97363477575949</v>
      </c>
      <c r="E17" s="218">
        <f t="shared" si="1"/>
        <v>26.390828437022616</v>
      </c>
      <c r="F17" s="218">
        <f t="shared" si="1"/>
        <v>1.0931575649293583</v>
      </c>
      <c r="G17" s="70">
        <f t="shared" si="7"/>
        <v>60.348035973743492</v>
      </c>
      <c r="H17" s="69"/>
      <c r="I17" s="69"/>
      <c r="J17" s="70">
        <f t="shared" ref="J17:J35" si="11">(G17+H17+I17)</f>
        <v>60.348035973743492</v>
      </c>
      <c r="K17" s="70">
        <f t="shared" ref="K17:K35" si="12">ROUND(J17*$C$61*8.76,2)</f>
        <v>129.46</v>
      </c>
      <c r="L17" s="69">
        <f t="shared" ref="L17:L35" si="13">(D17+E17+F17)</f>
        <v>129.45762077771147</v>
      </c>
      <c r="P17" s="79"/>
      <c r="Q17" s="69"/>
      <c r="R17" s="69"/>
      <c r="T17" s="79"/>
      <c r="V17" s="79"/>
      <c r="W17" s="79"/>
      <c r="Y17" s="79"/>
      <c r="Z17" s="79"/>
      <c r="AA17" s="79"/>
    </row>
    <row r="18" spans="2:27">
      <c r="B18" s="68">
        <f t="shared" si="0"/>
        <v>2034</v>
      </c>
      <c r="C18" s="71"/>
      <c r="D18" s="218">
        <f t="shared" si="6"/>
        <v>104.23744946778136</v>
      </c>
      <c r="E18" s="218">
        <f t="shared" si="1"/>
        <v>26.976704828324518</v>
      </c>
      <c r="F18" s="218">
        <f t="shared" si="1"/>
        <v>1.1174256628707901</v>
      </c>
      <c r="G18" s="70">
        <f t="shared" si="7"/>
        <v>61.687762372360602</v>
      </c>
      <c r="H18" s="69"/>
      <c r="I18" s="69"/>
      <c r="J18" s="70">
        <f t="shared" si="11"/>
        <v>61.687762372360602</v>
      </c>
      <c r="K18" s="70">
        <f t="shared" si="12"/>
        <v>132.33000000000001</v>
      </c>
      <c r="L18" s="69">
        <f t="shared" si="13"/>
        <v>132.33157995897668</v>
      </c>
      <c r="P18" s="79"/>
      <c r="Q18" s="69"/>
      <c r="R18" s="69"/>
      <c r="T18" s="79"/>
      <c r="V18" s="79"/>
      <c r="W18" s="79"/>
      <c r="Y18" s="79"/>
      <c r="Z18" s="79"/>
      <c r="AA18" s="79"/>
    </row>
    <row r="19" spans="2:27">
      <c r="B19" s="68">
        <f t="shared" si="0"/>
        <v>2035</v>
      </c>
      <c r="C19" s="71"/>
      <c r="D19" s="218">
        <f t="shared" si="6"/>
        <v>106.55152084596611</v>
      </c>
      <c r="E19" s="218">
        <f t="shared" si="1"/>
        <v>27.575587675513322</v>
      </c>
      <c r="F19" s="218">
        <f t="shared" si="1"/>
        <v>1.1422325125865216</v>
      </c>
      <c r="G19" s="70">
        <f t="shared" si="7"/>
        <v>63.057230697027016</v>
      </c>
      <c r="H19" s="69"/>
      <c r="I19" s="69"/>
      <c r="J19" s="70">
        <f t="shared" si="11"/>
        <v>63.057230697027016</v>
      </c>
      <c r="K19" s="70">
        <f t="shared" si="12"/>
        <v>135.27000000000001</v>
      </c>
      <c r="L19" s="69">
        <f t="shared" si="13"/>
        <v>135.26934103406597</v>
      </c>
      <c r="P19" s="79"/>
      <c r="Q19" s="69"/>
      <c r="R19" s="69"/>
      <c r="T19" s="79"/>
      <c r="V19" s="79"/>
      <c r="W19" s="79"/>
      <c r="Y19" s="79"/>
      <c r="Z19" s="79"/>
      <c r="AA19" s="79"/>
    </row>
    <row r="20" spans="2:27">
      <c r="B20" s="68">
        <f t="shared" si="0"/>
        <v>2036</v>
      </c>
      <c r="C20" s="71"/>
      <c r="D20" s="218">
        <f t="shared" si="6"/>
        <v>108.91696460874655</v>
      </c>
      <c r="E20" s="218">
        <f t="shared" si="1"/>
        <v>28.187765721909717</v>
      </c>
      <c r="F20" s="218">
        <f t="shared" si="1"/>
        <v>1.1675900743659424</v>
      </c>
      <c r="G20" s="70">
        <f t="shared" si="7"/>
        <v>64.457101218501009</v>
      </c>
      <c r="H20" s="69"/>
      <c r="I20" s="69"/>
      <c r="J20" s="70">
        <f t="shared" si="11"/>
        <v>64.457101218501009</v>
      </c>
      <c r="K20" s="70">
        <f t="shared" si="12"/>
        <v>138.27000000000001</v>
      </c>
      <c r="L20" s="69">
        <f t="shared" si="13"/>
        <v>138.27232040502221</v>
      </c>
      <c r="P20" s="79"/>
      <c r="Q20" s="69"/>
      <c r="R20" s="69"/>
      <c r="T20" s="79"/>
      <c r="V20" s="79"/>
      <c r="W20" s="79"/>
      <c r="Y20" s="79"/>
      <c r="Z20" s="79"/>
      <c r="AA20" s="79"/>
    </row>
    <row r="21" spans="2:27">
      <c r="B21" s="68">
        <f t="shared" si="0"/>
        <v>2037</v>
      </c>
      <c r="C21" s="71"/>
      <c r="D21" s="218">
        <f t="shared" si="6"/>
        <v>111.33492122306073</v>
      </c>
      <c r="E21" s="218">
        <f t="shared" si="1"/>
        <v>28.813534120936112</v>
      </c>
      <c r="F21" s="218">
        <f t="shared" si="1"/>
        <v>1.1935105740168663</v>
      </c>
      <c r="G21" s="70">
        <f t="shared" si="7"/>
        <v>65.888048865551724</v>
      </c>
      <c r="H21" s="69"/>
      <c r="I21" s="69"/>
      <c r="J21" s="70">
        <f t="shared" si="11"/>
        <v>65.888048865551724</v>
      </c>
      <c r="K21" s="70">
        <f t="shared" si="12"/>
        <v>141.34</v>
      </c>
      <c r="L21" s="69">
        <f t="shared" si="13"/>
        <v>141.3419659180137</v>
      </c>
      <c r="P21" s="79"/>
      <c r="Q21" s="69"/>
      <c r="R21" s="69"/>
      <c r="T21" s="79"/>
      <c r="V21" s="79"/>
      <c r="W21" s="79"/>
      <c r="Y21" s="79"/>
      <c r="Z21" s="79"/>
      <c r="AA21" s="79"/>
    </row>
    <row r="22" spans="2:27">
      <c r="B22" s="68">
        <f t="shared" si="0"/>
        <v>2038</v>
      </c>
      <c r="C22" s="71"/>
      <c r="D22" s="218">
        <f t="shared" si="6"/>
        <v>113.80655647421268</v>
      </c>
      <c r="E22" s="218">
        <f t="shared" si="1"/>
        <v>29.453194578420892</v>
      </c>
      <c r="F22" s="218">
        <f t="shared" si="1"/>
        <v>1.2200065087600407</v>
      </c>
      <c r="G22" s="70">
        <f t="shared" si="7"/>
        <v>67.350763550366977</v>
      </c>
      <c r="H22" s="69"/>
      <c r="I22" s="69"/>
      <c r="J22" s="70">
        <f t="shared" si="11"/>
        <v>67.350763550366977</v>
      </c>
      <c r="K22" s="70">
        <f t="shared" si="12"/>
        <v>144.47999999999999</v>
      </c>
      <c r="L22" s="69">
        <f t="shared" si="13"/>
        <v>144.47975756139363</v>
      </c>
      <c r="P22" s="79"/>
      <c r="Q22" s="69"/>
      <c r="R22" s="69"/>
      <c r="T22" s="79"/>
      <c r="V22" s="79"/>
      <c r="W22" s="79"/>
      <c r="Y22" s="79"/>
      <c r="Z22" s="79"/>
      <c r="AA22" s="79"/>
    </row>
    <row r="23" spans="2:27">
      <c r="B23" s="68">
        <f t="shared" si="0"/>
        <v>2039</v>
      </c>
      <c r="C23" s="71"/>
      <c r="D23" s="218">
        <f t="shared" si="6"/>
        <v>116.3330620279402</v>
      </c>
      <c r="E23" s="218">
        <f t="shared" si="1"/>
        <v>30.107055498061836</v>
      </c>
      <c r="F23" s="218">
        <f t="shared" si="1"/>
        <v>1.2470906532545136</v>
      </c>
      <c r="G23" s="70">
        <f t="shared" si="7"/>
        <v>68.845950501185115</v>
      </c>
      <c r="H23" s="69"/>
      <c r="I23" s="69"/>
      <c r="J23" s="70">
        <f t="shared" si="11"/>
        <v>68.845950501185115</v>
      </c>
      <c r="K23" s="70">
        <f t="shared" si="12"/>
        <v>147.69</v>
      </c>
      <c r="L23" s="69">
        <f t="shared" si="13"/>
        <v>147.68720817925654</v>
      </c>
      <c r="P23" s="79"/>
      <c r="Q23" s="69"/>
      <c r="R23" s="69"/>
      <c r="T23" s="79"/>
      <c r="V23" s="79"/>
      <c r="W23" s="79"/>
      <c r="Y23" s="79"/>
      <c r="Z23" s="79"/>
      <c r="AA23" s="79"/>
    </row>
    <row r="24" spans="2:27">
      <c r="B24" s="68">
        <f t="shared" si="0"/>
        <v>2040</v>
      </c>
      <c r="C24" s="71"/>
      <c r="D24" s="218">
        <f t="shared" si="6"/>
        <v>118.91565600496047</v>
      </c>
      <c r="E24" s="218">
        <f t="shared" si="1"/>
        <v>30.775432130118809</v>
      </c>
      <c r="F24" s="218">
        <f t="shared" si="1"/>
        <v>1.2747760657567637</v>
      </c>
      <c r="G24" s="70">
        <f t="shared" si="7"/>
        <v>70.374330602311417</v>
      </c>
      <c r="H24" s="69"/>
      <c r="I24" s="69"/>
      <c r="J24" s="70">
        <f t="shared" si="11"/>
        <v>70.374330602311417</v>
      </c>
      <c r="K24" s="70">
        <f t="shared" si="12"/>
        <v>150.97</v>
      </c>
      <c r="L24" s="69">
        <f t="shared" si="13"/>
        <v>150.96586420083602</v>
      </c>
      <c r="P24" s="79"/>
      <c r="Q24" s="69"/>
      <c r="R24" s="69"/>
      <c r="T24" s="79"/>
      <c r="V24" s="79"/>
      <c r="W24" s="79"/>
      <c r="Y24" s="79"/>
      <c r="Z24" s="79"/>
      <c r="AA24" s="79"/>
    </row>
    <row r="25" spans="2:27">
      <c r="B25" s="68">
        <f t="shared" si="0"/>
        <v>2041</v>
      </c>
      <c r="C25" s="71"/>
      <c r="D25" s="218">
        <f t="shared" si="6"/>
        <v>121.55558356827059</v>
      </c>
      <c r="E25" s="218">
        <f t="shared" si="1"/>
        <v>31.458646723407448</v>
      </c>
      <c r="F25" s="218">
        <f t="shared" si="1"/>
        <v>1.3030760944165638</v>
      </c>
      <c r="G25" s="70">
        <f t="shared" si="7"/>
        <v>71.936640741682737</v>
      </c>
      <c r="H25" s="69"/>
      <c r="I25" s="69"/>
      <c r="J25" s="70">
        <f t="shared" si="11"/>
        <v>71.936640741682737</v>
      </c>
      <c r="K25" s="70">
        <f t="shared" si="12"/>
        <v>154.32</v>
      </c>
      <c r="L25" s="69">
        <f t="shared" si="13"/>
        <v>154.3173063860946</v>
      </c>
      <c r="P25" s="79"/>
      <c r="Q25" s="69"/>
      <c r="R25" s="69"/>
      <c r="T25" s="79"/>
      <c r="V25" s="79"/>
      <c r="W25" s="79"/>
      <c r="Y25" s="79"/>
      <c r="Z25" s="79"/>
      <c r="AA25" s="79"/>
    </row>
    <row r="26" spans="2:27">
      <c r="B26" s="68">
        <f t="shared" si="0"/>
        <v>2042</v>
      </c>
      <c r="C26" s="71"/>
      <c r="D26" s="218">
        <f t="shared" si="6"/>
        <v>124.2541175234862</v>
      </c>
      <c r="E26" s="218">
        <f t="shared" si="1"/>
        <v>32.157028680667096</v>
      </c>
      <c r="F26" s="218">
        <f t="shared" si="1"/>
        <v>1.3320043837126114</v>
      </c>
      <c r="G26" s="70">
        <f t="shared" si="7"/>
        <v>73.533634166148104</v>
      </c>
      <c r="H26" s="69"/>
      <c r="I26" s="69"/>
      <c r="J26" s="70">
        <f t="shared" si="11"/>
        <v>73.533634166148104</v>
      </c>
      <c r="K26" s="70">
        <f t="shared" si="12"/>
        <v>157.74</v>
      </c>
      <c r="L26" s="69">
        <f t="shared" si="13"/>
        <v>157.7431505878659</v>
      </c>
      <c r="P26" s="79"/>
      <c r="Q26" s="69"/>
      <c r="R26" s="69"/>
    </row>
    <row r="27" spans="2:27">
      <c r="B27" s="68">
        <f t="shared" si="0"/>
        <v>2043</v>
      </c>
      <c r="C27" s="71"/>
      <c r="D27" s="218">
        <f t="shared" si="6"/>
        <v>127.01255893250759</v>
      </c>
      <c r="E27" s="218">
        <f t="shared" si="1"/>
        <v>32.870914717377907</v>
      </c>
      <c r="F27" s="218">
        <f t="shared" si="1"/>
        <v>1.3615748810310313</v>
      </c>
      <c r="G27" s="70">
        <f t="shared" si="7"/>
        <v>75.166080844636596</v>
      </c>
      <c r="H27" s="69"/>
      <c r="I27" s="69"/>
      <c r="J27" s="70">
        <f t="shared" si="11"/>
        <v>75.166080844636596</v>
      </c>
      <c r="K27" s="70">
        <f t="shared" si="12"/>
        <v>161.25</v>
      </c>
      <c r="L27" s="69">
        <f t="shared" si="13"/>
        <v>161.24504853091653</v>
      </c>
      <c r="P27" s="79"/>
      <c r="Q27" s="69"/>
      <c r="R27" s="69"/>
    </row>
    <row r="28" spans="2:27">
      <c r="B28" s="68">
        <f t="shared" si="0"/>
        <v>2044</v>
      </c>
      <c r="C28" s="71"/>
      <c r="D28" s="218">
        <f t="shared" si="6"/>
        <v>129.83223774080926</v>
      </c>
      <c r="E28" s="218">
        <f t="shared" si="1"/>
        <v>33.600649024103696</v>
      </c>
      <c r="F28" s="218">
        <f t="shared" si="1"/>
        <v>1.3918018433899202</v>
      </c>
      <c r="G28" s="70">
        <f t="shared" si="7"/>
        <v>76.834767839387524</v>
      </c>
      <c r="H28" s="69"/>
      <c r="I28" s="69"/>
      <c r="J28" s="70">
        <f t="shared" si="11"/>
        <v>76.834767839387524</v>
      </c>
      <c r="K28" s="70">
        <f t="shared" si="12"/>
        <v>164.82</v>
      </c>
      <c r="L28" s="69">
        <f t="shared" si="13"/>
        <v>164.82468860830286</v>
      </c>
      <c r="P28" s="79"/>
      <c r="Q28" s="69"/>
      <c r="R28" s="69"/>
    </row>
    <row r="29" spans="2:27">
      <c r="B29" s="68">
        <f t="shared" si="0"/>
        <v>2045</v>
      </c>
      <c r="C29" s="71"/>
      <c r="D29" s="218">
        <f t="shared" si="6"/>
        <v>132.71451341865523</v>
      </c>
      <c r="E29" s="218">
        <f t="shared" si="1"/>
        <v>34.346583432438798</v>
      </c>
      <c r="F29" s="218">
        <f t="shared" si="1"/>
        <v>1.4226998443131764</v>
      </c>
      <c r="G29" s="70">
        <f t="shared" si="7"/>
        <v>78.540499685421921</v>
      </c>
      <c r="H29" s="69"/>
      <c r="I29" s="69"/>
      <c r="J29" s="70">
        <f t="shared" si="11"/>
        <v>78.540499685421921</v>
      </c>
      <c r="K29" s="70">
        <f t="shared" si="12"/>
        <v>168.48</v>
      </c>
      <c r="L29" s="69">
        <f t="shared" si="13"/>
        <v>168.48379669540719</v>
      </c>
      <c r="P29" s="79"/>
      <c r="Q29" s="69"/>
      <c r="R29" s="69"/>
    </row>
    <row r="30" spans="2:27">
      <c r="B30" s="68">
        <f t="shared" si="0"/>
        <v>2046</v>
      </c>
      <c r="C30" s="71"/>
      <c r="D30" s="218">
        <f t="shared" si="6"/>
        <v>135.66077561654939</v>
      </c>
      <c r="E30" s="218">
        <f t="shared" si="1"/>
        <v>35.109077584638939</v>
      </c>
      <c r="F30" s="218">
        <f t="shared" si="1"/>
        <v>1.4542837808569289</v>
      </c>
      <c r="G30" s="70">
        <f t="shared" si="7"/>
        <v>80.284098778438292</v>
      </c>
      <c r="H30" s="69"/>
      <c r="I30" s="69"/>
      <c r="J30" s="70">
        <f t="shared" si="11"/>
        <v>80.284098778438292</v>
      </c>
      <c r="K30" s="70">
        <f t="shared" si="12"/>
        <v>172.22</v>
      </c>
      <c r="L30" s="69">
        <f t="shared" si="13"/>
        <v>172.22413698204525</v>
      </c>
      <c r="P30" s="79"/>
      <c r="Q30" s="69"/>
      <c r="R30" s="69"/>
    </row>
    <row r="31" spans="2:27">
      <c r="B31" s="68">
        <f t="shared" si="0"/>
        <v>2047</v>
      </c>
      <c r="C31" s="71"/>
      <c r="D31" s="218">
        <f t="shared" si="6"/>
        <v>138.67244483523677</v>
      </c>
      <c r="E31" s="218">
        <f t="shared" si="1"/>
        <v>35.888499107017921</v>
      </c>
      <c r="F31" s="218">
        <f t="shared" si="1"/>
        <v>1.4865688807919526</v>
      </c>
      <c r="G31" s="70">
        <f t="shared" si="7"/>
        <v>82.066405771319637</v>
      </c>
      <c r="H31" s="69"/>
      <c r="I31" s="69"/>
      <c r="J31" s="70">
        <f t="shared" si="11"/>
        <v>82.066405771319637</v>
      </c>
      <c r="K31" s="70">
        <f t="shared" si="12"/>
        <v>176.05</v>
      </c>
      <c r="L31" s="69">
        <f t="shared" si="13"/>
        <v>176.04751282304667</v>
      </c>
      <c r="P31" s="79"/>
      <c r="Q31" s="69"/>
      <c r="R31" s="69"/>
    </row>
    <row r="32" spans="2:27">
      <c r="B32" s="68">
        <f t="shared" si="0"/>
        <v>2048</v>
      </c>
      <c r="C32" s="71"/>
      <c r="D32" s="218">
        <f t="shared" si="6"/>
        <v>141.75097311057903</v>
      </c>
      <c r="E32" s="218">
        <f t="shared" si="1"/>
        <v>36.685223787193721</v>
      </c>
      <c r="F32" s="218">
        <f t="shared" si="1"/>
        <v>1.519570709945534</v>
      </c>
      <c r="G32" s="70">
        <f t="shared" si="7"/>
        <v>83.888279979442913</v>
      </c>
      <c r="H32" s="69"/>
      <c r="I32" s="69"/>
      <c r="J32" s="70">
        <f t="shared" si="11"/>
        <v>83.888279979442913</v>
      </c>
      <c r="K32" s="70">
        <f t="shared" si="12"/>
        <v>179.96</v>
      </c>
      <c r="L32" s="69">
        <f t="shared" si="13"/>
        <v>179.95576760771826</v>
      </c>
      <c r="P32" s="79"/>
      <c r="Q32" s="69"/>
      <c r="R32" s="69"/>
    </row>
    <row r="33" spans="2:18" ht="15">
      <c r="B33" s="68">
        <f t="shared" si="0"/>
        <v>2049</v>
      </c>
      <c r="C33" s="71"/>
      <c r="D33" s="218">
        <f t="shared" si="6"/>
        <v>144.89784471363387</v>
      </c>
      <c r="E33" s="218">
        <f t="shared" si="1"/>
        <v>37.499635755269423</v>
      </c>
      <c r="F33" s="218">
        <f t="shared" si="1"/>
        <v>1.5533051797063249</v>
      </c>
      <c r="G33" s="70">
        <f t="shared" si="7"/>
        <v>85.750599794986542</v>
      </c>
      <c r="H33" s="69"/>
      <c r="I33" s="272"/>
      <c r="J33" s="70">
        <f t="shared" si="11"/>
        <v>85.750599794986542</v>
      </c>
      <c r="K33" s="70">
        <f t="shared" si="12"/>
        <v>183.95</v>
      </c>
      <c r="L33" s="69">
        <f t="shared" si="13"/>
        <v>183.95078564860961</v>
      </c>
      <c r="P33" s="79"/>
      <c r="Q33" s="69"/>
      <c r="R33" s="69"/>
    </row>
    <row r="34" spans="2:18" ht="15">
      <c r="B34" s="68">
        <f t="shared" si="0"/>
        <v>2050</v>
      </c>
      <c r="C34" s="71"/>
      <c r="D34" s="218">
        <f t="shared" si="6"/>
        <v>148.11457686627654</v>
      </c>
      <c r="E34" s="218">
        <f t="shared" si="1"/>
        <v>38.332127669036403</v>
      </c>
      <c r="F34" s="218">
        <f t="shared" si="1"/>
        <v>1.5877885546958053</v>
      </c>
      <c r="G34" s="70">
        <f t="shared" si="7"/>
        <v>87.654263110435238</v>
      </c>
      <c r="H34" s="69"/>
      <c r="I34" s="272"/>
      <c r="J34" s="70">
        <f t="shared" si="11"/>
        <v>87.654263110435238</v>
      </c>
      <c r="K34" s="70">
        <f t="shared" si="12"/>
        <v>188.03</v>
      </c>
      <c r="L34" s="69">
        <f t="shared" si="13"/>
        <v>188.03449309000874</v>
      </c>
      <c r="P34" s="79"/>
      <c r="Q34" s="69"/>
      <c r="R34" s="69"/>
    </row>
    <row r="35" spans="2:18" ht="15">
      <c r="B35" s="68">
        <f t="shared" si="0"/>
        <v>2051</v>
      </c>
      <c r="C35" s="71"/>
      <c r="D35" s="218">
        <f t="shared" si="6"/>
        <v>151.40272047270787</v>
      </c>
      <c r="E35" s="218">
        <f t="shared" si="1"/>
        <v>39.183100903289009</v>
      </c>
      <c r="F35" s="218">
        <f t="shared" si="1"/>
        <v>1.6230374606100522</v>
      </c>
      <c r="G35" s="70">
        <f t="shared" si="7"/>
        <v>89.600187751486914</v>
      </c>
      <c r="H35" s="69"/>
      <c r="I35" s="272"/>
      <c r="J35" s="70">
        <f t="shared" si="11"/>
        <v>89.600187751486914</v>
      </c>
      <c r="K35" s="70">
        <f t="shared" si="12"/>
        <v>192.21</v>
      </c>
      <c r="L35" s="69">
        <f t="shared" si="13"/>
        <v>192.20885883660694</v>
      </c>
      <c r="P35" s="79"/>
      <c r="Q35" s="69"/>
      <c r="R35" s="69"/>
    </row>
    <row r="36" spans="2:18" ht="15">
      <c r="B36" s="68">
        <f t="shared" si="0"/>
        <v>2052</v>
      </c>
      <c r="C36" s="71"/>
      <c r="D36" s="218">
        <f t="shared" si="6"/>
        <v>154.76386086720197</v>
      </c>
      <c r="E36" s="218">
        <f t="shared" si="1"/>
        <v>40.052965743342028</v>
      </c>
      <c r="F36" s="218">
        <f t="shared" si="1"/>
        <v>1.6590688922355954</v>
      </c>
      <c r="G36" s="70">
        <f t="shared" ref="G36:G43" si="14">(D36+E36+F36)/(8.76*$C$61)</f>
        <v>91.589311919569923</v>
      </c>
      <c r="H36" s="69"/>
      <c r="I36" s="272"/>
      <c r="J36" s="70">
        <f t="shared" ref="J36:J43" si="15">(G36+H36+I36)</f>
        <v>91.589311919569923</v>
      </c>
      <c r="K36" s="70">
        <f t="shared" ref="K36:K43" si="16">ROUND(J36*$C$61*8.76,2)</f>
        <v>196.48</v>
      </c>
      <c r="L36" s="69">
        <f t="shared" ref="L36:L43" si="17">(D36+E36+F36)</f>
        <v>196.47589550277962</v>
      </c>
      <c r="P36" s="79"/>
      <c r="Q36" s="69"/>
      <c r="R36" s="69"/>
    </row>
    <row r="37" spans="2:18" ht="15">
      <c r="B37" s="68">
        <f t="shared" si="0"/>
        <v>2053</v>
      </c>
      <c r="C37" s="71"/>
      <c r="D37" s="218">
        <f t="shared" si="6"/>
        <v>158.19961857845385</v>
      </c>
      <c r="E37" s="218">
        <f t="shared" si="1"/>
        <v>40.942141582844222</v>
      </c>
      <c r="F37" s="218">
        <f t="shared" si="1"/>
        <v>1.6959002216432255</v>
      </c>
      <c r="G37" s="70">
        <f t="shared" si="14"/>
        <v>93.62259464418436</v>
      </c>
      <c r="H37" s="69"/>
      <c r="I37" s="272"/>
      <c r="J37" s="70">
        <f t="shared" si="15"/>
        <v>93.62259464418436</v>
      </c>
      <c r="K37" s="70">
        <f t="shared" si="16"/>
        <v>200.84</v>
      </c>
      <c r="L37" s="69">
        <f t="shared" si="17"/>
        <v>200.83766038294129</v>
      </c>
      <c r="P37" s="79"/>
      <c r="Q37" s="69"/>
      <c r="R37" s="69"/>
    </row>
    <row r="38" spans="2:18" ht="15">
      <c r="B38" s="68">
        <f t="shared" si="0"/>
        <v>2054</v>
      </c>
      <c r="C38" s="71"/>
      <c r="D38" s="218">
        <f t="shared" si="6"/>
        <v>161.71165011089553</v>
      </c>
      <c r="E38" s="218">
        <f t="shared" si="1"/>
        <v>41.851057125983367</v>
      </c>
      <c r="F38" s="218">
        <f t="shared" si="1"/>
        <v>1.733549206563705</v>
      </c>
      <c r="G38" s="70">
        <f t="shared" si="14"/>
        <v>95.70101624528526</v>
      </c>
      <c r="H38" s="69"/>
      <c r="I38" s="272"/>
      <c r="J38" s="70">
        <f t="shared" si="15"/>
        <v>95.70101624528526</v>
      </c>
      <c r="K38" s="70">
        <f t="shared" si="16"/>
        <v>205.3</v>
      </c>
      <c r="L38" s="69">
        <f t="shared" si="17"/>
        <v>205.29625644344262</v>
      </c>
      <c r="P38" s="79"/>
      <c r="Q38" s="69"/>
      <c r="R38" s="69"/>
    </row>
    <row r="39" spans="2:18" ht="15">
      <c r="B39" s="68">
        <f t="shared" si="0"/>
        <v>2055</v>
      </c>
      <c r="C39" s="71"/>
      <c r="D39" s="218">
        <f t="shared" si="6"/>
        <v>165.30164874335742</v>
      </c>
      <c r="E39" s="218">
        <f t="shared" si="1"/>
        <v>42.780150594180199</v>
      </c>
      <c r="F39" s="218">
        <f t="shared" si="1"/>
        <v>1.7720339989494194</v>
      </c>
      <c r="G39" s="70">
        <f t="shared" si="14"/>
        <v>97.82557880593059</v>
      </c>
      <c r="H39" s="69"/>
      <c r="I39" s="272"/>
      <c r="J39" s="70">
        <f t="shared" si="15"/>
        <v>97.82557880593059</v>
      </c>
      <c r="K39" s="70">
        <f t="shared" si="16"/>
        <v>209.85</v>
      </c>
      <c r="L39" s="69">
        <f t="shared" si="17"/>
        <v>209.85383333648704</v>
      </c>
      <c r="P39" s="79"/>
      <c r="Q39" s="69"/>
      <c r="R39" s="69"/>
    </row>
    <row r="40" spans="2:18" ht="15">
      <c r="B40" s="68">
        <f t="shared" si="0"/>
        <v>2056</v>
      </c>
      <c r="C40" s="71"/>
      <c r="D40" s="218">
        <f t="shared" si="6"/>
        <v>168.97134534545995</v>
      </c>
      <c r="E40" s="218">
        <f t="shared" si="1"/>
        <v>43.729869937370999</v>
      </c>
      <c r="F40" s="218">
        <f t="shared" si="1"/>
        <v>1.8113731537260964</v>
      </c>
      <c r="G40" s="70">
        <f t="shared" si="14"/>
        <v>99.99730665542225</v>
      </c>
      <c r="H40" s="69"/>
      <c r="I40" s="272"/>
      <c r="J40" s="70">
        <f t="shared" si="15"/>
        <v>99.99730665542225</v>
      </c>
      <c r="K40" s="70">
        <f t="shared" si="16"/>
        <v>214.51</v>
      </c>
      <c r="L40" s="69">
        <f t="shared" si="17"/>
        <v>214.51258843655705</v>
      </c>
      <c r="P40" s="79"/>
      <c r="Q40" s="69"/>
      <c r="R40" s="69"/>
    </row>
    <row r="41" spans="2:18" ht="15">
      <c r="B41" s="68">
        <f t="shared" si="0"/>
        <v>2057</v>
      </c>
      <c r="C41" s="71"/>
      <c r="D41" s="218">
        <f t="shared" si="6"/>
        <v>172.72250921212915</v>
      </c>
      <c r="E41" s="218">
        <f t="shared" si="1"/>
        <v>44.700673049980637</v>
      </c>
      <c r="F41" s="218">
        <f t="shared" si="1"/>
        <v>1.8515856377388158</v>
      </c>
      <c r="G41" s="70">
        <f t="shared" si="14"/>
        <v>102.21724686317262</v>
      </c>
      <c r="H41" s="69"/>
      <c r="I41" s="272"/>
      <c r="J41" s="70">
        <f t="shared" si="15"/>
        <v>102.21724686317262</v>
      </c>
      <c r="K41" s="70">
        <f t="shared" si="16"/>
        <v>219.27</v>
      </c>
      <c r="L41" s="69">
        <f t="shared" si="17"/>
        <v>219.2747678998486</v>
      </c>
      <c r="P41" s="79"/>
      <c r="Q41" s="69"/>
      <c r="R41" s="69"/>
    </row>
    <row r="42" spans="2:18" ht="15">
      <c r="B42" s="68">
        <f t="shared" si="0"/>
        <v>2058</v>
      </c>
      <c r="C42" s="71"/>
      <c r="D42" s="218">
        <f t="shared" si="6"/>
        <v>176.55694891663842</v>
      </c>
      <c r="E42" s="218">
        <f t="shared" si="1"/>
        <v>45.693027991690208</v>
      </c>
      <c r="F42" s="218">
        <f t="shared" si="1"/>
        <v>1.8926908388966175</v>
      </c>
      <c r="G42" s="70">
        <f t="shared" si="14"/>
        <v>104.48646974353505</v>
      </c>
      <c r="H42" s="69"/>
      <c r="I42" s="272"/>
      <c r="J42" s="70">
        <f t="shared" si="15"/>
        <v>104.48646974353505</v>
      </c>
      <c r="K42" s="70">
        <f t="shared" si="16"/>
        <v>224.14</v>
      </c>
      <c r="L42" s="69">
        <f t="shared" si="17"/>
        <v>224.14266774722523</v>
      </c>
      <c r="P42" s="79"/>
      <c r="Q42" s="69"/>
      <c r="R42" s="69"/>
    </row>
    <row r="43" spans="2:18" ht="15">
      <c r="B43" s="68">
        <f t="shared" si="0"/>
        <v>2059</v>
      </c>
      <c r="C43" s="71"/>
      <c r="D43" s="218">
        <f t="shared" si="6"/>
        <v>180.47651318258778</v>
      </c>
      <c r="E43" s="218">
        <f t="shared" si="1"/>
        <v>46.707413213105731</v>
      </c>
      <c r="F43" s="218">
        <f t="shared" si="1"/>
        <v>1.9347085755201223</v>
      </c>
      <c r="G43" s="70">
        <f t="shared" si="14"/>
        <v>106.80606937184152</v>
      </c>
      <c r="H43" s="69"/>
      <c r="I43" s="272"/>
      <c r="J43" s="70">
        <f t="shared" si="15"/>
        <v>106.80606937184152</v>
      </c>
      <c r="K43" s="70">
        <f t="shared" si="16"/>
        <v>229.12</v>
      </c>
      <c r="L43" s="69">
        <f t="shared" si="17"/>
        <v>229.11863497121362</v>
      </c>
      <c r="P43" s="79"/>
      <c r="Q43" s="69"/>
      <c r="R43" s="69"/>
    </row>
    <row r="44" spans="2:18" ht="15">
      <c r="B44" s="68"/>
      <c r="C44" s="71"/>
      <c r="D44" s="69"/>
      <c r="E44" s="69"/>
      <c r="F44" s="202"/>
      <c r="G44" s="70"/>
      <c r="H44" s="69"/>
      <c r="I44" s="272"/>
      <c r="J44" s="70"/>
      <c r="K44" s="70"/>
      <c r="L44" s="69"/>
      <c r="P44" s="79"/>
      <c r="Q44" s="69"/>
      <c r="R44" s="69"/>
    </row>
    <row r="45" spans="2:18" ht="15">
      <c r="B45" s="68"/>
      <c r="C45" s="71"/>
      <c r="D45" s="69"/>
      <c r="E45" s="69"/>
      <c r="F45" s="202"/>
      <c r="G45" s="70"/>
      <c r="H45" s="69"/>
      <c r="I45" s="272"/>
      <c r="J45" s="70"/>
      <c r="K45" s="70"/>
      <c r="L45" s="69"/>
      <c r="P45" s="79"/>
      <c r="Q45" s="69"/>
      <c r="R45" s="69"/>
    </row>
    <row r="46" spans="2:18" ht="15">
      <c r="B46" s="68"/>
      <c r="C46" s="71"/>
      <c r="D46" s="69"/>
      <c r="E46" s="69"/>
      <c r="F46" s="202"/>
      <c r="G46" s="70"/>
      <c r="H46" s="69"/>
      <c r="I46" s="272"/>
      <c r="J46" s="70"/>
      <c r="K46" s="70"/>
      <c r="L46" s="69"/>
      <c r="P46" s="79"/>
      <c r="Q46" s="69"/>
      <c r="R46" s="69"/>
    </row>
    <row r="47" spans="2:18">
      <c r="B47" s="68"/>
      <c r="C47" s="71"/>
      <c r="D47" s="69"/>
      <c r="E47" s="69"/>
      <c r="F47" s="69"/>
      <c r="G47" s="70"/>
      <c r="H47" s="69"/>
      <c r="I47" s="69"/>
      <c r="J47" s="69"/>
      <c r="K47" s="69"/>
      <c r="L47" s="69"/>
      <c r="M47" s="69"/>
    </row>
    <row r="48" spans="2:18">
      <c r="B48" s="68"/>
      <c r="C48" s="71"/>
      <c r="D48" s="70">
        <f>-PMT(Discount_Rate,COUNT(D$12:D$36),NPV(Discount_Rate,D$12:D$36))</f>
        <v>112.43822924550025</v>
      </c>
      <c r="E48" s="70">
        <f>-PMT(Discount_Rate,COUNT(E$12:E$36),NPV(Discount_Rate,E$12:E$36))</f>
        <v>29.099070797131105</v>
      </c>
      <c r="F48" s="69"/>
      <c r="G48" s="70"/>
      <c r="H48" s="69"/>
      <c r="I48" s="70"/>
      <c r="J48" s="70">
        <f>-PMT(Discount_Rate,COUNT(J$12:J$36),NPV(Discount_Rate,J$12:J$36))</f>
        <v>66.540986974257152</v>
      </c>
      <c r="K48" s="70">
        <f>-PMT(Discount_Rate,COUNT(K$12:K$36),NPV(Discount_Rate,K$12:K$36))</f>
        <v>142.74293927843905</v>
      </c>
      <c r="L48" s="70">
        <f>-PMT(Discount_Rate,COUNT(L$12:L$36),NPV(Discount_Rate,L$12:L$36))</f>
        <v>142.74263808081412</v>
      </c>
      <c r="M48" s="73"/>
    </row>
    <row r="49" spans="2:20" ht="14.25">
      <c r="B49" s="74" t="s">
        <v>25</v>
      </c>
      <c r="C49" s="75"/>
      <c r="D49" s="75"/>
      <c r="E49" s="75"/>
      <c r="F49" s="75"/>
      <c r="G49" s="75"/>
      <c r="H49" s="75"/>
      <c r="I49" s="75"/>
    </row>
    <row r="51" spans="2:20">
      <c r="B51" s="61" t="s">
        <v>59</v>
      </c>
      <c r="C51" s="76" t="s">
        <v>60</v>
      </c>
      <c r="D51" s="146" t="s">
        <v>296</v>
      </c>
    </row>
    <row r="52" spans="2:20">
      <c r="C52" s="76" t="str">
        <f>C7</f>
        <v>(a)</v>
      </c>
      <c r="D52" s="61" t="s">
        <v>61</v>
      </c>
    </row>
    <row r="53" spans="2:20">
      <c r="C53" s="76" t="str">
        <f>D7</f>
        <v>(b)</v>
      </c>
      <c r="D53" s="70" t="str">
        <f>"= "&amp;C7&amp;" x "&amp;C60</f>
        <v>= (a) x 0.06861</v>
      </c>
    </row>
    <row r="54" spans="2:20">
      <c r="C54" s="76" t="str">
        <f>F7</f>
        <v>(d)</v>
      </c>
      <c r="D54" s="70" t="str">
        <f>"= ("&amp;$D$7&amp;" + "&amp;$E$7&amp;") /  (8.76 x "&amp;TEXT(C61,"0.0%")&amp;")"</f>
        <v>= ((b) + (c)) /  (8.76 x 24.5%)</v>
      </c>
    </row>
    <row r="55" spans="2:20">
      <c r="C55" s="76" t="str">
        <f>J7</f>
        <v>(g)</v>
      </c>
      <c r="D55" s="70" t="str">
        <f>"= "&amp;$G$7&amp;" + "&amp;$H$7</f>
        <v>= (e) + (f)</v>
      </c>
    </row>
    <row r="56" spans="2:20">
      <c r="C56" s="76" t="str">
        <f>K7</f>
        <v>(h)</v>
      </c>
      <c r="D56" t="str">
        <f>D51</f>
        <v>Plant Costs  - 2025 IRP  Update - Table 7.1 &amp; 7.2</v>
      </c>
    </row>
    <row r="57" spans="2:20">
      <c r="Q57" s="61" t="s">
        <v>80</v>
      </c>
      <c r="R57" s="68">
        <v>2028</v>
      </c>
      <c r="T57" s="153" t="s">
        <v>125</v>
      </c>
    </row>
    <row r="58" spans="2:20">
      <c r="B58"/>
      <c r="C58" s="79">
        <f>'2025 IRPUpdt Assumptions'!L144</f>
        <v>0.97949761184210526</v>
      </c>
      <c r="D58" s="61" t="s">
        <v>83</v>
      </c>
      <c r="P58" s="143"/>
      <c r="T58" s="153"/>
    </row>
    <row r="59" spans="2:20">
      <c r="B59"/>
      <c r="C59" s="77"/>
      <c r="Q59" s="61" t="s">
        <v>145</v>
      </c>
      <c r="R59" s="143">
        <v>34.455799999999996</v>
      </c>
    </row>
    <row r="60" spans="2:20">
      <c r="C60" s="151">
        <v>6.8610000000000004E-2</v>
      </c>
      <c r="D60" s="61" t="s">
        <v>147</v>
      </c>
      <c r="E60" s="148"/>
      <c r="J60" s="196"/>
      <c r="L60" s="145"/>
      <c r="M60" s="81"/>
      <c r="N60" s="81"/>
      <c r="P60" s="82"/>
    </row>
    <row r="61" spans="2:20">
      <c r="C61" s="152">
        <v>0.24488397962938374</v>
      </c>
      <c r="D61" s="61" t="s">
        <v>35</v>
      </c>
    </row>
    <row r="62" spans="2:20">
      <c r="C62" s="157"/>
      <c r="D62" s="80"/>
      <c r="H62" s="271">
        <v>0</v>
      </c>
      <c r="I62" s="61" t="s">
        <v>195</v>
      </c>
    </row>
    <row r="63" spans="2:20" ht="15">
      <c r="C63" s="152"/>
      <c r="I63" s="105" t="s">
        <v>31</v>
      </c>
      <c r="J63" s="105" t="s">
        <v>193</v>
      </c>
    </row>
    <row r="64" spans="2:20" ht="15">
      <c r="C64" s="105"/>
      <c r="D64" s="105"/>
      <c r="E64" s="105"/>
      <c r="F64" s="105"/>
      <c r="G64" s="198">
        <v>47849</v>
      </c>
      <c r="H64" s="68">
        <f>YEAR(G64)</f>
        <v>2031</v>
      </c>
      <c r="I64" s="69"/>
      <c r="J64" s="79">
        <f>I64*(8.76*$C$61)</f>
        <v>0</v>
      </c>
    </row>
    <row r="65" spans="3:10" ht="15">
      <c r="C65" s="198"/>
      <c r="D65" s="105"/>
      <c r="E65" s="195"/>
      <c r="F65" s="203"/>
      <c r="G65" s="198">
        <v>48214</v>
      </c>
      <c r="H65" s="68">
        <f>YEAR(G65)</f>
        <v>2032</v>
      </c>
      <c r="I65" s="69"/>
      <c r="J65" s="79">
        <f t="shared" ref="J65:J73" si="18">I65*(8.76*$C$61)</f>
        <v>0</v>
      </c>
    </row>
    <row r="66" spans="3:10" ht="15">
      <c r="C66" s="198"/>
      <c r="D66" s="105"/>
      <c r="E66" s="195"/>
      <c r="F66" s="203"/>
      <c r="G66" s="198">
        <v>48580</v>
      </c>
      <c r="H66" s="68">
        <f t="shared" ref="H66:H73" si="19">YEAR(G66)</f>
        <v>2033</v>
      </c>
      <c r="I66" s="69"/>
      <c r="J66" s="79">
        <f t="shared" si="18"/>
        <v>0</v>
      </c>
    </row>
    <row r="67" spans="3:10" ht="15">
      <c r="C67" s="198"/>
      <c r="D67" s="105"/>
      <c r="E67" s="195"/>
      <c r="F67" s="203"/>
      <c r="G67" s="198">
        <v>48945</v>
      </c>
      <c r="H67" s="68">
        <f t="shared" si="19"/>
        <v>2034</v>
      </c>
      <c r="I67" s="69"/>
      <c r="J67" s="79">
        <f t="shared" si="18"/>
        <v>0</v>
      </c>
    </row>
    <row r="68" spans="3:10" ht="15">
      <c r="C68" s="198"/>
      <c r="D68" s="105"/>
      <c r="E68" s="195"/>
      <c r="F68" s="203"/>
      <c r="G68" s="198">
        <v>49310</v>
      </c>
      <c r="H68" s="68">
        <f t="shared" si="19"/>
        <v>2035</v>
      </c>
      <c r="I68" s="69"/>
      <c r="J68" s="79">
        <f t="shared" si="18"/>
        <v>0</v>
      </c>
    </row>
    <row r="69" spans="3:10" ht="15">
      <c r="C69" s="198"/>
      <c r="D69" s="105"/>
      <c r="E69" s="195"/>
      <c r="F69" s="203"/>
      <c r="G69" s="198">
        <v>49675</v>
      </c>
      <c r="H69" s="68">
        <f t="shared" si="19"/>
        <v>2036</v>
      </c>
      <c r="I69" s="69"/>
      <c r="J69" s="79">
        <f t="shared" si="18"/>
        <v>0</v>
      </c>
    </row>
    <row r="70" spans="3:10" ht="15">
      <c r="C70" s="198"/>
      <c r="D70" s="105"/>
      <c r="E70" s="195"/>
      <c r="F70" s="203"/>
      <c r="G70" s="198">
        <v>50041</v>
      </c>
      <c r="H70" s="68">
        <f t="shared" si="19"/>
        <v>2037</v>
      </c>
      <c r="I70" s="69"/>
      <c r="J70" s="79">
        <f t="shared" si="18"/>
        <v>0</v>
      </c>
    </row>
    <row r="71" spans="3:10" ht="15">
      <c r="C71" s="198"/>
      <c r="D71" s="105"/>
      <c r="E71" s="195"/>
      <c r="F71" s="203"/>
      <c r="G71" s="198">
        <v>50406</v>
      </c>
      <c r="H71" s="68">
        <f t="shared" si="19"/>
        <v>2038</v>
      </c>
      <c r="I71" s="69"/>
      <c r="J71" s="79">
        <f t="shared" si="18"/>
        <v>0</v>
      </c>
    </row>
    <row r="72" spans="3:10" ht="15">
      <c r="C72" s="198"/>
      <c r="D72" s="105"/>
      <c r="E72" s="195"/>
      <c r="F72" s="203"/>
      <c r="G72" s="198">
        <v>50771</v>
      </c>
      <c r="H72" s="68">
        <f t="shared" si="19"/>
        <v>2039</v>
      </c>
      <c r="I72" s="69"/>
      <c r="J72" s="79">
        <f t="shared" si="18"/>
        <v>0</v>
      </c>
    </row>
    <row r="73" spans="3:10" ht="15">
      <c r="C73" s="198"/>
      <c r="D73" s="105"/>
      <c r="E73" s="195"/>
      <c r="F73" s="203"/>
      <c r="G73" s="198">
        <v>51136</v>
      </c>
      <c r="H73" s="68">
        <f t="shared" si="19"/>
        <v>2040</v>
      </c>
      <c r="I73" s="69"/>
      <c r="J73" s="79">
        <f t="shared" si="18"/>
        <v>0</v>
      </c>
    </row>
    <row r="74" spans="3:10" ht="15">
      <c r="C74" s="198"/>
      <c r="D74" s="105"/>
      <c r="E74" s="195"/>
      <c r="F74" s="203"/>
    </row>
    <row r="75" spans="3:10" ht="15">
      <c r="C75" s="105"/>
      <c r="D75" s="105"/>
      <c r="E75" s="105"/>
      <c r="F75" s="105"/>
      <c r="G75" s="105"/>
    </row>
    <row r="76" spans="3:10" ht="15">
      <c r="C76" s="105"/>
      <c r="D76" s="105"/>
      <c r="E76" s="105"/>
      <c r="F76" s="105"/>
      <c r="G76" s="105" t="s">
        <v>140</v>
      </c>
      <c r="J76" s="61">
        <v>25</v>
      </c>
    </row>
    <row r="77" spans="3:10" ht="15">
      <c r="C77" s="105"/>
      <c r="D77" s="105"/>
      <c r="E77" s="199"/>
      <c r="F77" s="199"/>
      <c r="G77" s="105" t="s">
        <v>197</v>
      </c>
      <c r="I77" s="199"/>
      <c r="J77" s="199">
        <f>-PMT(Real_Discount_Rate,J76,NPV(Discount_Rate,J64:J73))</f>
        <v>0</v>
      </c>
    </row>
    <row r="80" spans="3:10">
      <c r="C80" s="78"/>
      <c r="D80" s="80"/>
    </row>
    <row r="81" spans="3:4">
      <c r="C81" s="78"/>
      <c r="D81" s="80"/>
    </row>
    <row r="82" spans="3:4">
      <c r="C82" s="78"/>
      <c r="D82" s="80"/>
    </row>
    <row r="83" spans="3:4">
      <c r="C83" s="78"/>
      <c r="D83" s="80"/>
    </row>
    <row r="84" spans="3:4">
      <c r="C84" s="78"/>
      <c r="D84" s="80"/>
    </row>
    <row r="85" spans="3:4">
      <c r="C85" s="78"/>
      <c r="D85" s="80"/>
    </row>
    <row r="86" spans="3:4">
      <c r="C86" s="78"/>
      <c r="D86" s="80"/>
    </row>
    <row r="87" spans="3:4">
      <c r="C87" s="78"/>
      <c r="D87" s="80"/>
    </row>
    <row r="88" spans="3:4">
      <c r="C88" s="78"/>
      <c r="D88" s="80"/>
    </row>
    <row r="89" spans="3:4">
      <c r="C89" s="78"/>
      <c r="D89" s="80"/>
    </row>
  </sheetData>
  <printOptions horizontalCentered="1"/>
  <pageMargins left="0.8" right="0.3" top="0.4" bottom="0.4" header="0.5" footer="0.2"/>
  <pageSetup scale="6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5448-3FE4-476F-9D17-A6A31D5A3ADD}">
  <sheetPr>
    <tabColor rgb="FFCCFFCC"/>
    <pageSetUpPr fitToPage="1"/>
  </sheetPr>
  <dimension ref="B1:AC89"/>
  <sheetViews>
    <sheetView view="pageBreakPreview" zoomScale="70" zoomScaleNormal="60" zoomScaleSheetLayoutView="70" workbookViewId="0">
      <selection activeCell="D13" sqref="D13"/>
    </sheetView>
  </sheetViews>
  <sheetFormatPr defaultColWidth="9.33203125" defaultRowHeight="12.75"/>
  <cols>
    <col min="1" max="1" width="13.33203125" style="61" customWidth="1"/>
    <col min="2" max="2" width="15" style="61" customWidth="1"/>
    <col min="3" max="3" width="19.33203125" style="61" customWidth="1"/>
    <col min="4" max="4" width="22.83203125" style="61" customWidth="1"/>
    <col min="5" max="5" width="11.1640625" style="61" customWidth="1"/>
    <col min="6" max="6" width="14.33203125" style="61" customWidth="1"/>
    <col min="7" max="7" width="12.1640625" style="61" customWidth="1"/>
    <col min="8" max="8" width="9.5" style="61" bestFit="1" customWidth="1"/>
    <col min="9" max="9" width="8.83203125" style="61" customWidth="1"/>
    <col min="10" max="10" width="12.6640625" style="61" customWidth="1"/>
    <col min="11" max="11" width="14" style="61" customWidth="1"/>
    <col min="12" max="12" width="13.33203125" style="61" customWidth="1"/>
    <col min="13" max="13" width="3.1640625" style="61" customWidth="1"/>
    <col min="14" max="14" width="15" style="61" hidden="1" customWidth="1"/>
    <col min="15" max="15" width="5.6640625" style="61" customWidth="1"/>
    <col min="16" max="16" width="9.33203125" style="61" customWidth="1"/>
    <col min="17" max="18" width="16" style="61" customWidth="1"/>
    <col min="19" max="19" width="23.5" style="61" customWidth="1"/>
    <col min="20" max="20" width="18.1640625" style="61" customWidth="1"/>
    <col min="21" max="21" width="13.33203125" style="61" customWidth="1"/>
    <col min="22" max="22" width="18.1640625" style="61" customWidth="1"/>
    <col min="23" max="23" width="12.83203125" style="61" customWidth="1"/>
    <col min="24" max="24" width="15.33203125" style="61" customWidth="1"/>
    <col min="25" max="26" width="9.33203125" style="61"/>
    <col min="27" max="27" width="13.33203125" style="61" customWidth="1"/>
    <col min="28" max="28" width="13.6640625" style="61" customWidth="1"/>
    <col min="29" max="29" width="12" style="61" bestFit="1" customWidth="1"/>
    <col min="30" max="16384" width="9.33203125" style="61"/>
  </cols>
  <sheetData>
    <row r="1" spans="2:29" ht="15.75">
      <c r="B1" s="59" t="s">
        <v>52</v>
      </c>
      <c r="C1" s="60"/>
      <c r="D1" s="60"/>
      <c r="E1" s="60"/>
      <c r="F1" s="60"/>
      <c r="G1" s="60"/>
      <c r="H1" s="60"/>
      <c r="I1" s="60"/>
      <c r="J1" s="60"/>
      <c r="K1" s="60"/>
    </row>
    <row r="2" spans="2:29" ht="15.75">
      <c r="B2" s="59" t="str">
        <f>T57</f>
        <v>WD_.PX.WMV._.PTC.Utility_Scale</v>
      </c>
      <c r="C2" s="60"/>
      <c r="D2" s="60"/>
      <c r="E2" s="60"/>
      <c r="F2" s="60"/>
      <c r="G2" s="60"/>
      <c r="H2" s="60"/>
      <c r="I2" s="60"/>
      <c r="J2" s="60"/>
      <c r="K2" s="60"/>
    </row>
    <row r="3" spans="2:29" ht="15.75">
      <c r="B3" s="59" t="str">
        <f>TEXT($C$61,"0%")&amp;" Capacity Factor"</f>
        <v>38% Capacity Factor</v>
      </c>
      <c r="C3" s="60"/>
      <c r="D3" s="60"/>
      <c r="E3" s="60"/>
      <c r="F3" s="60"/>
      <c r="G3" s="60"/>
      <c r="H3" s="60"/>
      <c r="I3" s="60"/>
      <c r="J3" s="60"/>
      <c r="K3" s="60"/>
    </row>
    <row r="4" spans="2:29">
      <c r="B4" s="60"/>
      <c r="C4" s="60"/>
      <c r="D4" s="60"/>
      <c r="E4" s="60"/>
      <c r="F4" s="60"/>
      <c r="G4" s="60"/>
      <c r="H4" s="60"/>
      <c r="I4" s="60"/>
    </row>
    <row r="5" spans="2:29" ht="51.75" customHeight="1">
      <c r="B5" s="62" t="s">
        <v>0</v>
      </c>
      <c r="C5" s="63" t="s">
        <v>10</v>
      </c>
      <c r="D5" s="63" t="s">
        <v>11</v>
      </c>
      <c r="E5" s="63" t="s">
        <v>12</v>
      </c>
      <c r="F5" s="14" t="s">
        <v>73</v>
      </c>
      <c r="G5" s="63" t="s">
        <v>58</v>
      </c>
      <c r="H5" s="14" t="s">
        <v>13</v>
      </c>
      <c r="I5" s="63" t="s">
        <v>297</v>
      </c>
      <c r="J5" s="63" t="s">
        <v>63</v>
      </c>
      <c r="K5" s="14" t="s">
        <v>48</v>
      </c>
      <c r="L5" s="63" t="s">
        <v>84</v>
      </c>
      <c r="N5" s="100"/>
      <c r="O5" s="100"/>
      <c r="Q5" s="100"/>
      <c r="T5" s="142"/>
      <c r="Z5" s="100"/>
      <c r="AA5" s="100"/>
    </row>
    <row r="6" spans="2:29" ht="24" customHeight="1">
      <c r="B6" s="64"/>
      <c r="C6" s="65" t="s">
        <v>8</v>
      </c>
      <c r="D6" s="66" t="s">
        <v>9</v>
      </c>
      <c r="E6" s="66" t="s">
        <v>9</v>
      </c>
      <c r="F6" s="16" t="s">
        <v>9</v>
      </c>
      <c r="G6" s="65" t="s">
        <v>31</v>
      </c>
      <c r="H6" s="15" t="s">
        <v>31</v>
      </c>
      <c r="I6" s="15" t="s">
        <v>31</v>
      </c>
      <c r="J6" s="65" t="s">
        <v>31</v>
      </c>
      <c r="K6" s="16" t="s">
        <v>9</v>
      </c>
      <c r="L6" s="66" t="s">
        <v>9</v>
      </c>
      <c r="W6" s="79"/>
      <c r="X6" s="79"/>
    </row>
    <row r="7" spans="2:29">
      <c r="C7" s="67" t="s">
        <v>1</v>
      </c>
      <c r="D7" s="67" t="s">
        <v>2</v>
      </c>
      <c r="E7" s="67" t="s">
        <v>3</v>
      </c>
      <c r="F7" s="67" t="s">
        <v>4</v>
      </c>
      <c r="G7" s="67" t="s">
        <v>5</v>
      </c>
      <c r="H7" s="67" t="s">
        <v>7</v>
      </c>
      <c r="I7" s="67" t="s">
        <v>22</v>
      </c>
      <c r="J7" s="67" t="s">
        <v>22</v>
      </c>
      <c r="K7" s="67" t="s">
        <v>23</v>
      </c>
      <c r="L7" s="67" t="s">
        <v>24</v>
      </c>
      <c r="R7" s="72"/>
      <c r="S7" s="79"/>
      <c r="U7" s="79"/>
    </row>
    <row r="8" spans="2:29" ht="21.75" customHeight="1">
      <c r="R8" s="72"/>
      <c r="X8" s="72"/>
    </row>
    <row r="9" spans="2:29">
      <c r="B9" s="68">
        <v>2025</v>
      </c>
      <c r="C9" s="154">
        <v>1736.5802214288706</v>
      </c>
      <c r="D9" s="69"/>
      <c r="E9" s="313">
        <v>36.301379334174804</v>
      </c>
      <c r="F9" s="69"/>
      <c r="G9" s="70"/>
      <c r="H9" s="69"/>
      <c r="I9" s="69"/>
      <c r="J9" s="70"/>
      <c r="K9" s="70"/>
      <c r="L9" s="69"/>
      <c r="S9" s="156"/>
      <c r="T9" s="71"/>
      <c r="X9" s="155"/>
    </row>
    <row r="10" spans="2:29">
      <c r="B10" s="68">
        <f t="shared" ref="B10:B46" si="0">B9+1</f>
        <v>2026</v>
      </c>
      <c r="C10" s="217">
        <f>$C$9*_xlfn.XLOOKUP(B10,'2025 IRPUpdt Assumptions'!$P$188:$P$208,'2025 IRPUpdt Assumptions'!$D$188:$D$208)</f>
        <v>1775.3059603667343</v>
      </c>
      <c r="D10" s="69"/>
      <c r="E10" s="218">
        <f t="shared" ref="E10" si="1">E9*(1+Inflation)</f>
        <v>37.107269955393484</v>
      </c>
      <c r="F10" s="69"/>
      <c r="G10" s="70"/>
      <c r="H10" s="69"/>
      <c r="I10" s="69"/>
      <c r="J10" s="70"/>
      <c r="K10" s="70"/>
      <c r="L10" s="69"/>
      <c r="R10" s="155"/>
      <c r="S10" s="155"/>
      <c r="U10" s="153"/>
      <c r="X10" s="155"/>
    </row>
    <row r="11" spans="2:29">
      <c r="B11" s="68">
        <f t="shared" si="0"/>
        <v>2027</v>
      </c>
      <c r="C11" s="217">
        <f>$C$9*_xlfn.XLOOKUP(B11,'2025 IRPUpdt Assumptions'!$P$188:$P$208,'2025 IRPUpdt Assumptions'!$D$188:$D$208)</f>
        <v>1794.7556588467378</v>
      </c>
      <c r="D11" s="69"/>
      <c r="E11" s="218">
        <f t="shared" ref="E11" si="2">E10*(1+Inflation)</f>
        <v>37.931051348403216</v>
      </c>
      <c r="F11" s="69"/>
      <c r="G11" s="70"/>
      <c r="H11" s="69"/>
      <c r="I11" s="69"/>
      <c r="J11" s="70"/>
      <c r="K11" s="70"/>
      <c r="L11" s="69"/>
      <c r="Q11" s="149"/>
      <c r="R11" s="155"/>
      <c r="S11" s="155"/>
      <c r="X11" s="155"/>
      <c r="AC11" s="144"/>
    </row>
    <row r="12" spans="2:29">
      <c r="B12" s="68">
        <f t="shared" si="0"/>
        <v>2028</v>
      </c>
      <c r="C12" s="217">
        <f>$C$9*_xlfn.XLOOKUP(B12,'2025 IRPUpdt Assumptions'!$P$188:$P$208,'2025 IRPUpdt Assumptions'!$D$188:$D$208)</f>
        <v>1814.205357326741</v>
      </c>
      <c r="D12" s="69"/>
      <c r="E12" s="218">
        <f t="shared" ref="E12" si="3">E11*(1+Inflation)</f>
        <v>38.773120688337769</v>
      </c>
      <c r="F12" s="69"/>
      <c r="G12" s="70"/>
      <c r="H12" s="69"/>
      <c r="I12" s="69"/>
      <c r="J12" s="70"/>
      <c r="K12" s="70"/>
      <c r="L12" s="69"/>
      <c r="P12" s="79"/>
      <c r="Q12" s="70"/>
      <c r="R12" s="155"/>
      <c r="S12" s="155"/>
      <c r="U12" s="156"/>
      <c r="X12" s="155"/>
      <c r="Y12" s="156"/>
    </row>
    <row r="13" spans="2:29">
      <c r="B13" s="68">
        <f t="shared" si="0"/>
        <v>2029</v>
      </c>
      <c r="C13" s="217">
        <f>$C$9*_xlfn.XLOOKUP(B13,'2025 IRPUpdt Assumptions'!$P$188:$P$208,'2025 IRPUpdt Assumptions'!$D$188:$D$208)</f>
        <v>1833.6550558067445</v>
      </c>
      <c r="D13" s="313">
        <f>C13*$C$60</f>
        <v>115.81365332475397</v>
      </c>
      <c r="E13" s="218">
        <f t="shared" ref="E13" si="4">E12*(1+Inflation)</f>
        <v>39.633883967618871</v>
      </c>
      <c r="F13" s="313">
        <f>$C$58</f>
        <v>2.9129999497487438</v>
      </c>
      <c r="G13" s="70">
        <f t="shared" ref="G13" si="5">(D13+E13+F13)/(8.76*$C$61)</f>
        <v>48.047312846489277</v>
      </c>
      <c r="H13" s="69"/>
      <c r="I13" s="69"/>
      <c r="J13" s="70">
        <f t="shared" ref="J13" si="6">(G13+H13+I13)</f>
        <v>48.047312846489277</v>
      </c>
      <c r="K13" s="70">
        <f t="shared" ref="K13" si="7">ROUND(J13*$C$61*8.76,2)</f>
        <v>158.36000000000001</v>
      </c>
      <c r="L13" s="69">
        <f t="shared" ref="L13" si="8">(D13+E13+F13)</f>
        <v>158.36053724212158</v>
      </c>
      <c r="P13" s="79"/>
      <c r="Q13" s="70"/>
      <c r="U13" s="156"/>
      <c r="W13" s="79"/>
      <c r="X13" s="155"/>
      <c r="Y13" s="156"/>
    </row>
    <row r="14" spans="2:29">
      <c r="B14" s="68">
        <f t="shared" si="0"/>
        <v>2030</v>
      </c>
      <c r="C14" s="217"/>
      <c r="D14" s="218">
        <f t="shared" ref="D14:D15" si="9">D13*(1+Inflation)</f>
        <v>118.38471642856351</v>
      </c>
      <c r="E14" s="218">
        <f t="shared" ref="E14:F14" si="10">E13*(1+Inflation)</f>
        <v>40.513756191700011</v>
      </c>
      <c r="F14" s="218">
        <f t="shared" si="10"/>
        <v>2.977668548633166</v>
      </c>
      <c r="G14" s="70">
        <f t="shared" ref="G14:G46" si="11">(D14+E14+F14)/(8.76*$C$61)</f>
        <v>49.11396319168135</v>
      </c>
      <c r="H14" s="69"/>
      <c r="I14" s="69"/>
      <c r="J14" s="70">
        <f t="shared" ref="J14:J30" si="12">(G14+H14+I14)</f>
        <v>49.11396319168135</v>
      </c>
      <c r="K14" s="70">
        <f t="shared" ref="K14:K46" si="13">ROUND(J14*$C$61*8.76,2)</f>
        <v>161.88</v>
      </c>
      <c r="L14" s="69">
        <f t="shared" ref="L14:L30" si="14">(D14+E14+F14)</f>
        <v>161.87614116889671</v>
      </c>
      <c r="P14" s="79"/>
      <c r="Q14" s="70"/>
      <c r="U14" s="156"/>
      <c r="V14" s="79"/>
      <c r="W14" s="79"/>
      <c r="X14" s="155"/>
      <c r="Y14" s="156"/>
      <c r="Z14" s="79"/>
    </row>
    <row r="15" spans="2:29">
      <c r="B15" s="68">
        <f t="shared" si="0"/>
        <v>2031</v>
      </c>
      <c r="C15" s="71"/>
      <c r="D15" s="218">
        <f t="shared" si="9"/>
        <v>121.01285713327762</v>
      </c>
      <c r="E15" s="218">
        <f t="shared" ref="E15:F15" si="15">E14*(1+Inflation)</f>
        <v>41.413161579155748</v>
      </c>
      <c r="F15" s="218">
        <f t="shared" si="15"/>
        <v>3.0437727904128224</v>
      </c>
      <c r="G15" s="70">
        <f t="shared" si="11"/>
        <v>50.204293174536666</v>
      </c>
      <c r="H15" s="69"/>
      <c r="I15" s="69"/>
      <c r="J15" s="70">
        <f t="shared" si="12"/>
        <v>50.204293174536666</v>
      </c>
      <c r="K15" s="70">
        <f t="shared" si="13"/>
        <v>165.47</v>
      </c>
      <c r="L15" s="69">
        <f>(D15+E15+F15)</f>
        <v>165.46979150284619</v>
      </c>
      <c r="P15" s="79"/>
      <c r="Q15" s="70"/>
      <c r="U15" s="156"/>
      <c r="V15" s="79"/>
      <c r="W15" s="79"/>
      <c r="X15" s="155"/>
      <c r="Y15" s="156"/>
      <c r="Z15" s="79"/>
      <c r="AA15" s="79"/>
    </row>
    <row r="16" spans="2:29">
      <c r="B16" s="68">
        <f t="shared" si="0"/>
        <v>2032</v>
      </c>
      <c r="C16" s="71"/>
      <c r="D16" s="218">
        <f t="shared" ref="D16:F16" si="16">D15*(1+Inflation)</f>
        <v>123.69934256163639</v>
      </c>
      <c r="E16" s="218">
        <f t="shared" si="16"/>
        <v>42.332533766213004</v>
      </c>
      <c r="F16" s="218">
        <f t="shared" si="16"/>
        <v>3.1113445463599869</v>
      </c>
      <c r="G16" s="70">
        <f t="shared" si="11"/>
        <v>51.318828483011373</v>
      </c>
      <c r="H16" s="69"/>
      <c r="I16" s="69"/>
      <c r="J16" s="70">
        <f t="shared" si="12"/>
        <v>51.318828483011373</v>
      </c>
      <c r="K16" s="70">
        <f t="shared" si="13"/>
        <v>169.14</v>
      </c>
      <c r="L16" s="69">
        <f t="shared" si="14"/>
        <v>169.14322087420936</v>
      </c>
      <c r="P16" s="79"/>
      <c r="Q16" s="70"/>
      <c r="U16" s="156"/>
      <c r="V16" s="79"/>
      <c r="W16" s="79"/>
      <c r="X16" s="155"/>
      <c r="Y16" s="156"/>
      <c r="Z16" s="79"/>
      <c r="AA16" s="79"/>
    </row>
    <row r="17" spans="2:27">
      <c r="B17" s="68">
        <f t="shared" si="0"/>
        <v>2033</v>
      </c>
      <c r="C17" s="71"/>
      <c r="D17" s="218">
        <f t="shared" ref="D17:F17" si="17">D16*(1+Inflation)</f>
        <v>126.44546796650471</v>
      </c>
      <c r="E17" s="218">
        <f t="shared" si="17"/>
        <v>43.272316015822931</v>
      </c>
      <c r="F17" s="218">
        <f t="shared" si="17"/>
        <v>3.1804163952891784</v>
      </c>
      <c r="G17" s="70">
        <f t="shared" si="11"/>
        <v>52.458106475334226</v>
      </c>
      <c r="H17" s="69"/>
      <c r="I17" s="69"/>
      <c r="J17" s="70">
        <f t="shared" si="12"/>
        <v>52.458106475334226</v>
      </c>
      <c r="K17" s="70">
        <f t="shared" si="13"/>
        <v>172.9</v>
      </c>
      <c r="L17" s="69">
        <f t="shared" si="14"/>
        <v>172.8982003776168</v>
      </c>
      <c r="P17" s="79"/>
      <c r="Q17" s="70"/>
      <c r="T17" s="79"/>
      <c r="V17" s="79"/>
      <c r="W17" s="79"/>
      <c r="Y17" s="79"/>
      <c r="Z17" s="79"/>
      <c r="AA17" s="79"/>
    </row>
    <row r="18" spans="2:27">
      <c r="B18" s="68">
        <f t="shared" si="0"/>
        <v>2034</v>
      </c>
      <c r="C18" s="71"/>
      <c r="D18" s="218">
        <f t="shared" ref="D18:F18" si="18">D17*(1+Inflation)</f>
        <v>129.25255735536112</v>
      </c>
      <c r="E18" s="218">
        <f t="shared" si="18"/>
        <v>44.2329614313742</v>
      </c>
      <c r="F18" s="218">
        <f t="shared" si="18"/>
        <v>3.2510216392645983</v>
      </c>
      <c r="G18" s="70">
        <f t="shared" si="11"/>
        <v>53.622676439086653</v>
      </c>
      <c r="H18" s="69"/>
      <c r="I18" s="69"/>
      <c r="J18" s="70">
        <f t="shared" si="12"/>
        <v>53.622676439086653</v>
      </c>
      <c r="K18" s="70">
        <f t="shared" si="13"/>
        <v>176.74</v>
      </c>
      <c r="L18" s="69">
        <f t="shared" si="14"/>
        <v>176.73654042599992</v>
      </c>
      <c r="P18" s="79"/>
      <c r="Q18" s="70"/>
      <c r="T18" s="79"/>
      <c r="V18" s="79"/>
      <c r="W18" s="79"/>
      <c r="Y18" s="79"/>
      <c r="Z18" s="79"/>
      <c r="AA18" s="79"/>
    </row>
    <row r="19" spans="2:27">
      <c r="B19" s="68">
        <f t="shared" si="0"/>
        <v>2035</v>
      </c>
      <c r="C19" s="71"/>
      <c r="D19" s="218">
        <f t="shared" ref="D19:F19" si="19">D18*(1+Inflation)</f>
        <v>132.12196412865015</v>
      </c>
      <c r="E19" s="218">
        <f t="shared" si="19"/>
        <v>45.214933175150705</v>
      </c>
      <c r="F19" s="218">
        <f t="shared" si="19"/>
        <v>3.3231943196562725</v>
      </c>
      <c r="G19" s="70">
        <f t="shared" si="11"/>
        <v>54.813099856034384</v>
      </c>
      <c r="H19" s="69"/>
      <c r="I19" s="69"/>
      <c r="J19" s="70">
        <f t="shared" si="12"/>
        <v>54.813099856034384</v>
      </c>
      <c r="K19" s="70">
        <f t="shared" si="13"/>
        <v>180.66</v>
      </c>
      <c r="L19" s="69">
        <f t="shared" si="14"/>
        <v>180.66009162345713</v>
      </c>
      <c r="P19" s="79"/>
      <c r="Q19" s="70"/>
      <c r="T19" s="79"/>
      <c r="V19" s="79"/>
      <c r="W19" s="79"/>
      <c r="Y19" s="79"/>
      <c r="Z19" s="79"/>
      <c r="AA19" s="79"/>
    </row>
    <row r="20" spans="2:27">
      <c r="B20" s="68">
        <f t="shared" si="0"/>
        <v>2036</v>
      </c>
      <c r="C20" s="71"/>
      <c r="D20" s="218">
        <f t="shared" ref="D20:F20" si="20">D19*(1+Inflation)</f>
        <v>135.05507173230617</v>
      </c>
      <c r="E20" s="218">
        <f t="shared" si="20"/>
        <v>46.218704691639047</v>
      </c>
      <c r="F20" s="218">
        <f t="shared" si="20"/>
        <v>3.3969692335526416</v>
      </c>
      <c r="G20" s="70">
        <f t="shared" si="11"/>
        <v>56.029950672838339</v>
      </c>
      <c r="H20" s="69"/>
      <c r="I20" s="69"/>
      <c r="J20" s="70">
        <f>(G20+H20+I20)</f>
        <v>56.029950672838339</v>
      </c>
      <c r="K20" s="70">
        <f t="shared" si="13"/>
        <v>184.67</v>
      </c>
      <c r="L20" s="69">
        <f t="shared" si="14"/>
        <v>184.67074565749786</v>
      </c>
      <c r="P20" s="79"/>
      <c r="Q20" s="70"/>
      <c r="T20" s="79"/>
      <c r="V20" s="79"/>
      <c r="W20" s="79"/>
      <c r="Y20" s="79"/>
      <c r="Z20" s="79"/>
      <c r="AA20" s="79"/>
    </row>
    <row r="21" spans="2:27">
      <c r="B21" s="68">
        <f t="shared" si="0"/>
        <v>2037</v>
      </c>
      <c r="C21" s="71"/>
      <c r="D21" s="218">
        <f t="shared" ref="D21:F21" si="21">D20*(1+Inflation)</f>
        <v>138.05329432476339</v>
      </c>
      <c r="E21" s="218">
        <f t="shared" si="21"/>
        <v>47.244759935793432</v>
      </c>
      <c r="F21" s="218">
        <f t="shared" si="21"/>
        <v>3.4723819505375104</v>
      </c>
      <c r="G21" s="70">
        <f t="shared" si="11"/>
        <v>57.273815577775352</v>
      </c>
      <c r="H21" s="69"/>
      <c r="I21" s="69"/>
      <c r="J21" s="70">
        <f t="shared" si="12"/>
        <v>57.273815577775352</v>
      </c>
      <c r="K21" s="70">
        <f t="shared" si="13"/>
        <v>188.77</v>
      </c>
      <c r="L21" s="69">
        <f t="shared" si="14"/>
        <v>188.77043621109434</v>
      </c>
      <c r="P21" s="79"/>
      <c r="Q21" s="70"/>
      <c r="T21" s="79"/>
      <c r="V21" s="79"/>
      <c r="W21" s="79"/>
      <c r="Y21" s="79"/>
      <c r="Z21" s="79"/>
      <c r="AA21" s="79"/>
    </row>
    <row r="22" spans="2:27">
      <c r="B22" s="68">
        <f t="shared" si="0"/>
        <v>2038</v>
      </c>
      <c r="C22" s="71"/>
      <c r="D22" s="218">
        <f t="shared" ref="D22:F22" si="22">D21*(1+Inflation)</f>
        <v>141.11807745877314</v>
      </c>
      <c r="E22" s="218">
        <f t="shared" si="22"/>
        <v>48.293593606368049</v>
      </c>
      <c r="F22" s="218">
        <f t="shared" si="22"/>
        <v>3.549468829839443</v>
      </c>
      <c r="G22" s="70">
        <f t="shared" si="11"/>
        <v>58.545294283601976</v>
      </c>
      <c r="H22" s="69"/>
      <c r="I22" s="69"/>
      <c r="J22" s="70">
        <f t="shared" si="12"/>
        <v>58.545294283601976</v>
      </c>
      <c r="K22" s="70">
        <f t="shared" si="13"/>
        <v>192.96</v>
      </c>
      <c r="L22" s="69">
        <f t="shared" si="14"/>
        <v>192.96113989498065</v>
      </c>
      <c r="P22" s="79"/>
      <c r="Q22" s="70"/>
      <c r="T22" s="79"/>
      <c r="V22" s="79"/>
      <c r="W22" s="79"/>
      <c r="Y22" s="79"/>
      <c r="Z22" s="79"/>
      <c r="AA22" s="79"/>
    </row>
    <row r="23" spans="2:27">
      <c r="B23" s="68">
        <f t="shared" si="0"/>
        <v>2039</v>
      </c>
      <c r="C23" s="71"/>
      <c r="D23" s="218">
        <f t="shared" ref="D23:F23" si="23">D22*(1+Inflation)</f>
        <v>144.25089877835791</v>
      </c>
      <c r="E23" s="218">
        <f t="shared" si="23"/>
        <v>49.365711384429417</v>
      </c>
      <c r="F23" s="218">
        <f t="shared" si="23"/>
        <v>3.6282670378618787</v>
      </c>
      <c r="G23" s="70">
        <f t="shared" si="11"/>
        <v>59.844999816697928</v>
      </c>
      <c r="H23" s="69"/>
      <c r="I23" s="69"/>
      <c r="J23" s="70">
        <f t="shared" si="12"/>
        <v>59.844999816697928</v>
      </c>
      <c r="K23" s="70">
        <f t="shared" si="13"/>
        <v>197.24</v>
      </c>
      <c r="L23" s="69">
        <f t="shared" si="14"/>
        <v>197.2448772006492</v>
      </c>
      <c r="P23" s="79"/>
      <c r="Q23" s="70"/>
      <c r="T23" s="79"/>
      <c r="V23" s="79"/>
      <c r="W23" s="79"/>
      <c r="Y23" s="79"/>
      <c r="Z23" s="79"/>
      <c r="AA23" s="79"/>
    </row>
    <row r="24" spans="2:27">
      <c r="B24" s="68">
        <f t="shared" si="0"/>
        <v>2040</v>
      </c>
      <c r="C24" s="71"/>
      <c r="D24" s="218">
        <f t="shared" ref="D24:F24" si="24">D23*(1+Inflation)</f>
        <v>147.45326873123744</v>
      </c>
      <c r="E24" s="218">
        <f t="shared" si="24"/>
        <v>50.461630177163748</v>
      </c>
      <c r="F24" s="218">
        <f t="shared" si="24"/>
        <v>3.7088145661024123</v>
      </c>
      <c r="G24" s="70">
        <f t="shared" si="11"/>
        <v>61.17355881262862</v>
      </c>
      <c r="H24" s="69"/>
      <c r="I24" s="69"/>
      <c r="J24" s="70">
        <f t="shared" si="12"/>
        <v>61.17355881262862</v>
      </c>
      <c r="K24" s="70">
        <f t="shared" si="13"/>
        <v>201.62</v>
      </c>
      <c r="L24" s="69">
        <f t="shared" si="14"/>
        <v>201.6237134745036</v>
      </c>
      <c r="P24" s="79"/>
      <c r="Q24" s="70"/>
      <c r="T24" s="79"/>
      <c r="V24" s="79"/>
      <c r="W24" s="79"/>
      <c r="Y24" s="79"/>
      <c r="Z24" s="79"/>
      <c r="AA24" s="79"/>
    </row>
    <row r="25" spans="2:27">
      <c r="B25" s="68">
        <f t="shared" si="0"/>
        <v>2041</v>
      </c>
      <c r="C25" s="71"/>
      <c r="D25" s="218">
        <f t="shared" ref="D25:F25" si="25">D24*(1+Inflation)</f>
        <v>150.72673129707093</v>
      </c>
      <c r="E25" s="218">
        <f t="shared" si="25"/>
        <v>51.581878367096785</v>
      </c>
      <c r="F25" s="218">
        <f t="shared" si="25"/>
        <v>3.7911502494698861</v>
      </c>
      <c r="G25" s="70">
        <f t="shared" si="11"/>
        <v>62.531611818268985</v>
      </c>
      <c r="H25" s="69"/>
      <c r="I25" s="69"/>
      <c r="J25" s="70">
        <f t="shared" si="12"/>
        <v>62.531611818268985</v>
      </c>
      <c r="K25" s="70">
        <f t="shared" si="13"/>
        <v>206.1</v>
      </c>
      <c r="L25" s="69">
        <f t="shared" si="14"/>
        <v>206.0997599136376</v>
      </c>
      <c r="P25" s="79"/>
      <c r="Q25" s="70"/>
      <c r="T25" s="79"/>
      <c r="V25" s="79"/>
      <c r="W25" s="79"/>
      <c r="Y25" s="79"/>
      <c r="Z25" s="79"/>
      <c r="AA25" s="79"/>
    </row>
    <row r="26" spans="2:27">
      <c r="B26" s="68">
        <f t="shared" si="0"/>
        <v>2042</v>
      </c>
      <c r="C26" s="71"/>
      <c r="D26" s="218">
        <f t="shared" ref="D26:F26" si="26">D25*(1+Inflation)</f>
        <v>154.07286473186591</v>
      </c>
      <c r="E26" s="218">
        <f t="shared" si="26"/>
        <v>52.726996066846333</v>
      </c>
      <c r="F26" s="218">
        <f t="shared" si="26"/>
        <v>3.8753137850081174</v>
      </c>
      <c r="G26" s="70">
        <f t="shared" si="11"/>
        <v>63.919813600634562</v>
      </c>
      <c r="H26" s="69"/>
      <c r="I26" s="69"/>
      <c r="J26" s="70">
        <f t="shared" si="12"/>
        <v>63.919813600634562</v>
      </c>
      <c r="K26" s="70">
        <f t="shared" si="13"/>
        <v>210.68</v>
      </c>
      <c r="L26" s="69">
        <f t="shared" si="14"/>
        <v>210.67517458372038</v>
      </c>
      <c r="P26" s="79"/>
      <c r="Q26" s="70"/>
    </row>
    <row r="27" spans="2:27">
      <c r="B27" s="68">
        <f t="shared" si="0"/>
        <v>2043</v>
      </c>
      <c r="C27" s="71"/>
      <c r="D27" s="218">
        <f t="shared" ref="D27:F27" si="27">D26*(1+Inflation)</f>
        <v>157.49328232891332</v>
      </c>
      <c r="E27" s="218">
        <f t="shared" si="27"/>
        <v>53.897535379530318</v>
      </c>
      <c r="F27" s="218">
        <f t="shared" si="27"/>
        <v>3.9613457510352976</v>
      </c>
      <c r="G27" s="70">
        <f t="shared" si="11"/>
        <v>65.338833462568644</v>
      </c>
      <c r="H27" s="69"/>
      <c r="I27" s="69"/>
      <c r="J27" s="70">
        <f t="shared" si="12"/>
        <v>65.338833462568644</v>
      </c>
      <c r="K27" s="70">
        <f t="shared" si="13"/>
        <v>215.35</v>
      </c>
      <c r="L27" s="69">
        <f t="shared" si="14"/>
        <v>215.35216345947896</v>
      </c>
      <c r="P27" s="79"/>
      <c r="Q27" s="70"/>
    </row>
    <row r="28" spans="2:27">
      <c r="B28" s="68">
        <f t="shared" si="0"/>
        <v>2044</v>
      </c>
      <c r="C28" s="71"/>
      <c r="D28" s="218">
        <f t="shared" ref="D28:F28" si="28">D27*(1+Inflation)</f>
        <v>160.98963319661519</v>
      </c>
      <c r="E28" s="218">
        <f t="shared" si="28"/>
        <v>55.09406066495589</v>
      </c>
      <c r="F28" s="218">
        <f t="shared" si="28"/>
        <v>4.0492876267082814</v>
      </c>
      <c r="G28" s="70">
        <f t="shared" si="11"/>
        <v>66.78935556543766</v>
      </c>
      <c r="H28" s="69"/>
      <c r="I28" s="69"/>
      <c r="J28" s="70">
        <f t="shared" si="12"/>
        <v>66.78935556543766</v>
      </c>
      <c r="K28" s="70">
        <f t="shared" si="13"/>
        <v>220.13</v>
      </c>
      <c r="L28" s="69">
        <f t="shared" si="14"/>
        <v>220.13298148827937</v>
      </c>
      <c r="P28" s="79"/>
      <c r="Q28" s="70"/>
    </row>
    <row r="29" spans="2:27">
      <c r="B29" s="68">
        <f t="shared" si="0"/>
        <v>2045</v>
      </c>
      <c r="C29" s="71"/>
      <c r="D29" s="218">
        <f t="shared" ref="D29:F29" si="29">D28*(1+Inflation)</f>
        <v>164.56360305358004</v>
      </c>
      <c r="E29" s="218">
        <f t="shared" si="29"/>
        <v>56.317148811717914</v>
      </c>
      <c r="F29" s="218">
        <f t="shared" si="29"/>
        <v>4.1391818120212056</v>
      </c>
      <c r="G29" s="70">
        <f t="shared" si="11"/>
        <v>68.272079258990374</v>
      </c>
      <c r="H29" s="69"/>
      <c r="I29" s="69"/>
      <c r="J29" s="70">
        <f t="shared" si="12"/>
        <v>68.272079258990374</v>
      </c>
      <c r="K29" s="70">
        <f t="shared" si="13"/>
        <v>225.02</v>
      </c>
      <c r="L29" s="69">
        <f t="shared" si="14"/>
        <v>225.01993367731916</v>
      </c>
      <c r="P29" s="79"/>
      <c r="Q29" s="70"/>
    </row>
    <row r="30" spans="2:27">
      <c r="B30" s="68">
        <f t="shared" si="0"/>
        <v>2046</v>
      </c>
      <c r="C30" s="71"/>
      <c r="D30" s="218">
        <f t="shared" ref="D30:F30" si="30">D29*(1+Inflation)</f>
        <v>168.2169150413695</v>
      </c>
      <c r="E30" s="218">
        <f t="shared" si="30"/>
        <v>57.56738951533805</v>
      </c>
      <c r="F30" s="218">
        <f t="shared" si="30"/>
        <v>4.2310716482480766</v>
      </c>
      <c r="G30" s="70">
        <f t="shared" si="11"/>
        <v>69.787719418539965</v>
      </c>
      <c r="H30" s="69"/>
      <c r="I30" s="69"/>
      <c r="J30" s="70">
        <f t="shared" si="12"/>
        <v>69.787719418539965</v>
      </c>
      <c r="K30" s="70">
        <f t="shared" si="13"/>
        <v>230.02</v>
      </c>
      <c r="L30" s="69">
        <f t="shared" si="14"/>
        <v>230.01537620495563</v>
      </c>
      <c r="P30" s="79"/>
      <c r="Q30" s="70"/>
    </row>
    <row r="31" spans="2:27">
      <c r="B31" s="68">
        <f t="shared" si="0"/>
        <v>2047</v>
      </c>
      <c r="C31" s="71"/>
      <c r="D31" s="218">
        <f t="shared" ref="D31:F31" si="31">D30*(1+Inflation)</f>
        <v>171.95133055528791</v>
      </c>
      <c r="E31" s="218">
        <f t="shared" si="31"/>
        <v>58.845385562578556</v>
      </c>
      <c r="F31" s="218">
        <f t="shared" si="31"/>
        <v>4.325001438839184</v>
      </c>
      <c r="G31" s="70">
        <f t="shared" si="11"/>
        <v>71.337006789631559</v>
      </c>
      <c r="H31" s="69"/>
      <c r="I31" s="69"/>
      <c r="J31" s="70">
        <f>(G31+H31+I31)</f>
        <v>71.337006789631559</v>
      </c>
      <c r="K31" s="70">
        <f t="shared" si="13"/>
        <v>235.12</v>
      </c>
      <c r="L31" s="69">
        <f>(D31+E31+F31)</f>
        <v>235.12171755670568</v>
      </c>
      <c r="P31" s="79"/>
      <c r="Q31" s="70"/>
    </row>
    <row r="32" spans="2:27">
      <c r="B32" s="68">
        <f t="shared" si="0"/>
        <v>2048</v>
      </c>
      <c r="C32" s="71"/>
      <c r="D32" s="218">
        <f t="shared" ref="D32:F32" si="32">D31*(1+Inflation)</f>
        <v>175.76865009361529</v>
      </c>
      <c r="E32" s="218">
        <f t="shared" si="32"/>
        <v>60.151753122067802</v>
      </c>
      <c r="F32" s="218">
        <f t="shared" si="32"/>
        <v>4.4210164707814137</v>
      </c>
      <c r="G32" s="70">
        <f t="shared" si="11"/>
        <v>72.920688340361366</v>
      </c>
      <c r="H32" s="69"/>
      <c r="I32" s="69"/>
      <c r="J32" s="70">
        <f>(G32+H32+I32)</f>
        <v>72.920688340361366</v>
      </c>
      <c r="K32" s="70">
        <f t="shared" si="13"/>
        <v>240.34</v>
      </c>
      <c r="L32" s="69">
        <f>(D32+E32+F32)</f>
        <v>240.34141968646452</v>
      </c>
      <c r="P32" s="79"/>
      <c r="Q32" s="70"/>
    </row>
    <row r="33" spans="2:17">
      <c r="B33" s="68">
        <f t="shared" si="0"/>
        <v>2049</v>
      </c>
      <c r="C33" s="71"/>
      <c r="D33" s="218">
        <f t="shared" ref="D33:F33" si="33">D32*(1+Inflation)</f>
        <v>179.67071412569356</v>
      </c>
      <c r="E33" s="218">
        <f t="shared" si="33"/>
        <v>61.48712204137771</v>
      </c>
      <c r="F33" s="218">
        <f t="shared" si="33"/>
        <v>4.5191630364327606</v>
      </c>
      <c r="G33" s="70">
        <f t="shared" si="11"/>
        <v>74.539527621517394</v>
      </c>
      <c r="H33" s="69"/>
      <c r="I33" s="69"/>
      <c r="J33" s="70">
        <f>(G33+H33+I33)</f>
        <v>74.539527621517394</v>
      </c>
      <c r="K33" s="70">
        <f t="shared" si="13"/>
        <v>245.68</v>
      </c>
      <c r="L33" s="69">
        <f>(D33+E33+F33)</f>
        <v>245.67699920350404</v>
      </c>
      <c r="P33" s="79"/>
      <c r="Q33" s="70"/>
    </row>
    <row r="34" spans="2:17">
      <c r="B34" s="68">
        <f t="shared" si="0"/>
        <v>2050</v>
      </c>
      <c r="C34" s="71"/>
      <c r="D34" s="218">
        <f t="shared" ref="D34:F34" si="34">D33*(1+Inflation)</f>
        <v>183.65940397928395</v>
      </c>
      <c r="E34" s="218">
        <f t="shared" si="34"/>
        <v>62.852136150696296</v>
      </c>
      <c r="F34" s="218">
        <f t="shared" si="34"/>
        <v>4.6194884558415676</v>
      </c>
      <c r="G34" s="70">
        <f t="shared" si="11"/>
        <v>76.194305134715066</v>
      </c>
      <c r="H34" s="69"/>
      <c r="I34" s="69"/>
      <c r="J34" s="70">
        <f>(G34+H34+I34)</f>
        <v>76.194305134715066</v>
      </c>
      <c r="K34" s="70">
        <f t="shared" si="13"/>
        <v>251.13</v>
      </c>
      <c r="L34" s="69">
        <f>(D34+E34+F34)</f>
        <v>251.13102858582181</v>
      </c>
      <c r="P34" s="79"/>
      <c r="Q34" s="70"/>
    </row>
    <row r="35" spans="2:17">
      <c r="B35" s="68">
        <f t="shared" si="0"/>
        <v>2051</v>
      </c>
      <c r="C35" s="71"/>
      <c r="D35" s="218">
        <f t="shared" ref="D35:F35" si="35">D34*(1+Inflation)</f>
        <v>187.73664274762405</v>
      </c>
      <c r="E35" s="218">
        <f t="shared" si="35"/>
        <v>64.247453573241756</v>
      </c>
      <c r="F35" s="218">
        <f t="shared" si="35"/>
        <v>4.7220410995612507</v>
      </c>
      <c r="G35" s="70">
        <f t="shared" si="11"/>
        <v>77.885818708705756</v>
      </c>
      <c r="H35" s="69"/>
      <c r="I35" s="69"/>
      <c r="J35" s="70">
        <f t="shared" ref="J35:J44" si="36">(G35+H35+I35)</f>
        <v>77.885818708705756</v>
      </c>
      <c r="K35" s="70">
        <f t="shared" si="13"/>
        <v>256.70999999999998</v>
      </c>
      <c r="L35" s="69">
        <f t="shared" ref="L35:L44" si="37">(D35+E35+F35)</f>
        <v>256.70613742042707</v>
      </c>
      <c r="P35" s="79"/>
      <c r="Q35" s="70"/>
    </row>
    <row r="36" spans="2:17">
      <c r="B36" s="68">
        <f t="shared" si="0"/>
        <v>2052</v>
      </c>
      <c r="C36" s="71"/>
      <c r="D36" s="218">
        <f t="shared" ref="D36:F36" si="38">D35*(1+Inflation)</f>
        <v>191.90439621662131</v>
      </c>
      <c r="E36" s="218">
        <f t="shared" si="38"/>
        <v>65.673747042567726</v>
      </c>
      <c r="F36" s="218">
        <f t="shared" si="38"/>
        <v>4.8268704119715107</v>
      </c>
      <c r="G36" s="70">
        <f t="shared" si="11"/>
        <v>79.614883884039017</v>
      </c>
      <c r="H36" s="69"/>
      <c r="I36" s="69"/>
      <c r="J36" s="70">
        <f t="shared" si="36"/>
        <v>79.614883884039017</v>
      </c>
      <c r="K36" s="70">
        <f t="shared" si="13"/>
        <v>262.41000000000003</v>
      </c>
      <c r="L36" s="69">
        <f t="shared" si="37"/>
        <v>262.40501367116053</v>
      </c>
      <c r="P36" s="79"/>
      <c r="Q36" s="70"/>
    </row>
    <row r="37" spans="2:17">
      <c r="B37" s="68">
        <f t="shared" si="0"/>
        <v>2053</v>
      </c>
      <c r="C37" s="71"/>
      <c r="D37" s="218">
        <f t="shared" ref="D37:F37" si="39">D36*(1+Inflation)</f>
        <v>196.1646738126303</v>
      </c>
      <c r="E37" s="218">
        <f t="shared" si="39"/>
        <v>67.131704226912731</v>
      </c>
      <c r="F37" s="218">
        <f t="shared" si="39"/>
        <v>4.9340269351172781</v>
      </c>
      <c r="G37" s="70">
        <f t="shared" si="11"/>
        <v>81.382334306264681</v>
      </c>
      <c r="H37" s="69"/>
      <c r="I37" s="69"/>
      <c r="J37" s="70">
        <f t="shared" si="36"/>
        <v>81.382334306264681</v>
      </c>
      <c r="K37" s="70">
        <f t="shared" si="13"/>
        <v>268.23</v>
      </c>
      <c r="L37" s="69">
        <f t="shared" si="37"/>
        <v>268.2304049746603</v>
      </c>
      <c r="P37" s="79"/>
      <c r="Q37" s="70"/>
    </row>
    <row r="38" spans="2:17">
      <c r="B38" s="68">
        <f t="shared" si="0"/>
        <v>2054</v>
      </c>
      <c r="C38" s="71"/>
      <c r="D38" s="218">
        <f t="shared" ref="D38:F38" si="40">D37*(1+Inflation)</f>
        <v>200.51952957127068</v>
      </c>
      <c r="E38" s="218">
        <f t="shared" si="40"/>
        <v>68.622028060750196</v>
      </c>
      <c r="F38" s="218">
        <f t="shared" si="40"/>
        <v>5.0435623330768813</v>
      </c>
      <c r="G38" s="70">
        <f t="shared" si="11"/>
        <v>83.189022127863751</v>
      </c>
      <c r="H38" s="69"/>
      <c r="I38" s="69"/>
      <c r="J38" s="70">
        <f t="shared" si="36"/>
        <v>83.189022127863751</v>
      </c>
      <c r="K38" s="70">
        <f t="shared" si="13"/>
        <v>274.19</v>
      </c>
      <c r="L38" s="69">
        <f t="shared" si="37"/>
        <v>274.18511996509773</v>
      </c>
      <c r="P38" s="79"/>
      <c r="Q38" s="70"/>
    </row>
    <row r="39" spans="2:17">
      <c r="B39" s="68">
        <f t="shared" si="0"/>
        <v>2055</v>
      </c>
      <c r="C39" s="71"/>
      <c r="D39" s="218">
        <f t="shared" ref="D39:F39" si="41">D38*(1+Inflation)</f>
        <v>204.9710631277529</v>
      </c>
      <c r="E39" s="218">
        <f t="shared" si="41"/>
        <v>70.145437083698852</v>
      </c>
      <c r="F39" s="218">
        <f t="shared" si="41"/>
        <v>5.1555294168711878</v>
      </c>
      <c r="G39" s="70">
        <f t="shared" si="11"/>
        <v>85.035818419102327</v>
      </c>
      <c r="H39" s="69"/>
      <c r="I39" s="69"/>
      <c r="J39" s="70">
        <f t="shared" si="36"/>
        <v>85.035818419102327</v>
      </c>
      <c r="K39" s="70">
        <f t="shared" si="13"/>
        <v>280.27</v>
      </c>
      <c r="L39" s="69">
        <f t="shared" si="37"/>
        <v>280.27202962832291</v>
      </c>
      <c r="P39" s="79"/>
      <c r="Q39" s="70"/>
    </row>
    <row r="40" spans="2:17">
      <c r="B40" s="68">
        <f t="shared" si="0"/>
        <v>2056</v>
      </c>
      <c r="C40" s="71"/>
      <c r="D40" s="218">
        <f t="shared" ref="D40:F40" si="42">D39*(1+Inflation)</f>
        <v>209.521420729189</v>
      </c>
      <c r="E40" s="218">
        <f t="shared" si="42"/>
        <v>71.70266578695697</v>
      </c>
      <c r="F40" s="218">
        <f t="shared" si="42"/>
        <v>5.2699821699257283</v>
      </c>
      <c r="G40" s="70">
        <f t="shared" si="11"/>
        <v>86.923613588006418</v>
      </c>
      <c r="H40" s="69"/>
      <c r="I40" s="69"/>
      <c r="J40" s="70">
        <f t="shared" si="36"/>
        <v>86.923613588006418</v>
      </c>
      <c r="K40" s="70">
        <f t="shared" si="13"/>
        <v>286.49</v>
      </c>
      <c r="L40" s="69">
        <f t="shared" si="37"/>
        <v>286.49406868607173</v>
      </c>
      <c r="P40" s="79"/>
      <c r="Q40" s="70"/>
    </row>
    <row r="41" spans="2:17">
      <c r="B41" s="68">
        <f t="shared" si="0"/>
        <v>2057</v>
      </c>
      <c r="C41" s="71"/>
      <c r="D41" s="218">
        <f t="shared" ref="D41:F41" si="43">D40*(1+Inflation)</f>
        <v>214.17279626937699</v>
      </c>
      <c r="E41" s="218">
        <f t="shared" si="43"/>
        <v>73.294464967427416</v>
      </c>
      <c r="F41" s="218">
        <f t="shared" si="43"/>
        <v>5.3869757740980795</v>
      </c>
      <c r="G41" s="70">
        <f t="shared" si="11"/>
        <v>88.85331780966014</v>
      </c>
      <c r="H41" s="69"/>
      <c r="I41" s="69"/>
      <c r="J41" s="70">
        <f t="shared" si="36"/>
        <v>88.85331780966014</v>
      </c>
      <c r="K41" s="70">
        <f t="shared" si="13"/>
        <v>292.85000000000002</v>
      </c>
      <c r="L41" s="69">
        <f t="shared" si="37"/>
        <v>292.85423701090247</v>
      </c>
      <c r="P41" s="79"/>
      <c r="Q41" s="70"/>
    </row>
    <row r="42" spans="2:17">
      <c r="B42" s="68">
        <f t="shared" si="0"/>
        <v>2058</v>
      </c>
      <c r="C42" s="71"/>
      <c r="D42" s="218">
        <f t="shared" ref="D42:F42" si="44">D41*(1+Inflation)</f>
        <v>218.92743234655717</v>
      </c>
      <c r="E42" s="218">
        <f t="shared" si="44"/>
        <v>74.921602089704308</v>
      </c>
      <c r="F42" s="218">
        <f t="shared" si="44"/>
        <v>5.5065666362830568</v>
      </c>
      <c r="G42" s="70">
        <f t="shared" si="11"/>
        <v>90.82586146503462</v>
      </c>
      <c r="H42" s="69"/>
      <c r="I42" s="69"/>
      <c r="J42" s="70">
        <f t="shared" si="36"/>
        <v>90.82586146503462</v>
      </c>
      <c r="K42" s="70">
        <f t="shared" si="13"/>
        <v>299.36</v>
      </c>
      <c r="L42" s="69">
        <f t="shared" si="37"/>
        <v>299.35560107254457</v>
      </c>
      <c r="P42" s="79"/>
      <c r="Q42" s="70"/>
    </row>
    <row r="43" spans="2:17">
      <c r="B43" s="68">
        <f t="shared" si="0"/>
        <v>2059</v>
      </c>
      <c r="C43" s="71"/>
      <c r="D43" s="218">
        <f t="shared" ref="D43:F43" si="45">D42*(1+Inflation)</f>
        <v>223.78762134465074</v>
      </c>
      <c r="E43" s="218">
        <f t="shared" si="45"/>
        <v>76.58486165609574</v>
      </c>
      <c r="F43" s="218">
        <f t="shared" si="45"/>
        <v>5.6288124156085404</v>
      </c>
      <c r="G43" s="70">
        <f t="shared" si="11"/>
        <v>92.842195589558358</v>
      </c>
      <c r="H43" s="69"/>
      <c r="I43" s="69"/>
      <c r="J43" s="70">
        <f t="shared" si="36"/>
        <v>92.842195589558358</v>
      </c>
      <c r="K43" s="70">
        <f t="shared" si="13"/>
        <v>306</v>
      </c>
      <c r="L43" s="69">
        <f t="shared" si="37"/>
        <v>306.00129541635499</v>
      </c>
      <c r="P43" s="79"/>
      <c r="Q43" s="70"/>
    </row>
    <row r="44" spans="2:17">
      <c r="B44" s="68">
        <f t="shared" si="0"/>
        <v>2060</v>
      </c>
      <c r="C44" s="71"/>
      <c r="D44" s="218">
        <f t="shared" ref="D44:F44" si="46">D43*(1+Inflation)</f>
        <v>228.75570653850198</v>
      </c>
      <c r="E44" s="218">
        <f t="shared" si="46"/>
        <v>78.285045584861066</v>
      </c>
      <c r="F44" s="218">
        <f t="shared" si="46"/>
        <v>5.7537720512350496</v>
      </c>
      <c r="G44" s="70">
        <f t="shared" si="11"/>
        <v>94.903292331646568</v>
      </c>
      <c r="H44" s="69"/>
      <c r="I44" s="69"/>
      <c r="J44" s="70">
        <f t="shared" si="36"/>
        <v>94.903292331646568</v>
      </c>
      <c r="K44" s="70">
        <f t="shared" si="13"/>
        <v>312.79000000000002</v>
      </c>
      <c r="L44" s="69">
        <f t="shared" si="37"/>
        <v>312.79452417459811</v>
      </c>
      <c r="P44" s="79"/>
      <c r="Q44" s="70"/>
    </row>
    <row r="45" spans="2:17">
      <c r="B45" s="68">
        <f t="shared" si="0"/>
        <v>2061</v>
      </c>
      <c r="C45" s="71"/>
      <c r="D45" s="218">
        <f t="shared" ref="D45:F45" si="47">D44*(1+Inflation)</f>
        <v>233.83408322365673</v>
      </c>
      <c r="E45" s="218">
        <f t="shared" si="47"/>
        <v>80.022973596844977</v>
      </c>
      <c r="F45" s="218">
        <f t="shared" si="47"/>
        <v>5.8815057907724677</v>
      </c>
      <c r="G45" s="70">
        <f t="shared" si="11"/>
        <v>97.010145421409121</v>
      </c>
      <c r="H45" s="69"/>
      <c r="I45" s="69"/>
      <c r="J45" s="70">
        <f>(G45+H45+I45)</f>
        <v>97.010145421409121</v>
      </c>
      <c r="K45" s="70">
        <f t="shared" si="13"/>
        <v>319.74</v>
      </c>
      <c r="L45" s="69">
        <f>(D45+E45+F45)</f>
        <v>319.73856261127418</v>
      </c>
      <c r="P45" s="79"/>
      <c r="Q45" s="70"/>
    </row>
    <row r="46" spans="2:17">
      <c r="B46" s="68">
        <f t="shared" si="0"/>
        <v>2062</v>
      </c>
      <c r="C46" s="71"/>
      <c r="D46" s="218">
        <f t="shared" ref="D46:F46" si="48">D45*(1+Inflation)</f>
        <v>239.0251998712219</v>
      </c>
      <c r="E46" s="218">
        <f t="shared" si="48"/>
        <v>81.799483610694935</v>
      </c>
      <c r="F46" s="218">
        <f t="shared" si="48"/>
        <v>6.0120752193276168</v>
      </c>
      <c r="G46" s="70">
        <f t="shared" si="11"/>
        <v>99.163770649764416</v>
      </c>
      <c r="H46" s="69"/>
      <c r="I46" s="69"/>
      <c r="J46" s="70">
        <f>(G46+H46+I46)</f>
        <v>99.163770649764416</v>
      </c>
      <c r="K46" s="70">
        <f t="shared" si="13"/>
        <v>326.83999999999997</v>
      </c>
      <c r="L46" s="69">
        <f>(D46+E46+F46)</f>
        <v>326.83675870124449</v>
      </c>
      <c r="P46" s="79"/>
      <c r="Q46" s="70"/>
    </row>
    <row r="47" spans="2:17" ht="15">
      <c r="B47" s="68"/>
      <c r="C47" s="71"/>
      <c r="D47" s="197"/>
      <c r="E47" s="197"/>
      <c r="F47" s="202"/>
      <c r="G47" s="70"/>
      <c r="H47" s="69"/>
      <c r="I47" s="69"/>
      <c r="J47" s="70"/>
      <c r="K47" s="70"/>
      <c r="L47" s="69"/>
      <c r="P47" s="79"/>
      <c r="Q47" s="70"/>
    </row>
    <row r="48" spans="2:17">
      <c r="B48" s="68" t="s">
        <v>196</v>
      </c>
      <c r="F48" s="69"/>
      <c r="J48" s="70">
        <f>-PMT(Discount_Rate,COUNT(J$13:J$42),NPV(Discount_Rate,J$13:J$42))</f>
        <v>60.994659356751512</v>
      </c>
      <c r="K48" s="70">
        <f>-PMT(Discount_Rate,COUNT(K$13:K$42),NPV(Discount_Rate,K$13:K$42))</f>
        <v>201.03421085813849</v>
      </c>
      <c r="L48" s="70">
        <f>-PMT(Discount_Rate,COUNT(L$13:L$42),NPV(Discount_Rate,L$13:L$42))</f>
        <v>201.03407354946671</v>
      </c>
      <c r="M48" s="70"/>
    </row>
    <row r="49" spans="2:20" ht="14.25">
      <c r="B49" s="74" t="s">
        <v>25</v>
      </c>
      <c r="C49" s="75"/>
      <c r="D49" s="75"/>
      <c r="E49" s="75"/>
      <c r="F49" s="75"/>
      <c r="G49" s="75"/>
      <c r="H49" s="75"/>
      <c r="I49" s="75"/>
    </row>
    <row r="51" spans="2:20">
      <c r="B51" s="61" t="s">
        <v>59</v>
      </c>
      <c r="C51" s="76" t="s">
        <v>60</v>
      </c>
      <c r="D51" s="146" t="s">
        <v>298</v>
      </c>
    </row>
    <row r="52" spans="2:20">
      <c r="C52" s="76" t="str">
        <f>C7</f>
        <v>(a)</v>
      </c>
      <c r="D52" s="61" t="s">
        <v>61</v>
      </c>
    </row>
    <row r="53" spans="2:20">
      <c r="C53" s="76" t="str">
        <f>D7</f>
        <v>(b)</v>
      </c>
      <c r="D53" s="70" t="str">
        <f>"= "&amp;C7&amp;" x "&amp;C60</f>
        <v>= (a) x 0.06316</v>
      </c>
    </row>
    <row r="54" spans="2:20">
      <c r="C54" s="76" t="str">
        <f>F7</f>
        <v>(d)</v>
      </c>
      <c r="D54" s="70" t="str">
        <f>"= ("&amp;$D$7&amp;" + "&amp;$E$7&amp;") /  (8.76 x "&amp;TEXT(C61,"0.0%")&amp;")"</f>
        <v>= ((b) + (c)) /  (8.76 x 37.6%)</v>
      </c>
    </row>
    <row r="55" spans="2:20">
      <c r="C55" s="76" t="str">
        <f>J7</f>
        <v>(g)</v>
      </c>
      <c r="D55" s="70" t="str">
        <f>"= "&amp;$G$7&amp;" + "&amp;$H$7</f>
        <v>= (e) + (f)</v>
      </c>
    </row>
    <row r="56" spans="2:20">
      <c r="C56" s="76" t="str">
        <f>K7</f>
        <v>(h)</v>
      </c>
      <c r="D56" t="str">
        <f>D51</f>
        <v>Plant Costs  - 2025 IRP Update - Table 7.1 &amp; 7.2</v>
      </c>
    </row>
    <row r="57" spans="2:20">
      <c r="Q57" s="61" t="s">
        <v>80</v>
      </c>
      <c r="R57" s="68">
        <v>2029</v>
      </c>
      <c r="T57" s="153" t="s">
        <v>136</v>
      </c>
    </row>
    <row r="58" spans="2:20">
      <c r="B58"/>
      <c r="C58" s="79">
        <f>'2025 IRPUpdt Assumptions'!L147</f>
        <v>2.9129999497487438</v>
      </c>
      <c r="D58" s="61" t="s">
        <v>83</v>
      </c>
      <c r="P58" s="143"/>
      <c r="T58" s="153"/>
    </row>
    <row r="59" spans="2:20">
      <c r="B59"/>
      <c r="C59" s="209"/>
      <c r="Q59" s="61" t="s">
        <v>145</v>
      </c>
      <c r="R59" s="79">
        <v>137.24979999999999</v>
      </c>
    </row>
    <row r="60" spans="2:20">
      <c r="C60" s="151">
        <v>6.3159999999999994E-2</v>
      </c>
      <c r="D60" s="61" t="s">
        <v>147</v>
      </c>
      <c r="E60" s="148"/>
      <c r="F60" s="208"/>
      <c r="J60" s="196"/>
      <c r="L60" s="145"/>
      <c r="M60" s="81"/>
      <c r="N60" s="81"/>
      <c r="P60" s="82"/>
    </row>
    <row r="61" spans="2:20">
      <c r="C61" s="152">
        <v>0.37624761571044801</v>
      </c>
      <c r="D61" s="61" t="s">
        <v>35</v>
      </c>
    </row>
    <row r="62" spans="2:20">
      <c r="C62" s="157"/>
      <c r="D62" s="80"/>
      <c r="H62" s="271">
        <v>0</v>
      </c>
      <c r="I62" s="61" t="s">
        <v>195</v>
      </c>
    </row>
    <row r="63" spans="2:20" ht="15">
      <c r="I63" s="105" t="s">
        <v>31</v>
      </c>
      <c r="J63" s="105" t="s">
        <v>193</v>
      </c>
    </row>
    <row r="64" spans="2:20" ht="15">
      <c r="C64" s="105"/>
      <c r="D64" s="105"/>
      <c r="E64" s="105"/>
      <c r="F64" s="105"/>
      <c r="G64" s="198">
        <v>47119</v>
      </c>
      <c r="H64" s="68">
        <f>YEAR(G64)</f>
        <v>2029</v>
      </c>
      <c r="I64" s="69"/>
      <c r="J64" s="79">
        <f>I64*(8.76*$C$61)</f>
        <v>0</v>
      </c>
    </row>
    <row r="65" spans="3:10" ht="15">
      <c r="C65" s="198"/>
      <c r="D65" s="105"/>
      <c r="E65" s="195"/>
      <c r="F65" s="203"/>
      <c r="G65" s="198">
        <v>47484</v>
      </c>
      <c r="H65" s="68">
        <f>YEAR(G65)</f>
        <v>2030</v>
      </c>
      <c r="I65" s="69"/>
      <c r="J65" s="79">
        <f t="shared" ref="J65:J73" si="49">I65*(8.76*$C$61)</f>
        <v>0</v>
      </c>
    </row>
    <row r="66" spans="3:10" ht="15">
      <c r="C66" s="198"/>
      <c r="D66" s="105"/>
      <c r="E66" s="195"/>
      <c r="F66" s="203"/>
      <c r="G66" s="198">
        <v>47849</v>
      </c>
      <c r="H66" s="68">
        <f t="shared" ref="H66:H73" si="50">YEAR(G66)</f>
        <v>2031</v>
      </c>
      <c r="I66" s="69"/>
      <c r="J66" s="79">
        <f t="shared" si="49"/>
        <v>0</v>
      </c>
    </row>
    <row r="67" spans="3:10" ht="15">
      <c r="C67" s="198"/>
      <c r="D67" s="105"/>
      <c r="E67" s="195"/>
      <c r="F67" s="203"/>
      <c r="G67" s="198">
        <v>48214</v>
      </c>
      <c r="H67" s="68">
        <f t="shared" si="50"/>
        <v>2032</v>
      </c>
      <c r="I67" s="69"/>
      <c r="J67" s="79">
        <f t="shared" si="49"/>
        <v>0</v>
      </c>
    </row>
    <row r="68" spans="3:10" ht="15">
      <c r="C68" s="198"/>
      <c r="D68" s="105"/>
      <c r="E68" s="195"/>
      <c r="F68" s="203"/>
      <c r="G68" s="198">
        <v>48580</v>
      </c>
      <c r="H68" s="68">
        <f t="shared" si="50"/>
        <v>2033</v>
      </c>
      <c r="I68" s="69"/>
      <c r="J68" s="79">
        <f t="shared" si="49"/>
        <v>0</v>
      </c>
    </row>
    <row r="69" spans="3:10" ht="15">
      <c r="C69" s="198"/>
      <c r="D69" s="105"/>
      <c r="E69" s="195"/>
      <c r="F69" s="203"/>
      <c r="G69" s="198">
        <v>48945</v>
      </c>
      <c r="H69" s="68">
        <f t="shared" si="50"/>
        <v>2034</v>
      </c>
      <c r="I69" s="69"/>
      <c r="J69" s="79">
        <f t="shared" si="49"/>
        <v>0</v>
      </c>
    </row>
    <row r="70" spans="3:10" ht="15">
      <c r="C70" s="198"/>
      <c r="D70" s="105"/>
      <c r="E70" s="195"/>
      <c r="F70" s="203"/>
      <c r="G70" s="198">
        <v>49310</v>
      </c>
      <c r="H70" s="68">
        <f t="shared" si="50"/>
        <v>2035</v>
      </c>
      <c r="I70" s="69"/>
      <c r="J70" s="79">
        <f t="shared" si="49"/>
        <v>0</v>
      </c>
    </row>
    <row r="71" spans="3:10" ht="15">
      <c r="C71" s="198"/>
      <c r="D71" s="105"/>
      <c r="E71" s="195"/>
      <c r="F71" s="203"/>
      <c r="G71" s="198">
        <v>49675</v>
      </c>
      <c r="H71" s="68">
        <f t="shared" si="50"/>
        <v>2036</v>
      </c>
      <c r="I71" s="69"/>
      <c r="J71" s="79">
        <f t="shared" si="49"/>
        <v>0</v>
      </c>
    </row>
    <row r="72" spans="3:10" ht="15">
      <c r="C72" s="198"/>
      <c r="D72" s="105"/>
      <c r="E72" s="195"/>
      <c r="F72" s="203"/>
      <c r="G72" s="198">
        <v>50041</v>
      </c>
      <c r="H72" s="68">
        <f t="shared" si="50"/>
        <v>2037</v>
      </c>
      <c r="I72" s="69"/>
      <c r="J72" s="79">
        <f t="shared" si="49"/>
        <v>0</v>
      </c>
    </row>
    <row r="73" spans="3:10" ht="15">
      <c r="C73" s="198"/>
      <c r="D73" s="105"/>
      <c r="E73" s="195"/>
      <c r="F73" s="203"/>
      <c r="G73" s="198">
        <v>50406</v>
      </c>
      <c r="H73" s="68">
        <f t="shared" si="50"/>
        <v>2038</v>
      </c>
      <c r="I73" s="69"/>
      <c r="J73" s="79">
        <f t="shared" si="49"/>
        <v>0</v>
      </c>
    </row>
    <row r="74" spans="3:10" ht="15">
      <c r="C74" s="198"/>
      <c r="D74" s="105"/>
      <c r="E74" s="195"/>
      <c r="F74" s="203"/>
    </row>
    <row r="75" spans="3:10" ht="15">
      <c r="C75" s="105"/>
      <c r="D75" s="105"/>
      <c r="E75" s="105"/>
      <c r="F75" s="105"/>
      <c r="G75" s="105"/>
    </row>
    <row r="76" spans="3:10" ht="15">
      <c r="C76" s="105"/>
      <c r="D76" s="105"/>
      <c r="E76" s="105"/>
      <c r="F76" s="105"/>
      <c r="G76" s="105" t="s">
        <v>140</v>
      </c>
      <c r="J76" s="61">
        <v>30</v>
      </c>
    </row>
    <row r="77" spans="3:10" ht="15">
      <c r="C77" s="105"/>
      <c r="D77" s="105"/>
      <c r="E77" s="199"/>
      <c r="F77" s="199"/>
      <c r="G77" s="105" t="s">
        <v>299</v>
      </c>
      <c r="I77" s="199"/>
      <c r="J77" s="199">
        <f>-PMT(Real_Discount_Rate,J76,NPV(Discount_Rate,J64:J73))</f>
        <v>0</v>
      </c>
    </row>
    <row r="80" spans="3:10">
      <c r="C80" s="78"/>
      <c r="D80" s="80"/>
    </row>
    <row r="81" spans="3:4">
      <c r="C81" s="78"/>
      <c r="D81" s="80"/>
    </row>
    <row r="82" spans="3:4">
      <c r="C82" s="78"/>
      <c r="D82" s="80"/>
    </row>
    <row r="83" spans="3:4">
      <c r="C83" s="78"/>
      <c r="D83" s="80"/>
    </row>
    <row r="84" spans="3:4">
      <c r="C84" s="78"/>
      <c r="D84" s="80"/>
    </row>
    <row r="85" spans="3:4">
      <c r="C85" s="78"/>
      <c r="D85" s="80"/>
    </row>
    <row r="86" spans="3:4">
      <c r="C86" s="78"/>
      <c r="D86" s="80"/>
    </row>
    <row r="87" spans="3:4">
      <c r="C87" s="78"/>
      <c r="D87" s="80"/>
    </row>
    <row r="88" spans="3:4">
      <c r="C88" s="78"/>
      <c r="D88" s="80"/>
    </row>
    <row r="89" spans="3:4">
      <c r="C89" s="78"/>
      <c r="D89" s="80"/>
    </row>
  </sheetData>
  <printOptions horizontalCentered="1"/>
  <pageMargins left="0.8" right="0.3" top="0.4" bottom="0.4" header="0.5" footer="0.2"/>
  <pageSetup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B4DA3614AAD347BE4FEDC2ECD2F677" ma:contentTypeVersion="16" ma:contentTypeDescription="Create a new document." ma:contentTypeScope="" ma:versionID="2b1aa847eaa1640385b98e71bb59af1c">
  <xsd:schema xmlns:xsd="http://www.w3.org/2001/XMLSchema" xmlns:xs="http://www.w3.org/2001/XMLSchema" xmlns:p="http://schemas.microsoft.com/office/2006/metadata/properties" xmlns:ns1="http://schemas.microsoft.com/sharepoint/v3" xmlns:ns2="ba9b2b69-7f9d-4a4b-902b-e1ff65f1b0af" xmlns:ns3="70d1ac05-f8ec-49f9-a53b-b3ecacc8895e" targetNamespace="http://schemas.microsoft.com/office/2006/metadata/properties" ma:root="true" ma:fieldsID="f6aca13c5147c7cb3705c9530429c2ef" ns1:_="" ns2:_="" ns3:_="">
    <xsd:import namespace="http://schemas.microsoft.com/sharepoint/v3"/>
    <xsd:import namespace="ba9b2b69-7f9d-4a4b-902b-e1ff65f1b0af"/>
    <xsd:import namespace="70d1ac05-f8ec-49f9-a53b-b3ecacc889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b2b69-7f9d-4a4b-902b-e1ff65f1b0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1ac05-f8ec-49f9-a53b-b3ecacc8895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bdead7b-580a-4391-bab2-dd44b80467c1}" ma:internalName="TaxCatchAll" ma:showField="CatchAllData" ma:web="70d1ac05-f8ec-49f9-a53b-b3ecacc889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0d1ac05-f8ec-49f9-a53b-b3ecacc8895e" xsi:nil="true"/>
    <_ip_UnifiedCompliancePolicyProperties xmlns="http://schemas.microsoft.com/sharepoint/v3" xsi:nil="true"/>
    <lcf76f155ced4ddcb4097134ff3c332f xmlns="ba9b2b69-7f9d-4a4b-902b-e1ff65f1b0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778978-D48D-41D4-BB5C-75ACA85762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B6BBDE-14E1-401C-9E6C-BF8AC0B65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9b2b69-7f9d-4a4b-902b-e1ff65f1b0af"/>
    <ds:schemaRef ds:uri="70d1ac05-f8ec-49f9-a53b-b3ecacc889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7C2249-1502-4BA7-A6BA-E6213CF3D34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0d1ac05-f8ec-49f9-a53b-b3ecacc8895e"/>
    <ds:schemaRef ds:uri="ba9b2b69-7f9d-4a4b-902b-e1ff65f1b0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Appendix B.3</vt:lpstr>
      <vt:lpstr>Table 1</vt:lpstr>
      <vt:lpstr>Table 2</vt:lpstr>
      <vt:lpstr>Table 4</vt:lpstr>
      <vt:lpstr>Table 5</vt:lpstr>
      <vt:lpstr>Table3Compare</vt:lpstr>
      <vt:lpstr>BAT.PX.BDG._.ITC._4hr.2031</vt:lpstr>
      <vt:lpstr>GCC.PX.UTS.2035</vt:lpstr>
      <vt:lpstr>GCC.PX.UTS.2036</vt:lpstr>
      <vt:lpstr>GCC.PX.UTS.2038</vt:lpstr>
      <vt:lpstr>GSC.PX.BDG.2038</vt:lpstr>
      <vt:lpstr>2025 IRPUpdt Assumptions</vt:lpstr>
      <vt:lpstr>PV_.PX.COR._.PTC.2028</vt:lpstr>
      <vt:lpstr>WD_.PX.WMV._.PTC.2029</vt:lpstr>
      <vt:lpstr>Discount_Rate</vt:lpstr>
      <vt:lpstr>Inflation</vt:lpstr>
      <vt:lpstr>BAT.PX.BDG._.ITC._4hr.2031!Print_Area</vt:lpstr>
      <vt:lpstr>GCC.PX.UTS.2036!Print_Area</vt:lpstr>
      <vt:lpstr>GCC.PX.UTS.2038!Print_Area</vt:lpstr>
      <vt:lpstr>GSC.PX.BDG.2038!Print_Area</vt:lpstr>
      <vt:lpstr>PV_.PX.COR._.PTC.2028!Print_Area</vt:lpstr>
      <vt:lpstr>'Table 1'!Print_Area</vt:lpstr>
      <vt:lpstr>'Table 5'!Print_Area</vt:lpstr>
      <vt:lpstr>Table3Compare!Print_Area</vt:lpstr>
      <vt:lpstr>WD_.PX.WMV._.PTC.2029!Print_Area</vt:lpstr>
      <vt:lpstr>Real_Discount_Rate</vt:lpstr>
      <vt:lpstr>Study_CF</vt:lpstr>
      <vt:lpstr>Study_MW</vt:lpstr>
    </vt:vector>
  </TitlesOfParts>
  <Company>PacifiCorp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PacifiCorp</dc:creator>
  <cp:lastModifiedBy>Fred Nass</cp:lastModifiedBy>
  <cp:lastPrinted>2024-04-30T20:43:04Z</cp:lastPrinted>
  <dcterms:created xsi:type="dcterms:W3CDTF">2001-03-19T15:45:46Z</dcterms:created>
  <dcterms:modified xsi:type="dcterms:W3CDTF">2026-08-25T14:10:09Z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0x0101004AB4DA3614AAD347BE4FEDC2ECD2F677</vt:lpwstr>
  </property>
</Properties>
</file>