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I:\Websites\Pscweb\utilities\electric\26docs\2603533\"/>
    </mc:Choice>
  </mc:AlternateContent>
  <xr:revisionPtr revIDLastSave="0" documentId="8_{025F1315-1DF9-4453-ADCC-73AEB0EF0654}" xr6:coauthVersionLast="47" xr6:coauthVersionMax="47" xr10:uidLastSave="{00000000-0000-0000-0000-000000000000}"/>
  <bookViews>
    <workbookView xWindow="900" yWindow="510" windowWidth="23010" windowHeight="20370" xr2:uid="{00000000-000D-0000-FFFF-FFFF00000000}"/>
  </bookViews>
  <sheets>
    <sheet name="Summary" sheetId="1" r:id="rId1"/>
  </sheets>
  <definedNames>
    <definedName name="_xlnm.Print_Area" localSheetId="0">Summary!$A$1:$K$2251</definedName>
    <definedName name="_xlnm.Print_Titles" localSheetId="0">Summary!$1:$5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30" i="1" l="1"/>
  <c r="E568" i="1"/>
  <c r="F568" i="1"/>
  <c r="G568" i="1"/>
  <c r="H568" i="1"/>
  <c r="D568" i="1"/>
  <c r="I530" i="1"/>
  <c r="H538" i="1" l="1"/>
  <c r="F538" i="1"/>
  <c r="E538" i="1"/>
  <c r="D538" i="1"/>
  <c r="H533" i="1"/>
  <c r="G533" i="1"/>
  <c r="G430" i="1" s="1"/>
  <c r="F533" i="1"/>
  <c r="F430" i="1" s="1"/>
  <c r="E533" i="1"/>
  <c r="E430" i="1" s="1"/>
  <c r="D533" i="1"/>
  <c r="D430" i="1" s="1"/>
  <c r="F526" i="1"/>
  <c r="F512" i="1"/>
  <c r="E526" i="1"/>
  <c r="E512" i="1"/>
  <c r="H526" i="1" l="1"/>
  <c r="H512" i="1"/>
  <c r="G526" i="1"/>
  <c r="G512" i="1"/>
  <c r="D526" i="1"/>
  <c r="D512" i="1"/>
  <c r="J1104" i="1" l="1"/>
  <c r="J1102" i="1"/>
  <c r="J1103" i="1"/>
  <c r="C1672" i="1"/>
  <c r="C1671" i="1"/>
  <c r="C1667" i="1"/>
  <c r="C1666" i="1"/>
  <c r="C1665" i="1"/>
  <c r="E1672" i="1"/>
  <c r="E1671" i="1"/>
  <c r="E1667" i="1"/>
  <c r="E1666" i="1"/>
  <c r="E1665" i="1"/>
  <c r="G1104" i="1"/>
  <c r="G1103" i="1"/>
  <c r="G1102" i="1"/>
  <c r="G1099" i="1"/>
  <c r="G1098" i="1"/>
  <c r="G1097" i="1"/>
  <c r="H521" i="1"/>
  <c r="G521" i="1"/>
  <c r="F521" i="1"/>
  <c r="E521" i="1"/>
  <c r="D521" i="1"/>
  <c r="H516" i="1"/>
  <c r="G516" i="1"/>
  <c r="F516" i="1"/>
  <c r="E516" i="1"/>
  <c r="D516" i="1"/>
  <c r="H507" i="1"/>
  <c r="G507" i="1"/>
  <c r="F507" i="1"/>
  <c r="E507" i="1"/>
  <c r="D507" i="1"/>
  <c r="H502" i="1"/>
  <c r="G502" i="1"/>
  <c r="F502" i="1"/>
  <c r="E502" i="1"/>
  <c r="D502" i="1"/>
  <c r="D429" i="1" s="1"/>
  <c r="E429" i="1" l="1"/>
  <c r="F429" i="1"/>
  <c r="G429" i="1"/>
  <c r="H429" i="1"/>
  <c r="C1094" i="1"/>
  <c r="C1093" i="1"/>
  <c r="C1092" i="1"/>
  <c r="C1089" i="1"/>
  <c r="C1088" i="1"/>
  <c r="C1087" i="1"/>
  <c r="J1094" i="1"/>
  <c r="J1089" i="1"/>
  <c r="J1088" i="1"/>
  <c r="J1087" i="1"/>
  <c r="C1662" i="1" l="1"/>
  <c r="C1660" i="1"/>
  <c r="C1657" i="1"/>
  <c r="C1656" i="1"/>
  <c r="E1662" i="1"/>
  <c r="E1660" i="1"/>
  <c r="E1657" i="1"/>
  <c r="E1656" i="1"/>
  <c r="G1094" i="1"/>
  <c r="G1093" i="1"/>
  <c r="G1092" i="1"/>
  <c r="G1089" i="1"/>
  <c r="G1088" i="1"/>
  <c r="G1087" i="1"/>
  <c r="H495" i="1" l="1"/>
  <c r="G495" i="1"/>
  <c r="F495" i="1"/>
  <c r="E495" i="1"/>
  <c r="D495" i="1"/>
  <c r="H490" i="1"/>
  <c r="G490" i="1"/>
  <c r="F490" i="1"/>
  <c r="E490" i="1"/>
  <c r="D490" i="1"/>
  <c r="J1084" i="1" l="1"/>
  <c r="J1083" i="1"/>
  <c r="J1082" i="1"/>
  <c r="J1078" i="1"/>
  <c r="D485" i="1"/>
  <c r="D480" i="1"/>
  <c r="H480" i="1"/>
  <c r="H485" i="1"/>
  <c r="F485" i="1"/>
  <c r="E485" i="1"/>
  <c r="G485" i="1"/>
  <c r="F480" i="1"/>
  <c r="E480" i="1"/>
  <c r="G480" i="1"/>
  <c r="D428" i="1" l="1"/>
  <c r="E428" i="1"/>
  <c r="H428" i="1"/>
  <c r="F428" i="1"/>
  <c r="G428" i="1"/>
  <c r="I477" i="1"/>
  <c r="C478" i="1" s="1"/>
  <c r="I478" i="1" l="1"/>
  <c r="C479" i="1" s="1"/>
  <c r="I479" i="1" l="1"/>
  <c r="C482" i="1" s="1"/>
  <c r="I482" i="1" s="1"/>
  <c r="C483" i="1" s="1"/>
  <c r="I483" i="1" s="1"/>
  <c r="C484" i="1" s="1"/>
  <c r="I484" i="1" s="1"/>
  <c r="C487" i="1" s="1"/>
  <c r="I487" i="1" s="1"/>
  <c r="C488" i="1" s="1"/>
  <c r="I488" i="1" s="1"/>
  <c r="C489" i="1" s="1"/>
  <c r="I489" i="1" s="1"/>
  <c r="C492" i="1" s="1"/>
  <c r="I492" i="1" s="1"/>
  <c r="C493" i="1" s="1"/>
  <c r="I493" i="1" s="1"/>
  <c r="C494" i="1" s="1"/>
  <c r="I494" i="1" s="1"/>
  <c r="C499" i="1" s="1"/>
  <c r="I499" i="1" s="1"/>
  <c r="C500" i="1" l="1"/>
  <c r="I500" i="1" s="1"/>
  <c r="K1068" i="1"/>
  <c r="G471" i="1"/>
  <c r="G466" i="1"/>
  <c r="G465" i="1"/>
  <c r="G470" i="1"/>
  <c r="C501" i="1" l="1"/>
  <c r="I501" i="1" s="1"/>
  <c r="C504" i="1" s="1"/>
  <c r="I504" i="1" s="1"/>
  <c r="C505" i="1" s="1"/>
  <c r="I505" i="1" s="1"/>
  <c r="C506" i="1" s="1"/>
  <c r="I506" i="1" s="1"/>
  <c r="I513" i="1" l="1"/>
  <c r="I514" i="1" s="1"/>
  <c r="I515" i="1" s="1"/>
  <c r="I518" i="1" s="1"/>
  <c r="I519" i="1" s="1"/>
  <c r="I520" i="1" s="1"/>
  <c r="C509" i="1"/>
  <c r="I509" i="1" s="1"/>
  <c r="C510" i="1" s="1"/>
  <c r="I510" i="1" s="1"/>
  <c r="C511" i="1" s="1"/>
  <c r="I511" i="1" s="1"/>
  <c r="C523" i="1" s="1"/>
  <c r="I523" i="1" s="1"/>
  <c r="C524" i="1" s="1"/>
  <c r="I524" i="1" s="1"/>
  <c r="C525" i="1" s="1"/>
  <c r="I525" i="1" s="1"/>
  <c r="C530" i="1" s="1"/>
  <c r="C531" i="1" s="1"/>
  <c r="K1063" i="1"/>
  <c r="K1062" i="1"/>
  <c r="I531" i="1" l="1"/>
  <c r="C532" i="1" s="1"/>
  <c r="I532" i="1" s="1"/>
  <c r="C1632" i="1"/>
  <c r="C1631" i="1"/>
  <c r="C1630" i="1"/>
  <c r="C1626" i="1"/>
  <c r="E1632" i="1"/>
  <c r="E1631" i="1"/>
  <c r="E1630" i="1"/>
  <c r="E1627" i="1"/>
  <c r="E1626" i="1"/>
  <c r="E1625" i="1"/>
  <c r="G1064" i="1"/>
  <c r="G1063" i="1"/>
  <c r="G1062" i="1"/>
  <c r="G1059" i="1"/>
  <c r="G1058" i="1"/>
  <c r="G1057" i="1"/>
  <c r="I427" i="1"/>
  <c r="G461" i="1"/>
  <c r="G460" i="1"/>
  <c r="G457" i="1"/>
  <c r="G455" i="1"/>
  <c r="E461" i="1"/>
  <c r="C535" i="1" l="1"/>
  <c r="C455" i="1"/>
  <c r="I535" i="1" l="1"/>
  <c r="C536" i="1" s="1"/>
  <c r="I536" i="1" s="1"/>
  <c r="C537" i="1" s="1"/>
  <c r="I537" i="1" s="1"/>
  <c r="C1621" i="1"/>
  <c r="E1621" i="1"/>
  <c r="C1620" i="1"/>
  <c r="E1620" i="1"/>
  <c r="C1617" i="1"/>
  <c r="E1617" i="1"/>
  <c r="C1616" i="1"/>
  <c r="E1616" i="1"/>
  <c r="C1615" i="1"/>
  <c r="E1615" i="1"/>
  <c r="F1054" i="1"/>
  <c r="F1053" i="1"/>
  <c r="F1052" i="1"/>
  <c r="F1050" i="1"/>
  <c r="F1049" i="1"/>
  <c r="F1048" i="1"/>
  <c r="E426" i="1"/>
  <c r="H473" i="1" l="1"/>
  <c r="G473" i="1"/>
  <c r="F473" i="1"/>
  <c r="E473" i="1"/>
  <c r="D473" i="1"/>
  <c r="H468" i="1"/>
  <c r="G468" i="1"/>
  <c r="F468" i="1"/>
  <c r="E468" i="1"/>
  <c r="D468" i="1"/>
  <c r="K1043" i="1" l="1"/>
  <c r="C435" i="1" l="1"/>
  <c r="H463" i="1"/>
  <c r="G463" i="1"/>
  <c r="F463" i="1"/>
  <c r="E463" i="1"/>
  <c r="D463" i="1"/>
  <c r="H458" i="1"/>
  <c r="G458" i="1"/>
  <c r="F458" i="1"/>
  <c r="E458" i="1"/>
  <c r="D458" i="1"/>
  <c r="I428" i="1" s="1"/>
  <c r="C429" i="1" s="1"/>
  <c r="I429" i="1" s="1"/>
  <c r="C430" i="1" s="1"/>
  <c r="I430" i="1" s="1"/>
  <c r="I426" i="1"/>
  <c r="C1597" i="1"/>
  <c r="C1596" i="1"/>
  <c r="E1597" i="1"/>
  <c r="E1596" i="1"/>
  <c r="E1595" i="1"/>
  <c r="C1595" i="1"/>
  <c r="C1591" i="1"/>
  <c r="E1591" i="1"/>
  <c r="E1590" i="1"/>
  <c r="G1032" i="1" l="1"/>
  <c r="G1031" i="1"/>
  <c r="G1030" i="1"/>
  <c r="G1026" i="1"/>
  <c r="G1025" i="1"/>
  <c r="G1024" i="1"/>
  <c r="H453" i="1"/>
  <c r="E425" i="1"/>
  <c r="E424" i="1"/>
  <c r="C425" i="1"/>
  <c r="I425" i="1" l="1"/>
  <c r="G453" i="1" l="1"/>
  <c r="F453" i="1"/>
  <c r="E453" i="1"/>
  <c r="D453" i="1"/>
  <c r="H448" i="1"/>
  <c r="G448" i="1"/>
  <c r="F448" i="1"/>
  <c r="E448" i="1"/>
  <c r="D448" i="1"/>
  <c r="D438" i="1"/>
  <c r="D423" i="1"/>
  <c r="I435" i="1" l="1"/>
  <c r="C436" i="1" s="1"/>
  <c r="I436" i="1" s="1"/>
  <c r="C437" i="1" s="1"/>
  <c r="I437" i="1" s="1"/>
  <c r="C440" i="1" s="1"/>
  <c r="I1008" i="1"/>
  <c r="H1008" i="1"/>
  <c r="I1007" i="1"/>
  <c r="H1007" i="1"/>
  <c r="I1006" i="1"/>
  <c r="H1006" i="1"/>
  <c r="D1571" i="1"/>
  <c r="C1571" i="1"/>
  <c r="D1572" i="1"/>
  <c r="C1572" i="1"/>
  <c r="D1573" i="1"/>
  <c r="C1573" i="1"/>
  <c r="F1573" i="1"/>
  <c r="E1573" i="1"/>
  <c r="F1572" i="1"/>
  <c r="E1572" i="1"/>
  <c r="F1571" i="1"/>
  <c r="K1007" i="1"/>
  <c r="K1006" i="1"/>
  <c r="J1006" i="1"/>
  <c r="F2135" i="1"/>
  <c r="D2135" i="1"/>
  <c r="E2137" i="1"/>
  <c r="C2137" i="1"/>
  <c r="J1571" i="1"/>
  <c r="H1571" i="1"/>
  <c r="H423" i="1" l="1"/>
  <c r="G423" i="1"/>
  <c r="F423" i="1"/>
  <c r="E423" i="1"/>
  <c r="H443" i="1" l="1"/>
  <c r="G443" i="1"/>
  <c r="F443" i="1"/>
  <c r="E443" i="1"/>
  <c r="D443" i="1"/>
  <c r="F2122" i="1" l="1"/>
  <c r="E2122" i="1"/>
  <c r="D2122" i="1"/>
  <c r="C2122" i="1"/>
  <c r="F2121" i="1"/>
  <c r="E2121" i="1"/>
  <c r="D2121" i="1"/>
  <c r="C2121" i="1"/>
  <c r="F2120" i="1"/>
  <c r="E2120" i="1"/>
  <c r="D2120" i="1"/>
  <c r="C2120" i="1"/>
  <c r="F2117" i="1"/>
  <c r="E2117" i="1"/>
  <c r="D2117" i="1"/>
  <c r="C2117" i="1"/>
  <c r="F2116" i="1"/>
  <c r="E2116" i="1"/>
  <c r="D2116" i="1"/>
  <c r="C2116" i="1"/>
  <c r="F2115" i="1"/>
  <c r="E2115" i="1"/>
  <c r="D2115" i="1"/>
  <c r="C2115" i="1"/>
  <c r="F2112" i="1"/>
  <c r="E2112" i="1"/>
  <c r="D2112" i="1"/>
  <c r="C2112" i="1"/>
  <c r="F2111" i="1"/>
  <c r="E2111" i="1"/>
  <c r="D2111" i="1"/>
  <c r="C2111" i="1"/>
  <c r="F2110" i="1"/>
  <c r="E2110" i="1"/>
  <c r="D2110" i="1"/>
  <c r="C2110" i="1"/>
  <c r="F2107" i="1"/>
  <c r="E2107" i="1"/>
  <c r="D2107" i="1"/>
  <c r="C2107" i="1"/>
  <c r="F2106" i="1"/>
  <c r="E2106" i="1"/>
  <c r="D2106" i="1"/>
  <c r="C2106" i="1"/>
  <c r="F2105" i="1"/>
  <c r="E2105" i="1"/>
  <c r="D2105" i="1"/>
  <c r="C2105" i="1"/>
  <c r="F2102" i="1"/>
  <c r="E2102" i="1"/>
  <c r="D2102" i="1"/>
  <c r="C2102" i="1"/>
  <c r="F2101" i="1"/>
  <c r="E2101" i="1"/>
  <c r="D2101" i="1"/>
  <c r="C2101" i="1"/>
  <c r="F2100" i="1"/>
  <c r="E2100" i="1"/>
  <c r="D2100" i="1"/>
  <c r="C2100" i="1"/>
  <c r="F2092" i="1"/>
  <c r="E2092" i="1"/>
  <c r="D2092" i="1"/>
  <c r="C2092" i="1"/>
  <c r="F2091" i="1"/>
  <c r="E2091" i="1"/>
  <c r="D2091" i="1"/>
  <c r="C2091" i="1"/>
  <c r="F2090" i="1"/>
  <c r="E2090" i="1"/>
  <c r="D2090" i="1"/>
  <c r="C2090" i="1"/>
  <c r="F2087" i="1"/>
  <c r="E2087" i="1"/>
  <c r="D2087" i="1"/>
  <c r="C2087" i="1"/>
  <c r="F2086" i="1"/>
  <c r="E2086" i="1"/>
  <c r="D2086" i="1"/>
  <c r="C2086" i="1"/>
  <c r="F2085" i="1"/>
  <c r="E2085" i="1"/>
  <c r="D2085" i="1"/>
  <c r="C2085" i="1"/>
  <c r="F2078" i="1"/>
  <c r="D2078" i="1"/>
  <c r="F2077" i="1"/>
  <c r="D2077" i="1"/>
  <c r="F2076" i="1"/>
  <c r="D2076" i="1"/>
  <c r="F2073" i="1"/>
  <c r="D2073" i="1"/>
  <c r="C2073" i="1"/>
  <c r="F2072" i="1"/>
  <c r="D2072" i="1"/>
  <c r="F2071" i="1"/>
  <c r="E2071" i="1"/>
  <c r="D2071" i="1"/>
  <c r="C2071" i="1"/>
  <c r="F2068" i="1"/>
  <c r="D2068" i="1"/>
  <c r="C2068" i="1"/>
  <c r="F2067" i="1"/>
  <c r="D2067" i="1"/>
  <c r="F2066" i="1"/>
  <c r="D2066" i="1"/>
  <c r="F2063" i="1"/>
  <c r="D2063" i="1"/>
  <c r="F2062" i="1"/>
  <c r="D2062" i="1"/>
  <c r="F2061" i="1"/>
  <c r="D2061" i="1"/>
  <c r="F2058" i="1"/>
  <c r="D2058" i="1"/>
  <c r="F2057" i="1"/>
  <c r="D2057" i="1"/>
  <c r="F2056" i="1"/>
  <c r="D2056" i="1"/>
  <c r="F2053" i="1"/>
  <c r="D2053" i="1"/>
  <c r="F2052" i="1"/>
  <c r="D2052" i="1"/>
  <c r="F2051" i="1"/>
  <c r="D2051" i="1"/>
  <c r="F2048" i="1"/>
  <c r="D2048" i="1"/>
  <c r="F2047" i="1"/>
  <c r="D2047" i="1"/>
  <c r="F2046" i="1"/>
  <c r="D2046" i="1"/>
  <c r="F2043" i="1"/>
  <c r="D2043" i="1"/>
  <c r="F2042" i="1"/>
  <c r="D2042" i="1"/>
  <c r="F2041" i="1"/>
  <c r="D2041" i="1"/>
  <c r="F2038" i="1"/>
  <c r="D2038" i="1"/>
  <c r="F2037" i="1"/>
  <c r="D2037" i="1"/>
  <c r="F2036" i="1"/>
  <c r="D2036" i="1"/>
  <c r="F2033" i="1"/>
  <c r="D2033" i="1"/>
  <c r="F2032" i="1"/>
  <c r="D2032" i="1"/>
  <c r="F2031" i="1"/>
  <c r="D2031" i="1"/>
  <c r="C2018" i="1"/>
  <c r="F1946" i="1"/>
  <c r="D1946" i="1"/>
  <c r="F1945" i="1"/>
  <c r="D1945" i="1"/>
  <c r="F1944" i="1"/>
  <c r="D1944" i="1"/>
  <c r="D1941" i="1"/>
  <c r="D1940" i="1"/>
  <c r="D1939" i="1"/>
  <c r="F1912" i="1"/>
  <c r="D1912" i="1"/>
  <c r="F1911" i="1"/>
  <c r="D1911" i="1"/>
  <c r="F1910" i="1"/>
  <c r="D1910" i="1"/>
  <c r="F1907" i="1"/>
  <c r="D1907" i="1"/>
  <c r="F1906" i="1"/>
  <c r="D1906" i="1"/>
  <c r="F1905" i="1"/>
  <c r="D1905" i="1"/>
  <c r="F1902" i="1"/>
  <c r="D1902" i="1"/>
  <c r="F1901" i="1"/>
  <c r="D1901" i="1"/>
  <c r="F1900" i="1"/>
  <c r="D1900" i="1"/>
  <c r="F1892" i="1"/>
  <c r="D1892" i="1"/>
  <c r="F1891" i="1"/>
  <c r="D1891" i="1"/>
  <c r="F1890" i="1"/>
  <c r="D1890" i="1"/>
  <c r="D1886" i="1"/>
  <c r="F1883" i="1"/>
  <c r="D1883" i="1"/>
  <c r="F1882" i="1"/>
  <c r="D1882" i="1"/>
  <c r="F1881" i="1"/>
  <c r="D1881" i="1"/>
  <c r="F1863" i="1"/>
  <c r="D1863" i="1"/>
  <c r="F1862" i="1"/>
  <c r="D1862" i="1"/>
  <c r="F1861" i="1"/>
  <c r="D1861" i="1"/>
  <c r="F1858" i="1"/>
  <c r="D1858" i="1"/>
  <c r="F1857" i="1"/>
  <c r="D1857" i="1"/>
  <c r="F1856" i="1"/>
  <c r="D1856" i="1"/>
  <c r="F1848" i="1"/>
  <c r="D1848" i="1"/>
  <c r="F1847" i="1"/>
  <c r="D1847" i="1"/>
  <c r="F1846" i="1"/>
  <c r="F1843" i="1"/>
  <c r="D1843" i="1"/>
  <c r="F1842" i="1"/>
  <c r="E1842" i="1"/>
  <c r="D1842" i="1"/>
  <c r="F1841" i="1"/>
  <c r="E1841" i="1"/>
  <c r="D1841" i="1"/>
  <c r="F1830" i="1"/>
  <c r="E1830" i="1"/>
  <c r="D1830" i="1"/>
  <c r="F1829" i="1"/>
  <c r="E1829" i="1"/>
  <c r="D1829" i="1"/>
  <c r="F1828" i="1"/>
  <c r="E1828" i="1"/>
  <c r="D1828" i="1"/>
  <c r="F1825" i="1"/>
  <c r="D1825" i="1"/>
  <c r="F1824" i="1"/>
  <c r="D1824" i="1"/>
  <c r="F1823" i="1"/>
  <c r="D1823" i="1"/>
  <c r="F1821" i="1"/>
  <c r="D1821" i="1"/>
  <c r="F1820" i="1"/>
  <c r="D1820" i="1"/>
  <c r="F1819" i="1"/>
  <c r="E1819" i="1"/>
  <c r="D1819" i="1"/>
  <c r="F1811" i="1"/>
  <c r="D1811" i="1"/>
  <c r="F1810" i="1"/>
  <c r="D1810" i="1"/>
  <c r="F1809" i="1"/>
  <c r="D1809" i="1"/>
  <c r="F1797" i="1"/>
  <c r="D1797" i="1"/>
  <c r="F1796" i="1"/>
  <c r="D1796" i="1"/>
  <c r="F1795" i="1"/>
  <c r="D1795" i="1"/>
  <c r="F1792" i="1"/>
  <c r="D1792" i="1"/>
  <c r="F1791" i="1"/>
  <c r="D1791" i="1"/>
  <c r="F1790" i="1"/>
  <c r="D1790" i="1"/>
  <c r="D1787" i="1"/>
  <c r="F1786" i="1"/>
  <c r="D1786" i="1"/>
  <c r="F1785" i="1"/>
  <c r="D1785" i="1"/>
  <c r="F1781" i="1"/>
  <c r="D1781" i="1"/>
  <c r="F1780" i="1"/>
  <c r="D1780" i="1"/>
  <c r="F1779" i="1"/>
  <c r="D1779" i="1"/>
  <c r="F1776" i="1"/>
  <c r="D1776" i="1"/>
  <c r="F1775" i="1"/>
  <c r="D1775" i="1"/>
  <c r="F1774" i="1"/>
  <c r="D1774" i="1"/>
  <c r="D1743" i="1"/>
  <c r="E1742" i="1"/>
  <c r="D1742" i="1"/>
  <c r="D1741" i="1"/>
  <c r="F1738" i="1"/>
  <c r="D1738" i="1"/>
  <c r="F1737" i="1"/>
  <c r="D1737" i="1"/>
  <c r="F1736" i="1"/>
  <c r="D1736" i="1"/>
  <c r="F1734" i="1"/>
  <c r="D1734" i="1"/>
  <c r="F1733" i="1"/>
  <c r="D1733" i="1"/>
  <c r="F1732" i="1"/>
  <c r="D1732" i="1"/>
  <c r="F1729" i="1"/>
  <c r="E1729" i="1"/>
  <c r="D1729" i="1"/>
  <c r="C1729" i="1"/>
  <c r="F1728" i="1"/>
  <c r="E1728" i="1"/>
  <c r="D1728" i="1"/>
  <c r="C1728" i="1"/>
  <c r="F1727" i="1"/>
  <c r="E1727" i="1"/>
  <c r="D1727" i="1"/>
  <c r="C1727" i="1"/>
  <c r="F1724" i="1"/>
  <c r="E1724" i="1"/>
  <c r="D1724" i="1"/>
  <c r="C1724" i="1"/>
  <c r="F1723" i="1"/>
  <c r="E1723" i="1"/>
  <c r="D1723" i="1"/>
  <c r="C1723" i="1"/>
  <c r="F1722" i="1"/>
  <c r="E1722" i="1"/>
  <c r="D1722" i="1"/>
  <c r="C1722" i="1"/>
  <c r="F1719" i="1"/>
  <c r="E1719" i="1"/>
  <c r="D1719" i="1"/>
  <c r="C1719" i="1"/>
  <c r="F1718" i="1"/>
  <c r="D1718" i="1"/>
  <c r="F1717" i="1"/>
  <c r="D1717" i="1"/>
  <c r="F1716" i="1"/>
  <c r="D1716" i="1"/>
  <c r="J1557" i="1"/>
  <c r="I1557" i="1"/>
  <c r="H1557" i="1"/>
  <c r="G1557" i="1"/>
  <c r="F1557" i="1"/>
  <c r="E1557" i="1"/>
  <c r="D1557" i="1"/>
  <c r="C1557" i="1"/>
  <c r="J1556" i="1"/>
  <c r="I1556" i="1"/>
  <c r="H1556" i="1"/>
  <c r="G1556" i="1"/>
  <c r="F1556" i="1"/>
  <c r="E1556" i="1"/>
  <c r="D1556" i="1"/>
  <c r="C1556" i="1"/>
  <c r="J1555" i="1"/>
  <c r="I1555" i="1"/>
  <c r="H1555" i="1"/>
  <c r="G1555" i="1"/>
  <c r="F1555" i="1"/>
  <c r="E1555" i="1"/>
  <c r="D1555" i="1"/>
  <c r="C1555" i="1"/>
  <c r="J1552" i="1"/>
  <c r="I1552" i="1"/>
  <c r="H1552" i="1"/>
  <c r="G1552" i="1"/>
  <c r="F1552" i="1"/>
  <c r="E1552" i="1"/>
  <c r="D1552" i="1"/>
  <c r="C1552" i="1"/>
  <c r="J1551" i="1"/>
  <c r="I1551" i="1"/>
  <c r="H1551" i="1"/>
  <c r="G1551" i="1"/>
  <c r="F1551" i="1"/>
  <c r="E1551" i="1"/>
  <c r="D1551" i="1"/>
  <c r="C1551" i="1"/>
  <c r="J1550" i="1"/>
  <c r="I1550" i="1"/>
  <c r="H1550" i="1"/>
  <c r="G1550" i="1"/>
  <c r="F1550" i="1"/>
  <c r="E1550" i="1"/>
  <c r="D1550" i="1"/>
  <c r="C1550" i="1"/>
  <c r="J1547" i="1"/>
  <c r="I1547" i="1"/>
  <c r="H1547" i="1"/>
  <c r="G1547" i="1"/>
  <c r="F1547" i="1"/>
  <c r="E1547" i="1"/>
  <c r="D1547" i="1"/>
  <c r="C1547" i="1"/>
  <c r="J1546" i="1"/>
  <c r="I1546" i="1"/>
  <c r="H1546" i="1"/>
  <c r="G1546" i="1"/>
  <c r="F1546" i="1"/>
  <c r="E1546" i="1"/>
  <c r="D1546" i="1"/>
  <c r="C1546" i="1"/>
  <c r="J1545" i="1"/>
  <c r="I1545" i="1"/>
  <c r="H1545" i="1"/>
  <c r="G1545" i="1"/>
  <c r="F1545" i="1"/>
  <c r="E1545" i="1"/>
  <c r="D1545" i="1"/>
  <c r="C1545" i="1"/>
  <c r="J1542" i="1"/>
  <c r="I1542" i="1"/>
  <c r="H1542" i="1"/>
  <c r="G1542" i="1"/>
  <c r="F1542" i="1"/>
  <c r="E1542" i="1"/>
  <c r="D1542" i="1"/>
  <c r="C1542" i="1"/>
  <c r="J1541" i="1"/>
  <c r="I1541" i="1"/>
  <c r="H1541" i="1"/>
  <c r="G1541" i="1"/>
  <c r="F1541" i="1"/>
  <c r="E1541" i="1"/>
  <c r="D1541" i="1"/>
  <c r="C1541" i="1"/>
  <c r="J1540" i="1"/>
  <c r="I1540" i="1"/>
  <c r="H1540" i="1"/>
  <c r="G1540" i="1"/>
  <c r="F1540" i="1"/>
  <c r="E1540" i="1"/>
  <c r="D1540" i="1"/>
  <c r="C1540" i="1"/>
  <c r="J1537" i="1"/>
  <c r="I1537" i="1"/>
  <c r="H1537" i="1"/>
  <c r="G1537" i="1"/>
  <c r="F1537" i="1"/>
  <c r="D1537" i="1"/>
  <c r="C1537" i="1"/>
  <c r="J1536" i="1"/>
  <c r="I1536" i="1"/>
  <c r="H1536" i="1"/>
  <c r="G1536" i="1"/>
  <c r="F1536" i="1"/>
  <c r="D1536" i="1"/>
  <c r="C1536" i="1"/>
  <c r="J1535" i="1"/>
  <c r="I1535" i="1"/>
  <c r="H1535" i="1"/>
  <c r="G1535" i="1"/>
  <c r="F1535" i="1"/>
  <c r="D1535" i="1"/>
  <c r="J1527" i="1"/>
  <c r="I1527" i="1"/>
  <c r="H1527" i="1"/>
  <c r="G1527" i="1"/>
  <c r="F1527" i="1"/>
  <c r="E1527" i="1"/>
  <c r="D1527" i="1"/>
  <c r="C1527" i="1"/>
  <c r="J1526" i="1"/>
  <c r="I1526" i="1"/>
  <c r="H1526" i="1"/>
  <c r="G1526" i="1"/>
  <c r="F1526" i="1"/>
  <c r="E1526" i="1"/>
  <c r="D1526" i="1"/>
  <c r="C1526" i="1"/>
  <c r="J1525" i="1"/>
  <c r="I1525" i="1"/>
  <c r="H1525" i="1"/>
  <c r="G1525" i="1"/>
  <c r="F1525" i="1"/>
  <c r="D1525" i="1"/>
  <c r="J1522" i="1"/>
  <c r="I1522" i="1"/>
  <c r="H1522" i="1"/>
  <c r="G1522" i="1"/>
  <c r="F1522" i="1"/>
  <c r="D1522" i="1"/>
  <c r="J1521" i="1"/>
  <c r="I1521" i="1"/>
  <c r="H1521" i="1"/>
  <c r="G1521" i="1"/>
  <c r="F1521" i="1"/>
  <c r="D1521" i="1"/>
  <c r="J1520" i="1"/>
  <c r="I1520" i="1"/>
  <c r="H1520" i="1"/>
  <c r="G1520" i="1"/>
  <c r="F1520" i="1"/>
  <c r="D1520" i="1"/>
  <c r="J1517" i="1"/>
  <c r="I1517" i="1"/>
  <c r="H1517" i="1"/>
  <c r="F1517" i="1"/>
  <c r="E1517" i="1"/>
  <c r="D1517" i="1"/>
  <c r="C1517" i="1"/>
  <c r="J1516" i="1"/>
  <c r="I1516" i="1"/>
  <c r="H1516" i="1"/>
  <c r="G1516" i="1"/>
  <c r="F1516" i="1"/>
  <c r="E1516" i="1"/>
  <c r="D1516" i="1"/>
  <c r="C1516" i="1"/>
  <c r="J1515" i="1"/>
  <c r="I1515" i="1"/>
  <c r="H1515" i="1"/>
  <c r="F1515" i="1"/>
  <c r="E1515" i="1"/>
  <c r="D1515" i="1"/>
  <c r="C1515" i="1"/>
  <c r="J1512" i="1"/>
  <c r="I1512" i="1"/>
  <c r="H1512" i="1"/>
  <c r="G1512" i="1"/>
  <c r="F1512" i="1"/>
  <c r="D1512" i="1"/>
  <c r="C1512" i="1"/>
  <c r="J1511" i="1"/>
  <c r="I1511" i="1"/>
  <c r="H1511" i="1"/>
  <c r="G1511" i="1"/>
  <c r="F1511" i="1"/>
  <c r="D1511" i="1"/>
  <c r="C1511" i="1"/>
  <c r="J1510" i="1"/>
  <c r="I1510" i="1"/>
  <c r="H1510" i="1"/>
  <c r="G1510" i="1"/>
  <c r="F1510" i="1"/>
  <c r="D1510" i="1"/>
  <c r="J1507" i="1"/>
  <c r="H1507" i="1"/>
  <c r="G1507" i="1"/>
  <c r="F1507" i="1"/>
  <c r="E1507" i="1"/>
  <c r="D1507" i="1"/>
  <c r="C1507" i="1"/>
  <c r="J1506" i="1"/>
  <c r="H1506" i="1"/>
  <c r="F1506" i="1"/>
  <c r="D1506" i="1"/>
  <c r="C1506" i="1"/>
  <c r="J1505" i="1"/>
  <c r="H1505" i="1"/>
  <c r="F1505" i="1"/>
  <c r="D1505" i="1"/>
  <c r="C1505" i="1"/>
  <c r="J1502" i="1"/>
  <c r="I1502" i="1"/>
  <c r="H1502" i="1"/>
  <c r="F1502" i="1"/>
  <c r="E1502" i="1"/>
  <c r="D1502" i="1"/>
  <c r="C1502" i="1"/>
  <c r="J1501" i="1"/>
  <c r="I1501" i="1"/>
  <c r="H1501" i="1"/>
  <c r="F1501" i="1"/>
  <c r="E1501" i="1"/>
  <c r="D1501" i="1"/>
  <c r="C1501" i="1"/>
  <c r="J1500" i="1"/>
  <c r="I1500" i="1"/>
  <c r="H1500" i="1"/>
  <c r="F1500" i="1"/>
  <c r="E1500" i="1"/>
  <c r="D1500" i="1"/>
  <c r="C1500" i="1"/>
  <c r="J1493" i="1"/>
  <c r="H1493" i="1"/>
  <c r="F1493" i="1"/>
  <c r="D1493" i="1"/>
  <c r="J1492" i="1"/>
  <c r="H1492" i="1"/>
  <c r="F1492" i="1"/>
  <c r="D1492" i="1"/>
  <c r="J1491" i="1"/>
  <c r="I1491" i="1"/>
  <c r="H1491" i="1"/>
  <c r="F1491" i="1"/>
  <c r="D1491" i="1"/>
  <c r="J1488" i="1"/>
  <c r="H1488" i="1"/>
  <c r="F1488" i="1"/>
  <c r="D1488" i="1"/>
  <c r="J1487" i="1"/>
  <c r="H1487" i="1"/>
  <c r="F1487" i="1"/>
  <c r="D1487" i="1"/>
  <c r="J1486" i="1"/>
  <c r="H1486" i="1"/>
  <c r="F1486" i="1"/>
  <c r="D1486" i="1"/>
  <c r="J1483" i="1"/>
  <c r="H1483" i="1"/>
  <c r="F1483" i="1"/>
  <c r="D1483" i="1"/>
  <c r="J1482" i="1"/>
  <c r="H1482" i="1"/>
  <c r="F1482" i="1"/>
  <c r="D1482" i="1"/>
  <c r="J1481" i="1"/>
  <c r="H1481" i="1"/>
  <c r="F1481" i="1"/>
  <c r="D1481" i="1"/>
  <c r="J1478" i="1"/>
  <c r="H1478" i="1"/>
  <c r="F1478" i="1"/>
  <c r="D1478" i="1"/>
  <c r="J1477" i="1"/>
  <c r="H1477" i="1"/>
  <c r="F1477" i="1"/>
  <c r="D1477" i="1"/>
  <c r="J1476" i="1"/>
  <c r="H1476" i="1"/>
  <c r="F1476" i="1"/>
  <c r="D1476" i="1"/>
  <c r="J1474" i="1"/>
  <c r="H1474" i="1"/>
  <c r="J1473" i="1"/>
  <c r="H1473" i="1"/>
  <c r="J1472" i="1"/>
  <c r="H1472" i="1"/>
  <c r="J1469" i="1"/>
  <c r="H1469" i="1"/>
  <c r="J1468" i="1"/>
  <c r="H1468" i="1"/>
  <c r="J1467" i="1"/>
  <c r="H1467" i="1"/>
  <c r="J1464" i="1"/>
  <c r="H1464" i="1"/>
  <c r="J1463" i="1"/>
  <c r="H1463" i="1"/>
  <c r="J1462" i="1"/>
  <c r="H1462" i="1"/>
  <c r="J1459" i="1"/>
  <c r="H1459" i="1"/>
  <c r="J1458" i="1"/>
  <c r="H1458" i="1"/>
  <c r="J1457" i="1"/>
  <c r="H1457" i="1"/>
  <c r="J1454" i="1"/>
  <c r="H1454" i="1"/>
  <c r="J1453" i="1"/>
  <c r="H1453" i="1"/>
  <c r="J1452" i="1"/>
  <c r="H1452" i="1"/>
  <c r="J1449" i="1"/>
  <c r="H1449" i="1"/>
  <c r="J1448" i="1"/>
  <c r="H1448" i="1"/>
  <c r="J1447" i="1"/>
  <c r="H1447" i="1"/>
  <c r="J1439" i="1"/>
  <c r="H1439" i="1"/>
  <c r="J1438" i="1"/>
  <c r="H1438" i="1"/>
  <c r="J1437" i="1"/>
  <c r="H1437" i="1"/>
  <c r="J1434" i="1"/>
  <c r="H1434" i="1"/>
  <c r="J1433" i="1"/>
  <c r="H1433" i="1"/>
  <c r="J1432" i="1"/>
  <c r="H1432" i="1"/>
  <c r="J1429" i="1"/>
  <c r="H1429" i="1"/>
  <c r="J1428" i="1"/>
  <c r="H1428" i="1"/>
  <c r="J1427" i="1"/>
  <c r="H1427" i="1"/>
  <c r="J1425" i="1"/>
  <c r="H1425" i="1"/>
  <c r="J1424" i="1"/>
  <c r="H1424" i="1"/>
  <c r="J1423" i="1"/>
  <c r="H1423" i="1"/>
  <c r="J1420" i="1"/>
  <c r="J1419" i="1"/>
  <c r="J1418" i="1"/>
  <c r="J1415" i="1"/>
  <c r="H1415" i="1"/>
  <c r="J1414" i="1"/>
  <c r="H1414" i="1"/>
  <c r="J1413" i="1"/>
  <c r="H1413" i="1"/>
  <c r="J1410" i="1"/>
  <c r="H1410" i="1"/>
  <c r="J1409" i="1"/>
  <c r="H1409" i="1"/>
  <c r="J1408" i="1"/>
  <c r="J1405" i="1"/>
  <c r="H1405" i="1"/>
  <c r="J1404" i="1"/>
  <c r="H1404" i="1"/>
  <c r="J1403" i="1"/>
  <c r="H1403" i="1"/>
  <c r="J1400" i="1"/>
  <c r="H1400" i="1"/>
  <c r="J1399" i="1"/>
  <c r="H1399" i="1"/>
  <c r="J1398" i="1"/>
  <c r="H1398" i="1"/>
  <c r="J1395" i="1"/>
  <c r="H1395" i="1"/>
  <c r="J1394" i="1"/>
  <c r="H1394" i="1"/>
  <c r="J1393" i="1"/>
  <c r="H1393" i="1"/>
  <c r="J1386" i="1"/>
  <c r="H1386" i="1"/>
  <c r="D1386" i="1"/>
  <c r="J1385" i="1"/>
  <c r="H1385" i="1"/>
  <c r="D1385" i="1"/>
  <c r="J1384" i="1"/>
  <c r="H1384" i="1"/>
  <c r="D1384" i="1"/>
  <c r="J1381" i="1"/>
  <c r="H1381" i="1"/>
  <c r="J1380" i="1"/>
  <c r="H1380" i="1"/>
  <c r="J1379" i="1"/>
  <c r="H1379" i="1"/>
  <c r="J1377" i="1"/>
  <c r="H1377" i="1"/>
  <c r="J1376" i="1"/>
  <c r="H1376" i="1"/>
  <c r="J1375" i="1"/>
  <c r="H1375" i="1"/>
  <c r="J1372" i="1"/>
  <c r="H1372" i="1"/>
  <c r="J1371" i="1"/>
  <c r="H1371" i="1"/>
  <c r="J1370" i="1"/>
  <c r="H1370" i="1"/>
  <c r="J1367" i="1"/>
  <c r="H1367" i="1"/>
  <c r="J1366" i="1"/>
  <c r="H1366" i="1"/>
  <c r="J1365" i="1"/>
  <c r="H1365" i="1"/>
  <c r="J1362" i="1"/>
  <c r="H1362" i="1"/>
  <c r="J1361" i="1"/>
  <c r="H1361" i="1"/>
  <c r="J1360" i="1"/>
  <c r="H1360" i="1"/>
  <c r="J1357" i="1"/>
  <c r="H1357" i="1"/>
  <c r="J1356" i="1"/>
  <c r="H1356" i="1"/>
  <c r="J1355" i="1"/>
  <c r="H1355" i="1"/>
  <c r="J1352" i="1"/>
  <c r="H1352" i="1"/>
  <c r="J1351" i="1"/>
  <c r="H1351" i="1"/>
  <c r="J1350" i="1"/>
  <c r="H1350" i="1"/>
  <c r="J1347" i="1"/>
  <c r="H1347" i="1"/>
  <c r="J1346" i="1"/>
  <c r="H1346" i="1"/>
  <c r="J1345" i="1"/>
  <c r="H1345" i="1"/>
  <c r="J1342" i="1"/>
  <c r="H1342" i="1"/>
  <c r="J1341" i="1"/>
  <c r="H1341" i="1"/>
  <c r="J1340" i="1"/>
  <c r="H1340" i="1"/>
  <c r="J1332" i="1"/>
  <c r="H1332" i="1"/>
  <c r="J1331" i="1"/>
  <c r="H1331" i="1"/>
  <c r="J1330" i="1"/>
  <c r="H1330" i="1"/>
  <c r="J1327" i="1"/>
  <c r="H1327" i="1"/>
  <c r="J1326" i="1"/>
  <c r="H1326" i="1"/>
  <c r="J1325" i="1"/>
  <c r="H1325" i="1"/>
  <c r="J1321" i="1"/>
  <c r="H1321" i="1"/>
  <c r="J1320" i="1"/>
  <c r="H1320" i="1"/>
  <c r="J1319" i="1"/>
  <c r="H1319" i="1"/>
  <c r="J1316" i="1"/>
  <c r="H1316" i="1"/>
  <c r="J1315" i="1"/>
  <c r="H1315" i="1"/>
  <c r="J1314" i="1"/>
  <c r="H1314" i="1"/>
  <c r="J1311" i="1"/>
  <c r="H1311" i="1"/>
  <c r="J1310" i="1"/>
  <c r="H1310" i="1"/>
  <c r="J1309" i="1"/>
  <c r="H1309" i="1"/>
  <c r="J1306" i="1"/>
  <c r="H1306" i="1"/>
  <c r="J1305" i="1"/>
  <c r="H1305" i="1"/>
  <c r="J1304" i="1"/>
  <c r="H1304" i="1"/>
  <c r="J1301" i="1"/>
  <c r="H1301" i="1"/>
  <c r="J1300" i="1"/>
  <c r="H1300" i="1"/>
  <c r="J1299" i="1"/>
  <c r="H1299" i="1"/>
  <c r="J1296" i="1"/>
  <c r="H1296" i="1"/>
  <c r="J1295" i="1"/>
  <c r="H1295" i="1"/>
  <c r="D1295" i="1"/>
  <c r="J1294" i="1"/>
  <c r="H1294" i="1"/>
  <c r="J1291" i="1"/>
  <c r="H1291" i="1"/>
  <c r="D1291" i="1"/>
  <c r="J1290" i="1"/>
  <c r="H1290" i="1"/>
  <c r="D1290" i="1"/>
  <c r="J1289" i="1"/>
  <c r="H1289" i="1"/>
  <c r="D1289" i="1"/>
  <c r="J1286" i="1"/>
  <c r="H1286" i="1"/>
  <c r="D1286" i="1"/>
  <c r="J1285" i="1"/>
  <c r="H1285" i="1"/>
  <c r="D1285" i="1"/>
  <c r="J1284" i="1"/>
  <c r="H1284" i="1"/>
  <c r="J1277" i="1"/>
  <c r="H1277" i="1"/>
  <c r="J1276" i="1"/>
  <c r="H1276" i="1"/>
  <c r="J1275" i="1"/>
  <c r="J1272" i="1"/>
  <c r="H1272" i="1"/>
  <c r="J1271" i="1"/>
  <c r="I1271" i="1"/>
  <c r="H1271" i="1"/>
  <c r="J1270" i="1"/>
  <c r="I1270" i="1"/>
  <c r="H1270" i="1"/>
  <c r="J1262" i="1"/>
  <c r="H1262" i="1"/>
  <c r="J1261" i="1"/>
  <c r="H1261" i="1"/>
  <c r="J1260" i="1"/>
  <c r="H1260" i="1"/>
  <c r="J1258" i="1"/>
  <c r="I1258" i="1"/>
  <c r="H1258" i="1"/>
  <c r="F1258" i="1"/>
  <c r="E1258" i="1"/>
  <c r="D1258" i="1"/>
  <c r="J1257" i="1"/>
  <c r="I1257" i="1"/>
  <c r="H1257" i="1"/>
  <c r="F1257" i="1"/>
  <c r="E1257" i="1"/>
  <c r="D1257" i="1"/>
  <c r="J1256" i="1"/>
  <c r="I1256" i="1"/>
  <c r="H1256" i="1"/>
  <c r="F1256" i="1"/>
  <c r="E1256" i="1"/>
  <c r="D1256" i="1"/>
  <c r="J1253" i="1"/>
  <c r="H1253" i="1"/>
  <c r="C1253" i="1"/>
  <c r="J1252" i="1"/>
  <c r="H1252" i="1"/>
  <c r="J1251" i="1"/>
  <c r="H1251" i="1"/>
  <c r="J1248" i="1"/>
  <c r="H1248" i="1"/>
  <c r="J1247" i="1"/>
  <c r="H1247" i="1"/>
  <c r="J1246" i="1"/>
  <c r="H1246" i="1"/>
  <c r="J1243" i="1"/>
  <c r="H1243" i="1"/>
  <c r="J1242" i="1"/>
  <c r="H1242" i="1"/>
  <c r="J1241" i="1"/>
  <c r="H1241" i="1"/>
  <c r="J1238" i="1"/>
  <c r="H1238" i="1"/>
  <c r="J1237" i="1"/>
  <c r="H1237" i="1"/>
  <c r="J1236" i="1"/>
  <c r="H1236" i="1"/>
  <c r="J1233" i="1"/>
  <c r="H1233" i="1"/>
  <c r="J1232" i="1"/>
  <c r="H1232" i="1"/>
  <c r="J1231" i="1"/>
  <c r="H1231" i="1"/>
  <c r="J1222" i="1"/>
  <c r="H1222" i="1"/>
  <c r="F1222" i="1"/>
  <c r="D1222" i="1"/>
  <c r="J1221" i="1"/>
  <c r="H1221" i="1"/>
  <c r="D1221" i="1"/>
  <c r="J1220" i="1"/>
  <c r="H1220" i="1"/>
  <c r="D1220" i="1"/>
  <c r="J1217" i="1"/>
  <c r="H1217" i="1"/>
  <c r="F1217" i="1"/>
  <c r="D1217" i="1"/>
  <c r="J1216" i="1"/>
  <c r="H1216" i="1"/>
  <c r="F1216" i="1"/>
  <c r="D1216" i="1"/>
  <c r="J1215" i="1"/>
  <c r="H1215" i="1"/>
  <c r="F1215" i="1"/>
  <c r="D1215" i="1"/>
  <c r="J1213" i="1"/>
  <c r="H1213" i="1"/>
  <c r="D1213" i="1"/>
  <c r="J1212" i="1"/>
  <c r="H1212" i="1"/>
  <c r="D1212" i="1"/>
  <c r="J1211" i="1"/>
  <c r="H1211" i="1"/>
  <c r="J1208" i="1"/>
  <c r="H1208" i="1"/>
  <c r="F1208" i="1"/>
  <c r="J1207" i="1"/>
  <c r="H1207" i="1"/>
  <c r="F1207" i="1"/>
  <c r="J1206" i="1"/>
  <c r="H1206" i="1"/>
  <c r="F1206" i="1"/>
  <c r="J1204" i="1"/>
  <c r="H1204" i="1"/>
  <c r="D1204" i="1"/>
  <c r="J1203" i="1"/>
  <c r="H1203" i="1"/>
  <c r="J1202" i="1"/>
  <c r="H1202" i="1"/>
  <c r="J1199" i="1"/>
  <c r="H1199" i="1"/>
  <c r="D1199" i="1"/>
  <c r="J1198" i="1"/>
  <c r="H1198" i="1"/>
  <c r="D1198" i="1"/>
  <c r="J1197" i="1"/>
  <c r="H1197" i="1"/>
  <c r="D1197" i="1"/>
  <c r="J1194" i="1"/>
  <c r="H1194" i="1"/>
  <c r="J1193" i="1"/>
  <c r="H1193" i="1"/>
  <c r="J1192" i="1"/>
  <c r="H1192" i="1"/>
  <c r="J1189" i="1"/>
  <c r="H1189" i="1"/>
  <c r="J1188" i="1"/>
  <c r="H1188" i="1"/>
  <c r="J1187" i="1"/>
  <c r="H1187" i="1"/>
  <c r="J1184" i="1"/>
  <c r="H1184" i="1"/>
  <c r="G1184" i="1"/>
  <c r="E1184" i="1"/>
  <c r="J1183" i="1"/>
  <c r="H1183" i="1"/>
  <c r="J1182" i="1"/>
  <c r="H1182" i="1"/>
  <c r="J1168" i="1"/>
  <c r="H1168" i="1"/>
  <c r="F1168" i="1"/>
  <c r="D1168" i="1"/>
  <c r="J1167" i="1"/>
  <c r="H1167" i="1"/>
  <c r="F1167" i="1"/>
  <c r="D1167" i="1"/>
  <c r="J1166" i="1"/>
  <c r="H1166" i="1"/>
  <c r="F1166" i="1"/>
  <c r="D1166" i="1"/>
  <c r="J1163" i="1"/>
  <c r="H1163" i="1"/>
  <c r="F1163" i="1"/>
  <c r="D1163" i="1"/>
  <c r="J1162" i="1"/>
  <c r="H1162" i="1"/>
  <c r="F1162" i="1"/>
  <c r="D1162" i="1"/>
  <c r="J1161" i="1"/>
  <c r="H1161" i="1"/>
  <c r="F1161" i="1"/>
  <c r="D1161" i="1"/>
  <c r="J1158" i="1"/>
  <c r="H1158" i="1"/>
  <c r="J1157" i="1"/>
  <c r="H1157" i="1"/>
  <c r="J1156" i="1"/>
  <c r="H1156" i="1"/>
  <c r="J1153" i="1"/>
  <c r="I1153" i="1"/>
  <c r="H1153" i="1"/>
  <c r="G1153" i="1"/>
  <c r="J1152" i="1"/>
  <c r="I1152" i="1"/>
  <c r="H1152" i="1"/>
  <c r="G1152" i="1"/>
  <c r="J1151" i="1"/>
  <c r="I1151" i="1"/>
  <c r="H1151" i="1"/>
  <c r="G1151" i="1"/>
  <c r="J1149" i="1"/>
  <c r="I1149" i="1"/>
  <c r="H1149" i="1"/>
  <c r="G1149" i="1"/>
  <c r="J1148" i="1"/>
  <c r="I1148" i="1"/>
  <c r="H1148" i="1"/>
  <c r="G1148" i="1"/>
  <c r="J1147" i="1"/>
  <c r="I1147" i="1"/>
  <c r="H1147" i="1"/>
  <c r="G1147" i="1"/>
  <c r="J1144" i="1"/>
  <c r="I1144" i="1"/>
  <c r="H1144" i="1"/>
  <c r="G1144" i="1"/>
  <c r="J1143" i="1"/>
  <c r="H1143" i="1"/>
  <c r="J1142" i="1"/>
  <c r="H1142" i="1"/>
  <c r="J1141" i="1"/>
  <c r="H1141" i="1"/>
  <c r="K990" i="1"/>
  <c r="J990" i="1"/>
  <c r="I990" i="1"/>
  <c r="H990" i="1"/>
  <c r="G990" i="1"/>
  <c r="F990" i="1"/>
  <c r="E990" i="1"/>
  <c r="D990" i="1"/>
  <c r="K989" i="1"/>
  <c r="J989" i="1"/>
  <c r="I989" i="1"/>
  <c r="H989" i="1"/>
  <c r="G989" i="1"/>
  <c r="F989" i="1"/>
  <c r="E989" i="1"/>
  <c r="D989" i="1"/>
  <c r="K988" i="1"/>
  <c r="J988" i="1"/>
  <c r="I988" i="1"/>
  <c r="H988" i="1"/>
  <c r="G988" i="1"/>
  <c r="F988" i="1"/>
  <c r="E988" i="1"/>
  <c r="D988" i="1"/>
  <c r="K985" i="1"/>
  <c r="J985" i="1"/>
  <c r="I985" i="1"/>
  <c r="H985" i="1"/>
  <c r="G985" i="1"/>
  <c r="F985" i="1"/>
  <c r="E985" i="1"/>
  <c r="D985" i="1"/>
  <c r="K984" i="1"/>
  <c r="J984" i="1"/>
  <c r="I984" i="1"/>
  <c r="H984" i="1"/>
  <c r="G984" i="1"/>
  <c r="F984" i="1"/>
  <c r="E984" i="1"/>
  <c r="D984" i="1"/>
  <c r="K983" i="1"/>
  <c r="J983" i="1"/>
  <c r="I983" i="1"/>
  <c r="H983" i="1"/>
  <c r="G983" i="1"/>
  <c r="F983" i="1"/>
  <c r="E983" i="1"/>
  <c r="D983" i="1"/>
  <c r="K980" i="1"/>
  <c r="J980" i="1"/>
  <c r="I980" i="1"/>
  <c r="H980" i="1"/>
  <c r="G980" i="1"/>
  <c r="F980" i="1"/>
  <c r="E980" i="1"/>
  <c r="D980" i="1"/>
  <c r="K979" i="1"/>
  <c r="J979" i="1"/>
  <c r="I979" i="1"/>
  <c r="H979" i="1"/>
  <c r="G979" i="1"/>
  <c r="F979" i="1"/>
  <c r="E979" i="1"/>
  <c r="D979" i="1"/>
  <c r="K978" i="1"/>
  <c r="J978" i="1"/>
  <c r="I978" i="1"/>
  <c r="H978" i="1"/>
  <c r="G978" i="1"/>
  <c r="F978" i="1"/>
  <c r="E978" i="1"/>
  <c r="D978" i="1"/>
  <c r="K975" i="1"/>
  <c r="J975" i="1"/>
  <c r="I975" i="1"/>
  <c r="H975" i="1"/>
  <c r="G975" i="1"/>
  <c r="F975" i="1"/>
  <c r="E975" i="1"/>
  <c r="D975" i="1"/>
  <c r="K974" i="1"/>
  <c r="I974" i="1"/>
  <c r="H974" i="1"/>
  <c r="G974" i="1"/>
  <c r="F974" i="1"/>
  <c r="E974" i="1"/>
  <c r="D974" i="1"/>
  <c r="K973" i="1"/>
  <c r="I973" i="1"/>
  <c r="H973" i="1"/>
  <c r="G973" i="1"/>
  <c r="F973" i="1"/>
  <c r="E973" i="1"/>
  <c r="D973" i="1"/>
  <c r="K970" i="1"/>
  <c r="J970" i="1"/>
  <c r="I970" i="1"/>
  <c r="H970" i="1"/>
  <c r="G970" i="1"/>
  <c r="F970" i="1"/>
  <c r="E970" i="1"/>
  <c r="D970" i="1"/>
  <c r="K969" i="1"/>
  <c r="J969" i="1"/>
  <c r="I969" i="1"/>
  <c r="H969" i="1"/>
  <c r="G969" i="1"/>
  <c r="F969" i="1"/>
  <c r="E969" i="1"/>
  <c r="D969" i="1"/>
  <c r="K968" i="1"/>
  <c r="J968" i="1"/>
  <c r="I968" i="1"/>
  <c r="H968" i="1"/>
  <c r="G968" i="1"/>
  <c r="F968" i="1"/>
  <c r="E968" i="1"/>
  <c r="D968" i="1"/>
  <c r="K965" i="1"/>
  <c r="K964" i="1"/>
  <c r="K963" i="1"/>
  <c r="K960" i="1"/>
  <c r="J960" i="1"/>
  <c r="I960" i="1"/>
  <c r="H960" i="1"/>
  <c r="G960" i="1"/>
  <c r="F960" i="1"/>
  <c r="E960" i="1"/>
  <c r="D960" i="1"/>
  <c r="K959" i="1"/>
  <c r="J959" i="1"/>
  <c r="I959" i="1"/>
  <c r="H959" i="1"/>
  <c r="G959" i="1"/>
  <c r="F959" i="1"/>
  <c r="E959" i="1"/>
  <c r="D959" i="1"/>
  <c r="K958" i="1"/>
  <c r="J958" i="1"/>
  <c r="I958" i="1"/>
  <c r="H958" i="1"/>
  <c r="G958" i="1"/>
  <c r="F958" i="1"/>
  <c r="E958" i="1"/>
  <c r="D958" i="1"/>
  <c r="J950" i="1"/>
  <c r="I950" i="1"/>
  <c r="H950" i="1"/>
  <c r="G950" i="1"/>
  <c r="F950" i="1"/>
  <c r="E950" i="1"/>
  <c r="D950" i="1"/>
  <c r="K949" i="1"/>
  <c r="J949" i="1"/>
  <c r="I949" i="1"/>
  <c r="H949" i="1"/>
  <c r="G949" i="1"/>
  <c r="F949" i="1"/>
  <c r="E949" i="1"/>
  <c r="D949" i="1"/>
  <c r="K948" i="1"/>
  <c r="J948" i="1"/>
  <c r="I948" i="1"/>
  <c r="H948" i="1"/>
  <c r="G948" i="1"/>
  <c r="F948" i="1"/>
  <c r="E948" i="1"/>
  <c r="D948" i="1"/>
  <c r="I945" i="1"/>
  <c r="H945" i="1"/>
  <c r="G945" i="1"/>
  <c r="E945" i="1"/>
  <c r="D945" i="1"/>
  <c r="I944" i="1"/>
  <c r="H944" i="1"/>
  <c r="G944" i="1"/>
  <c r="F944" i="1"/>
  <c r="E944" i="1"/>
  <c r="D944" i="1"/>
  <c r="I943" i="1"/>
  <c r="H943" i="1"/>
  <c r="E943" i="1"/>
  <c r="D943" i="1"/>
  <c r="I940" i="1"/>
  <c r="H940" i="1"/>
  <c r="G940" i="1"/>
  <c r="F940" i="1"/>
  <c r="E940" i="1"/>
  <c r="D940" i="1"/>
  <c r="I939" i="1"/>
  <c r="H939" i="1"/>
  <c r="G939" i="1"/>
  <c r="F939" i="1"/>
  <c r="E939" i="1"/>
  <c r="D939" i="1"/>
  <c r="I938" i="1"/>
  <c r="H938" i="1"/>
  <c r="G938" i="1"/>
  <c r="F938" i="1"/>
  <c r="E938" i="1"/>
  <c r="D938" i="1"/>
  <c r="I935" i="1"/>
  <c r="H935" i="1"/>
  <c r="G935" i="1"/>
  <c r="E935" i="1"/>
  <c r="D935" i="1"/>
  <c r="I934" i="1"/>
  <c r="H934" i="1"/>
  <c r="G934" i="1"/>
  <c r="E934" i="1"/>
  <c r="D934" i="1"/>
  <c r="I933" i="1"/>
  <c r="H933" i="1"/>
  <c r="G933" i="1"/>
  <c r="E933" i="1"/>
  <c r="D933" i="1"/>
  <c r="I930" i="1"/>
  <c r="H930" i="1"/>
  <c r="G930" i="1"/>
  <c r="E930" i="1"/>
  <c r="K929" i="1"/>
  <c r="I929" i="1"/>
  <c r="H929" i="1"/>
  <c r="G929" i="1"/>
  <c r="E929" i="1"/>
  <c r="K928" i="1"/>
  <c r="I928" i="1"/>
  <c r="H928" i="1"/>
  <c r="G928" i="1"/>
  <c r="E928" i="1"/>
  <c r="K925" i="1"/>
  <c r="I925" i="1"/>
  <c r="H925" i="1"/>
  <c r="G925" i="1"/>
  <c r="E925" i="1"/>
  <c r="K924" i="1"/>
  <c r="J924" i="1"/>
  <c r="I924" i="1"/>
  <c r="H924" i="1"/>
  <c r="G924" i="1"/>
  <c r="E924" i="1"/>
  <c r="K923" i="1"/>
  <c r="I923" i="1"/>
  <c r="H923" i="1"/>
  <c r="G923" i="1"/>
  <c r="E923" i="1"/>
  <c r="K920" i="1"/>
  <c r="I920" i="1"/>
  <c r="H920" i="1"/>
  <c r="G920" i="1"/>
  <c r="E920" i="1"/>
  <c r="K919" i="1"/>
  <c r="I919" i="1"/>
  <c r="H919" i="1"/>
  <c r="G919" i="1"/>
  <c r="E919" i="1"/>
  <c r="K918" i="1"/>
  <c r="I918" i="1"/>
  <c r="H918" i="1"/>
  <c r="G918" i="1"/>
  <c r="E918" i="1"/>
  <c r="K915" i="1"/>
  <c r="I915" i="1"/>
  <c r="H915" i="1"/>
  <c r="G915" i="1"/>
  <c r="E915" i="1"/>
  <c r="K914" i="1"/>
  <c r="I914" i="1"/>
  <c r="H914" i="1"/>
  <c r="G914" i="1"/>
  <c r="E914" i="1"/>
  <c r="K913" i="1"/>
  <c r="I913" i="1"/>
  <c r="H913" i="1"/>
  <c r="G913" i="1"/>
  <c r="E913" i="1"/>
  <c r="K910" i="1"/>
  <c r="I910" i="1"/>
  <c r="G910" i="1"/>
  <c r="E910" i="1"/>
  <c r="K909" i="1"/>
  <c r="I909" i="1"/>
  <c r="G909" i="1"/>
  <c r="E909" i="1"/>
  <c r="K908" i="1"/>
  <c r="I908" i="1"/>
  <c r="G908" i="1"/>
  <c r="E908" i="1"/>
  <c r="G905" i="1"/>
  <c r="E905" i="1"/>
  <c r="G904" i="1"/>
  <c r="E904" i="1"/>
  <c r="G903" i="1"/>
  <c r="E903" i="1"/>
  <c r="G900" i="1"/>
  <c r="E900" i="1"/>
  <c r="G899" i="1"/>
  <c r="E899" i="1"/>
  <c r="G898" i="1"/>
  <c r="E898" i="1"/>
  <c r="G891" i="1"/>
  <c r="E891" i="1"/>
  <c r="G890" i="1"/>
  <c r="E890" i="1"/>
  <c r="G889" i="1"/>
  <c r="E889" i="1"/>
  <c r="G887" i="1"/>
  <c r="E887" i="1"/>
  <c r="G886" i="1"/>
  <c r="E886" i="1"/>
  <c r="G885" i="1"/>
  <c r="E885" i="1"/>
  <c r="E882" i="1"/>
  <c r="E881" i="1"/>
  <c r="E880" i="1"/>
  <c r="E877" i="1"/>
  <c r="E876" i="1"/>
  <c r="E875" i="1"/>
  <c r="E872" i="1"/>
  <c r="E871" i="1"/>
  <c r="E870" i="1"/>
  <c r="G867" i="1"/>
  <c r="E867" i="1"/>
  <c r="G866" i="1"/>
  <c r="E866" i="1"/>
  <c r="G865" i="1"/>
  <c r="E865" i="1"/>
  <c r="G862" i="1"/>
  <c r="E862" i="1"/>
  <c r="G861" i="1"/>
  <c r="E861" i="1"/>
  <c r="G860" i="1"/>
  <c r="E860" i="1"/>
  <c r="G857" i="1"/>
  <c r="E857" i="1"/>
  <c r="G856" i="1"/>
  <c r="E856" i="1"/>
  <c r="G855" i="1"/>
  <c r="E855" i="1"/>
  <c r="E852" i="1"/>
  <c r="E851" i="1"/>
  <c r="E850" i="1"/>
  <c r="E847" i="1"/>
  <c r="E846" i="1"/>
  <c r="E845" i="1"/>
  <c r="E842" i="1"/>
  <c r="E841" i="1"/>
  <c r="E840" i="1"/>
  <c r="E834" i="1"/>
  <c r="E833" i="1"/>
  <c r="E832" i="1"/>
  <c r="G829" i="1"/>
  <c r="E829" i="1"/>
  <c r="G828" i="1"/>
  <c r="E828" i="1"/>
  <c r="E827" i="1"/>
  <c r="G824" i="1"/>
  <c r="E824" i="1"/>
  <c r="G823" i="1"/>
  <c r="E823" i="1"/>
  <c r="G822" i="1"/>
  <c r="E822" i="1"/>
  <c r="G819" i="1"/>
  <c r="E819" i="1"/>
  <c r="G818" i="1"/>
  <c r="E818" i="1"/>
  <c r="G817" i="1"/>
  <c r="E817" i="1"/>
  <c r="G814" i="1"/>
  <c r="E814" i="1"/>
  <c r="G813" i="1"/>
  <c r="E813" i="1"/>
  <c r="G812" i="1"/>
  <c r="E812" i="1"/>
  <c r="G809" i="1"/>
  <c r="E809" i="1"/>
  <c r="G808" i="1"/>
  <c r="E808" i="1"/>
  <c r="G807" i="1"/>
  <c r="E807" i="1"/>
  <c r="G804" i="1"/>
  <c r="E804" i="1"/>
  <c r="G803" i="1"/>
  <c r="E803" i="1"/>
  <c r="E802" i="1"/>
  <c r="G799" i="1"/>
  <c r="E799" i="1"/>
  <c r="G798" i="1"/>
  <c r="E798" i="1"/>
  <c r="G797" i="1"/>
  <c r="E797" i="1"/>
  <c r="G794" i="1"/>
  <c r="E794" i="1"/>
  <c r="G793" i="1"/>
  <c r="E793" i="1"/>
  <c r="G792" i="1"/>
  <c r="E792" i="1"/>
  <c r="G789" i="1"/>
  <c r="E789" i="1"/>
  <c r="G788" i="1"/>
  <c r="E788" i="1"/>
  <c r="G787" i="1"/>
  <c r="E787" i="1"/>
  <c r="G781" i="1"/>
  <c r="E781" i="1"/>
  <c r="G780" i="1"/>
  <c r="E780" i="1"/>
  <c r="G779" i="1"/>
  <c r="E779" i="1"/>
  <c r="G776" i="1"/>
  <c r="E776" i="1"/>
  <c r="G775" i="1"/>
  <c r="E775" i="1"/>
  <c r="G774" i="1"/>
  <c r="E774" i="1"/>
  <c r="G771" i="1"/>
  <c r="G770" i="1"/>
  <c r="G769" i="1"/>
  <c r="G766" i="1"/>
  <c r="G765" i="1"/>
  <c r="G764" i="1"/>
  <c r="G761" i="1"/>
  <c r="G760" i="1"/>
  <c r="G759" i="1"/>
  <c r="G756" i="1"/>
  <c r="G754" i="1"/>
  <c r="G751" i="1"/>
  <c r="G750" i="1"/>
  <c r="G749" i="1"/>
  <c r="G746" i="1"/>
  <c r="G745" i="1"/>
  <c r="G744" i="1"/>
  <c r="G741" i="1"/>
  <c r="G740" i="1"/>
  <c r="G739" i="1"/>
  <c r="G736" i="1"/>
  <c r="G735" i="1"/>
  <c r="G734" i="1"/>
  <c r="G717" i="1"/>
  <c r="G716" i="1"/>
  <c r="G715" i="1"/>
  <c r="G712" i="1"/>
  <c r="G711" i="1"/>
  <c r="G710" i="1"/>
  <c r="G707" i="1"/>
  <c r="F707" i="1"/>
  <c r="G706" i="1"/>
  <c r="G705" i="1"/>
  <c r="G697" i="1"/>
  <c r="G692" i="1"/>
  <c r="G682" i="1"/>
  <c r="F642" i="1"/>
  <c r="I603" i="1"/>
  <c r="I602" i="1"/>
  <c r="I601" i="1"/>
  <c r="I598" i="1"/>
  <c r="G598" i="1"/>
  <c r="F598" i="1"/>
  <c r="E598" i="1"/>
  <c r="I597" i="1"/>
  <c r="I596" i="1"/>
  <c r="H438" i="1"/>
  <c r="G438" i="1"/>
  <c r="F438" i="1"/>
  <c r="H402" i="1"/>
  <c r="G402" i="1"/>
  <c r="F402" i="1"/>
  <c r="D401" i="1"/>
  <c r="D400" i="1"/>
  <c r="E399" i="1"/>
  <c r="E402" i="1" s="1"/>
  <c r="D399" i="1"/>
  <c r="G397" i="1"/>
  <c r="F397" i="1"/>
  <c r="D397" i="1"/>
  <c r="E396" i="1"/>
  <c r="E395" i="1"/>
  <c r="H394" i="1"/>
  <c r="H397" i="1" s="1"/>
  <c r="E394" i="1"/>
  <c r="H392" i="1"/>
  <c r="G392" i="1"/>
  <c r="F392" i="1"/>
  <c r="D392" i="1"/>
  <c r="E391" i="1"/>
  <c r="E390" i="1"/>
  <c r="E389" i="1"/>
  <c r="G387" i="1"/>
  <c r="F387" i="1"/>
  <c r="D387" i="1"/>
  <c r="H386" i="1"/>
  <c r="E386" i="1"/>
  <c r="H385" i="1"/>
  <c r="E385" i="1"/>
  <c r="E384" i="1"/>
  <c r="H378" i="1"/>
  <c r="G378" i="1"/>
  <c r="F378" i="1"/>
  <c r="D378" i="1"/>
  <c r="E377" i="1"/>
  <c r="E376" i="1"/>
  <c r="E375" i="1"/>
  <c r="H373" i="1"/>
  <c r="G373" i="1"/>
  <c r="F373" i="1"/>
  <c r="D373" i="1"/>
  <c r="E372" i="1"/>
  <c r="E371" i="1"/>
  <c r="E370" i="1"/>
  <c r="H368" i="1"/>
  <c r="G368" i="1"/>
  <c r="F368" i="1"/>
  <c r="D368" i="1"/>
  <c r="E367" i="1"/>
  <c r="E366" i="1"/>
  <c r="E365" i="1"/>
  <c r="G363" i="1"/>
  <c r="F363" i="1"/>
  <c r="D363" i="1"/>
  <c r="H362" i="1"/>
  <c r="E362" i="1"/>
  <c r="H361" i="1"/>
  <c r="E361" i="1"/>
  <c r="H360" i="1"/>
  <c r="E360" i="1"/>
  <c r="G357" i="1"/>
  <c r="F357" i="1"/>
  <c r="D357" i="1"/>
  <c r="H356" i="1"/>
  <c r="E356" i="1"/>
  <c r="H355" i="1"/>
  <c r="E355" i="1"/>
  <c r="H354" i="1"/>
  <c r="G352" i="1"/>
  <c r="F352" i="1"/>
  <c r="D352" i="1"/>
  <c r="H351" i="1"/>
  <c r="E351" i="1"/>
  <c r="H350" i="1"/>
  <c r="E350" i="1"/>
  <c r="H349" i="1"/>
  <c r="E349" i="1"/>
  <c r="H347" i="1"/>
  <c r="G347" i="1"/>
  <c r="F347" i="1"/>
  <c r="D347" i="1"/>
  <c r="E346" i="1"/>
  <c r="E345" i="1"/>
  <c r="E344" i="1"/>
  <c r="H342" i="1"/>
  <c r="G342" i="1"/>
  <c r="F342" i="1"/>
  <c r="D342" i="1"/>
  <c r="E341" i="1"/>
  <c r="E340" i="1"/>
  <c r="E339" i="1"/>
  <c r="H337" i="1"/>
  <c r="G337" i="1"/>
  <c r="F337" i="1"/>
  <c r="D337" i="1"/>
  <c r="E336" i="1"/>
  <c r="E337" i="1" s="1"/>
  <c r="H332" i="1"/>
  <c r="G332" i="1"/>
  <c r="F332" i="1"/>
  <c r="D332" i="1"/>
  <c r="E331" i="1"/>
  <c r="E330" i="1"/>
  <c r="E329" i="1"/>
  <c r="H327" i="1"/>
  <c r="G327" i="1"/>
  <c r="F327" i="1"/>
  <c r="D327" i="1"/>
  <c r="E325" i="1"/>
  <c r="E327" i="1" s="1"/>
  <c r="H322" i="1"/>
  <c r="G322" i="1"/>
  <c r="F322" i="1"/>
  <c r="D322" i="1"/>
  <c r="E321" i="1"/>
  <c r="E320" i="1"/>
  <c r="E319" i="1"/>
  <c r="H317" i="1"/>
  <c r="G317" i="1"/>
  <c r="F317" i="1"/>
  <c r="D317" i="1"/>
  <c r="E316" i="1"/>
  <c r="E315" i="1"/>
  <c r="E314" i="1"/>
  <c r="H312" i="1"/>
  <c r="G312" i="1"/>
  <c r="F312" i="1"/>
  <c r="D312" i="1"/>
  <c r="E311" i="1"/>
  <c r="E310" i="1"/>
  <c r="E309" i="1"/>
  <c r="H307" i="1"/>
  <c r="G307" i="1"/>
  <c r="F307" i="1"/>
  <c r="D307" i="1"/>
  <c r="E306" i="1"/>
  <c r="E305" i="1"/>
  <c r="E304" i="1"/>
  <c r="H302" i="1"/>
  <c r="G302" i="1"/>
  <c r="F302" i="1"/>
  <c r="D302" i="1"/>
  <c r="E300" i="1"/>
  <c r="E299" i="1"/>
  <c r="E298" i="1"/>
  <c r="H296" i="1"/>
  <c r="G296" i="1"/>
  <c r="F296" i="1"/>
  <c r="E295" i="1"/>
  <c r="E294" i="1"/>
  <c r="E293" i="1"/>
  <c r="D293" i="1"/>
  <c r="D296" i="1" s="1"/>
  <c r="H291" i="1"/>
  <c r="G291" i="1"/>
  <c r="F291" i="1"/>
  <c r="D291" i="1"/>
  <c r="E290" i="1"/>
  <c r="E289" i="1"/>
  <c r="H283" i="1"/>
  <c r="G283" i="1"/>
  <c r="F283" i="1"/>
  <c r="D283" i="1"/>
  <c r="E282" i="1"/>
  <c r="E281" i="1"/>
  <c r="E280" i="1"/>
  <c r="H278" i="1"/>
  <c r="G278" i="1"/>
  <c r="F278" i="1"/>
  <c r="D278" i="1"/>
  <c r="E277" i="1"/>
  <c r="E276" i="1"/>
  <c r="E275" i="1"/>
  <c r="H273" i="1"/>
  <c r="G273" i="1"/>
  <c r="F273" i="1"/>
  <c r="D273" i="1"/>
  <c r="E272" i="1"/>
  <c r="E271" i="1"/>
  <c r="E270" i="1"/>
  <c r="H268" i="1"/>
  <c r="G268" i="1"/>
  <c r="F268" i="1"/>
  <c r="D268" i="1"/>
  <c r="E267" i="1"/>
  <c r="E266" i="1"/>
  <c r="E265" i="1"/>
  <c r="H263" i="1"/>
  <c r="G263" i="1"/>
  <c r="F263" i="1"/>
  <c r="E263" i="1"/>
  <c r="D263" i="1"/>
  <c r="H258" i="1"/>
  <c r="G258" i="1"/>
  <c r="F258" i="1"/>
  <c r="D258" i="1"/>
  <c r="E257" i="1"/>
  <c r="E258" i="1" s="1"/>
  <c r="H253" i="1"/>
  <c r="G253" i="1"/>
  <c r="F253" i="1"/>
  <c r="E252" i="1"/>
  <c r="D252" i="1"/>
  <c r="E251" i="1"/>
  <c r="D251" i="1"/>
  <c r="E250" i="1"/>
  <c r="H248" i="1"/>
  <c r="G248" i="1"/>
  <c r="D248" i="1"/>
  <c r="E247" i="1"/>
  <c r="F246" i="1"/>
  <c r="F248" i="1" s="1"/>
  <c r="E246" i="1"/>
  <c r="E245" i="1"/>
  <c r="H243" i="1"/>
  <c r="G243" i="1"/>
  <c r="F243" i="1"/>
  <c r="D243" i="1"/>
  <c r="E242" i="1"/>
  <c r="E241" i="1"/>
  <c r="E240" i="1"/>
  <c r="H238" i="1"/>
  <c r="G238" i="1"/>
  <c r="F238" i="1"/>
  <c r="D238" i="1"/>
  <c r="E236" i="1"/>
  <c r="E235" i="1"/>
  <c r="H232" i="1"/>
  <c r="G232" i="1"/>
  <c r="F232" i="1"/>
  <c r="D232" i="1"/>
  <c r="E231" i="1"/>
  <c r="E230" i="1"/>
  <c r="H225" i="1"/>
  <c r="D225" i="1"/>
  <c r="G224" i="1"/>
  <c r="E224" i="1"/>
  <c r="G223" i="1"/>
  <c r="F223" i="1"/>
  <c r="F225" i="1" s="1"/>
  <c r="E223" i="1"/>
  <c r="G222" i="1"/>
  <c r="E222" i="1"/>
  <c r="H220" i="1"/>
  <c r="G220" i="1"/>
  <c r="F220" i="1"/>
  <c r="D220" i="1"/>
  <c r="E219" i="1"/>
  <c r="E218" i="1"/>
  <c r="E217" i="1"/>
  <c r="G215" i="1"/>
  <c r="F215" i="1"/>
  <c r="D215" i="1"/>
  <c r="E214" i="1"/>
  <c r="H213" i="1"/>
  <c r="H215" i="1" s="1"/>
  <c r="E213" i="1"/>
  <c r="H210" i="1"/>
  <c r="G210" i="1"/>
  <c r="F210" i="1"/>
  <c r="D210" i="1"/>
  <c r="E209" i="1"/>
  <c r="E208" i="1"/>
  <c r="E207" i="1"/>
  <c r="H205" i="1"/>
  <c r="G205" i="1"/>
  <c r="F205" i="1"/>
  <c r="D205" i="1"/>
  <c r="E204" i="1"/>
  <c r="E203" i="1"/>
  <c r="E202" i="1"/>
  <c r="H200" i="1"/>
  <c r="G200" i="1"/>
  <c r="F200" i="1"/>
  <c r="D200" i="1"/>
  <c r="E199" i="1"/>
  <c r="E198" i="1"/>
  <c r="E197" i="1"/>
  <c r="H195" i="1"/>
  <c r="G195" i="1"/>
  <c r="F195" i="1"/>
  <c r="E195" i="1"/>
  <c r="D195" i="1"/>
  <c r="H190" i="1"/>
  <c r="G190" i="1"/>
  <c r="F190" i="1"/>
  <c r="D190" i="1"/>
  <c r="E189" i="1"/>
  <c r="E188" i="1"/>
  <c r="E187" i="1"/>
  <c r="H185" i="1"/>
  <c r="G185" i="1"/>
  <c r="F185" i="1"/>
  <c r="D185" i="1"/>
  <c r="E184" i="1"/>
  <c r="E183" i="1"/>
  <c r="E182" i="1"/>
  <c r="H180" i="1"/>
  <c r="G180" i="1"/>
  <c r="F180" i="1"/>
  <c r="E179" i="1"/>
  <c r="D179" i="1"/>
  <c r="D180" i="1" s="1"/>
  <c r="E178" i="1"/>
  <c r="E177" i="1"/>
  <c r="H175" i="1"/>
  <c r="G175" i="1"/>
  <c r="F175" i="1"/>
  <c r="D175" i="1"/>
  <c r="E170" i="1"/>
  <c r="E169" i="1"/>
  <c r="H161" i="1"/>
  <c r="G161" i="1"/>
  <c r="F161" i="1"/>
  <c r="D161" i="1"/>
  <c r="E159" i="1"/>
  <c r="E158" i="1"/>
  <c r="H156" i="1"/>
  <c r="G156" i="1"/>
  <c r="F156" i="1"/>
  <c r="D156" i="1"/>
  <c r="E155" i="1"/>
  <c r="E154" i="1"/>
  <c r="E153" i="1"/>
  <c r="H151" i="1"/>
  <c r="F151" i="1"/>
  <c r="D151" i="1"/>
  <c r="G150" i="1"/>
  <c r="E150" i="1"/>
  <c r="G149" i="1"/>
  <c r="E148" i="1"/>
  <c r="H146" i="1"/>
  <c r="G146" i="1"/>
  <c r="F146" i="1"/>
  <c r="D146" i="1"/>
  <c r="E144" i="1"/>
  <c r="E146" i="1" s="1"/>
  <c r="F141" i="1"/>
  <c r="H140" i="1"/>
  <c r="G140" i="1"/>
  <c r="E140" i="1"/>
  <c r="D140" i="1"/>
  <c r="H139" i="1"/>
  <c r="G139" i="1"/>
  <c r="E139" i="1"/>
  <c r="D139" i="1"/>
  <c r="H138" i="1"/>
  <c r="G138" i="1"/>
  <c r="E138" i="1"/>
  <c r="G136" i="1"/>
  <c r="F136" i="1"/>
  <c r="D136" i="1"/>
  <c r="H135" i="1"/>
  <c r="E135" i="1"/>
  <c r="H134" i="1"/>
  <c r="E134" i="1"/>
  <c r="H133" i="1"/>
  <c r="H131" i="1"/>
  <c r="G131" i="1"/>
  <c r="F131" i="1"/>
  <c r="D131" i="1"/>
  <c r="E130" i="1"/>
  <c r="E129" i="1"/>
  <c r="F126" i="1"/>
  <c r="E126" i="1"/>
  <c r="H125" i="1"/>
  <c r="G125" i="1"/>
  <c r="D125" i="1"/>
  <c r="H124" i="1"/>
  <c r="G124" i="1"/>
  <c r="D124" i="1"/>
  <c r="H123" i="1"/>
  <c r="G123" i="1"/>
  <c r="D123" i="1"/>
  <c r="H121" i="1"/>
  <c r="F121" i="1"/>
  <c r="E121" i="1"/>
  <c r="G120" i="1"/>
  <c r="G121" i="1" s="1"/>
  <c r="D120" i="1"/>
  <c r="D121" i="1" s="1"/>
  <c r="H116" i="1"/>
  <c r="G116" i="1"/>
  <c r="F116" i="1"/>
  <c r="E116" i="1"/>
  <c r="D116" i="1"/>
  <c r="H109" i="1"/>
  <c r="G109" i="1"/>
  <c r="F109" i="1"/>
  <c r="E109" i="1"/>
  <c r="D109" i="1"/>
  <c r="H104" i="1"/>
  <c r="G104" i="1"/>
  <c r="F104" i="1"/>
  <c r="E104" i="1"/>
  <c r="D104" i="1"/>
  <c r="H98" i="1"/>
  <c r="G98" i="1"/>
  <c r="F98" i="1"/>
  <c r="D98" i="1"/>
  <c r="E95" i="1"/>
  <c r="H93" i="1"/>
  <c r="G93" i="1"/>
  <c r="F93" i="1"/>
  <c r="E93" i="1"/>
  <c r="D93" i="1"/>
  <c r="H88" i="1"/>
  <c r="G88" i="1"/>
  <c r="F88" i="1"/>
  <c r="E88" i="1"/>
  <c r="D88" i="1"/>
  <c r="G83" i="1"/>
  <c r="F83" i="1"/>
  <c r="D83" i="1"/>
  <c r="H82" i="1"/>
  <c r="H83" i="1" s="1"/>
  <c r="E82" i="1"/>
  <c r="E83" i="1" s="1"/>
  <c r="H78" i="1"/>
  <c r="G78" i="1"/>
  <c r="F78" i="1"/>
  <c r="E78" i="1"/>
  <c r="D78" i="1"/>
  <c r="H73" i="1"/>
  <c r="G73" i="1"/>
  <c r="F73" i="1"/>
  <c r="E73" i="1"/>
  <c r="D73" i="1"/>
  <c r="M72" i="1"/>
  <c r="H68" i="1"/>
  <c r="G68" i="1"/>
  <c r="F68" i="1"/>
  <c r="E68" i="1"/>
  <c r="D68" i="1"/>
  <c r="H63" i="1"/>
  <c r="G63" i="1"/>
  <c r="F63" i="1"/>
  <c r="E63" i="1"/>
  <c r="D63" i="1"/>
  <c r="H54" i="1"/>
  <c r="G54" i="1"/>
  <c r="F54" i="1"/>
  <c r="E54" i="1"/>
  <c r="D54" i="1"/>
  <c r="H49" i="1"/>
  <c r="G49" i="1"/>
  <c r="F49" i="1"/>
  <c r="E49" i="1"/>
  <c r="D49" i="1"/>
  <c r="H44" i="1"/>
  <c r="G44" i="1"/>
  <c r="F44" i="1"/>
  <c r="E44" i="1"/>
  <c r="D44" i="1"/>
  <c r="H39" i="1"/>
  <c r="G39" i="1"/>
  <c r="F39" i="1"/>
  <c r="E39" i="1"/>
  <c r="D39" i="1"/>
  <c r="H33" i="1"/>
  <c r="G33" i="1"/>
  <c r="F33" i="1"/>
  <c r="E33" i="1"/>
  <c r="D33" i="1"/>
  <c r="H28" i="1"/>
  <c r="G28" i="1"/>
  <c r="F28" i="1"/>
  <c r="E28" i="1"/>
  <c r="D28" i="1"/>
  <c r="H23" i="1"/>
  <c r="G23" i="1"/>
  <c r="F23" i="1"/>
  <c r="E23" i="1"/>
  <c r="D23" i="1"/>
  <c r="H18" i="1"/>
  <c r="G18" i="1"/>
  <c r="F18" i="1"/>
  <c r="E18" i="1"/>
  <c r="D18" i="1"/>
  <c r="H13" i="1"/>
  <c r="G13" i="1"/>
  <c r="F13" i="1"/>
  <c r="E13" i="1"/>
  <c r="D13" i="1"/>
  <c r="C13" i="1"/>
  <c r="I9" i="1"/>
  <c r="C10" i="1" s="1"/>
  <c r="I10" i="1" s="1"/>
  <c r="C11" i="1" s="1"/>
  <c r="I11" i="1" s="1"/>
  <c r="C12" i="1" s="1"/>
  <c r="I12" i="1" s="1"/>
  <c r="C15" i="1" s="1"/>
  <c r="I15" i="1" s="1"/>
  <c r="C16" i="1" s="1"/>
  <c r="I16" i="1" s="1"/>
  <c r="C17" i="1" s="1"/>
  <c r="I17" i="1" s="1"/>
  <c r="C20" i="1" s="1"/>
  <c r="I20" i="1" s="1"/>
  <c r="C21" i="1" s="1"/>
  <c r="I21" i="1" s="1"/>
  <c r="C22" i="1" s="1"/>
  <c r="I22" i="1" s="1"/>
  <c r="C25" i="1" s="1"/>
  <c r="I25" i="1" s="1"/>
  <c r="C26" i="1" s="1"/>
  <c r="I26" i="1" s="1"/>
  <c r="C27" i="1" s="1"/>
  <c r="I27" i="1" s="1"/>
  <c r="C30" i="1" s="1"/>
  <c r="I30" i="1" s="1"/>
  <c r="C31" i="1" s="1"/>
  <c r="I31" i="1" s="1"/>
  <c r="C32" i="1" s="1"/>
  <c r="I32" i="1" s="1"/>
  <c r="C36" i="1" s="1"/>
  <c r="I36" i="1" s="1"/>
  <c r="C37" i="1" s="1"/>
  <c r="I37" i="1" s="1"/>
  <c r="C38" i="1" s="1"/>
  <c r="I38" i="1" s="1"/>
  <c r="C41" i="1" s="1"/>
  <c r="I41" i="1" s="1"/>
  <c r="C42" i="1" s="1"/>
  <c r="I42" i="1" s="1"/>
  <c r="C43" i="1" s="1"/>
  <c r="I43" i="1" s="1"/>
  <c r="C46" i="1" s="1"/>
  <c r="I46" i="1" s="1"/>
  <c r="C47" i="1" s="1"/>
  <c r="I47" i="1" s="1"/>
  <c r="C48" i="1" s="1"/>
  <c r="I48" i="1" s="1"/>
  <c r="C51" i="1" s="1"/>
  <c r="I51" i="1" s="1"/>
  <c r="C52" i="1" s="1"/>
  <c r="I52" i="1" s="1"/>
  <c r="C53" i="1" s="1"/>
  <c r="I53" i="1" s="1"/>
  <c r="C60" i="1" s="1"/>
  <c r="I60" i="1" s="1"/>
  <c r="C61" i="1" s="1"/>
  <c r="I61" i="1" s="1"/>
  <c r="C62" i="1" s="1"/>
  <c r="I62" i="1" s="1"/>
  <c r="C65" i="1" s="1"/>
  <c r="I65" i="1" s="1"/>
  <c r="C66" i="1" s="1"/>
  <c r="I66" i="1" s="1"/>
  <c r="C67" i="1" s="1"/>
  <c r="I67" i="1" s="1"/>
  <c r="C70" i="1" s="1"/>
  <c r="I70" i="1" s="1"/>
  <c r="C71" i="1" s="1"/>
  <c r="I71" i="1" s="1"/>
  <c r="C72" i="1" s="1"/>
  <c r="I72" i="1" s="1"/>
  <c r="C75" i="1" s="1"/>
  <c r="I75" i="1" s="1"/>
  <c r="C76" i="1" s="1"/>
  <c r="I76" i="1" s="1"/>
  <c r="C77" i="1" s="1"/>
  <c r="I77" i="1" s="1"/>
  <c r="E141" i="1" l="1"/>
  <c r="H141" i="1"/>
  <c r="G141" i="1"/>
  <c r="E98" i="1"/>
  <c r="E99" i="1" s="1"/>
  <c r="E215" i="1"/>
  <c r="E238" i="1"/>
  <c r="H387" i="1"/>
  <c r="H403" i="1" s="1"/>
  <c r="E392" i="1"/>
  <c r="F211" i="1"/>
  <c r="E387" i="1"/>
  <c r="G99" i="1"/>
  <c r="E210" i="1"/>
  <c r="E225" i="1"/>
  <c r="E296" i="1"/>
  <c r="E312" i="1"/>
  <c r="F379" i="1"/>
  <c r="E378" i="1"/>
  <c r="D274" i="1"/>
  <c r="D122" i="1"/>
  <c r="H318" i="1"/>
  <c r="H99" i="1"/>
  <c r="E122" i="1"/>
  <c r="F274" i="1"/>
  <c r="E291" i="1"/>
  <c r="E307" i="1"/>
  <c r="D338" i="1"/>
  <c r="D126" i="1"/>
  <c r="H233" i="1"/>
  <c r="F55" i="1"/>
  <c r="D162" i="1"/>
  <c r="H162" i="1"/>
  <c r="E156" i="1"/>
  <c r="F191" i="1"/>
  <c r="H191" i="1"/>
  <c r="H254" i="1"/>
  <c r="E248" i="1"/>
  <c r="D253" i="1"/>
  <c r="D254" i="1" s="1"/>
  <c r="H274" i="1"/>
  <c r="G274" i="1"/>
  <c r="H352" i="1"/>
  <c r="H357" i="1"/>
  <c r="E363" i="1"/>
  <c r="F403" i="1"/>
  <c r="D79" i="1"/>
  <c r="F99" i="1"/>
  <c r="E131" i="1"/>
  <c r="H136" i="1"/>
  <c r="E151" i="1"/>
  <c r="E175" i="1"/>
  <c r="E243" i="1"/>
  <c r="E273" i="1"/>
  <c r="G297" i="1"/>
  <c r="F338" i="1"/>
  <c r="F358" i="1"/>
  <c r="E357" i="1"/>
  <c r="H363" i="1"/>
  <c r="H379" i="1" s="1"/>
  <c r="E397" i="1"/>
  <c r="D34" i="1"/>
  <c r="G34" i="1"/>
  <c r="F79" i="1"/>
  <c r="H122" i="1"/>
  <c r="G126" i="1"/>
  <c r="D141" i="1"/>
  <c r="G211" i="1"/>
  <c r="H297" i="1"/>
  <c r="E55" i="1"/>
  <c r="D55" i="1"/>
  <c r="G55" i="1"/>
  <c r="F122" i="1"/>
  <c r="H126" i="1"/>
  <c r="F142" i="1"/>
  <c r="F162" i="1"/>
  <c r="G151" i="1"/>
  <c r="G162" i="1" s="1"/>
  <c r="E190" i="1"/>
  <c r="D211" i="1"/>
  <c r="H211" i="1"/>
  <c r="E205" i="1"/>
  <c r="G225" i="1"/>
  <c r="G233" i="1" s="1"/>
  <c r="F254" i="1"/>
  <c r="E268" i="1"/>
  <c r="E283" i="1"/>
  <c r="D318" i="1"/>
  <c r="E317" i="1"/>
  <c r="G338" i="1"/>
  <c r="E342" i="1"/>
  <c r="G358" i="1"/>
  <c r="G379" i="1"/>
  <c r="H34" i="1"/>
  <c r="G79" i="1"/>
  <c r="G191" i="1"/>
  <c r="E232" i="1"/>
  <c r="E278" i="1"/>
  <c r="F34" i="1"/>
  <c r="E34" i="1"/>
  <c r="H55" i="1"/>
  <c r="E79" i="1"/>
  <c r="E136" i="1"/>
  <c r="E161" i="1"/>
  <c r="D191" i="1"/>
  <c r="E180" i="1"/>
  <c r="E185" i="1"/>
  <c r="E200" i="1"/>
  <c r="D233" i="1"/>
  <c r="E220" i="1"/>
  <c r="G254" i="1"/>
  <c r="E253" i="1"/>
  <c r="F297" i="1"/>
  <c r="E302" i="1"/>
  <c r="F318" i="1"/>
  <c r="H338" i="1"/>
  <c r="D358" i="1"/>
  <c r="E352" i="1"/>
  <c r="E373" i="1"/>
  <c r="E438" i="1"/>
  <c r="G318" i="1"/>
  <c r="E322" i="1"/>
  <c r="E332" i="1"/>
  <c r="E347" i="1"/>
  <c r="D379" i="1"/>
  <c r="E368" i="1"/>
  <c r="G403" i="1"/>
  <c r="D402" i="1"/>
  <c r="D403" i="1" s="1"/>
  <c r="N77" i="1"/>
  <c r="C80" i="1"/>
  <c r="I80" i="1" s="1"/>
  <c r="C81" i="1" s="1"/>
  <c r="I81" i="1" s="1"/>
  <c r="C82" i="1" s="1"/>
  <c r="I82" i="1" s="1"/>
  <c r="I13" i="1"/>
  <c r="C34" i="1" s="1"/>
  <c r="H79" i="1"/>
  <c r="F233" i="1"/>
  <c r="D99" i="1"/>
  <c r="G122" i="1"/>
  <c r="D297" i="1"/>
  <c r="N72" i="1"/>
  <c r="F528" i="1" l="1"/>
  <c r="F475" i="1"/>
  <c r="F497" i="1" s="1"/>
  <c r="G142" i="1"/>
  <c r="G475" i="1" s="1"/>
  <c r="G497" i="1" s="1"/>
  <c r="H358" i="1"/>
  <c r="E274" i="1"/>
  <c r="E403" i="1"/>
  <c r="E162" i="1"/>
  <c r="E379" i="1"/>
  <c r="E211" i="1"/>
  <c r="H142" i="1"/>
  <c r="E358" i="1"/>
  <c r="E254" i="1"/>
  <c r="E142" i="1"/>
  <c r="E318" i="1"/>
  <c r="E233" i="1"/>
  <c r="E191" i="1"/>
  <c r="E297" i="1"/>
  <c r="D142" i="1"/>
  <c r="D528" i="1" s="1"/>
  <c r="I34" i="1"/>
  <c r="C55" i="1" s="1"/>
  <c r="I55" i="1" s="1"/>
  <c r="C79" i="1" s="1"/>
  <c r="I79" i="1" s="1"/>
  <c r="C99" i="1" s="1"/>
  <c r="I99" i="1" s="1"/>
  <c r="C122" i="1" s="1"/>
  <c r="I122" i="1" s="1"/>
  <c r="C142" i="1" s="1"/>
  <c r="E338" i="1"/>
  <c r="C85" i="1"/>
  <c r="I85" i="1" s="1"/>
  <c r="C86" i="1" s="1"/>
  <c r="I86" i="1" s="1"/>
  <c r="C87" i="1" s="1"/>
  <c r="I87" i="1" s="1"/>
  <c r="C90" i="1" s="1"/>
  <c r="I90" i="1" s="1"/>
  <c r="C91" i="1" s="1"/>
  <c r="I91" i="1" s="1"/>
  <c r="C92" i="1" s="1"/>
  <c r="I92" i="1" s="1"/>
  <c r="C95" i="1" s="1"/>
  <c r="I95" i="1" s="1"/>
  <c r="C96" i="1" s="1"/>
  <c r="I96" i="1" s="1"/>
  <c r="C97" i="1" s="1"/>
  <c r="I97" i="1" s="1"/>
  <c r="C101" i="1" s="1"/>
  <c r="I101" i="1" s="1"/>
  <c r="C102" i="1" s="1"/>
  <c r="I102" i="1" s="1"/>
  <c r="C103" i="1" s="1"/>
  <c r="I103" i="1" s="1"/>
  <c r="C106" i="1" s="1"/>
  <c r="I106" i="1" s="1"/>
  <c r="C107" i="1" s="1"/>
  <c r="I107" i="1" s="1"/>
  <c r="C108" i="1" s="1"/>
  <c r="I108" i="1" s="1"/>
  <c r="C113" i="1" s="1"/>
  <c r="I113" i="1" s="1"/>
  <c r="C114" i="1" s="1"/>
  <c r="I114" i="1" s="1"/>
  <c r="C115" i="1" s="1"/>
  <c r="I115" i="1" s="1"/>
  <c r="C118" i="1" s="1"/>
  <c r="I118" i="1" s="1"/>
  <c r="C119" i="1" s="1"/>
  <c r="I119" i="1" s="1"/>
  <c r="C120" i="1" s="1"/>
  <c r="I120" i="1" s="1"/>
  <c r="C123" i="1" s="1"/>
  <c r="I123" i="1" s="1"/>
  <c r="C124" i="1" s="1"/>
  <c r="I124" i="1" s="1"/>
  <c r="C125" i="1" s="1"/>
  <c r="I125" i="1" s="1"/>
  <c r="C128" i="1" s="1"/>
  <c r="I128" i="1" s="1"/>
  <c r="C129" i="1" s="1"/>
  <c r="I129" i="1" s="1"/>
  <c r="C130" i="1" s="1"/>
  <c r="I130" i="1" s="1"/>
  <c r="C133" i="1" s="1"/>
  <c r="I133" i="1" s="1"/>
  <c r="C134" i="1" s="1"/>
  <c r="I134" i="1" s="1"/>
  <c r="C135" i="1" s="1"/>
  <c r="I135" i="1" s="1"/>
  <c r="C138" i="1" s="1"/>
  <c r="I138" i="1" s="1"/>
  <c r="C139" i="1" s="1"/>
  <c r="I139" i="1" s="1"/>
  <c r="C140" i="1" s="1"/>
  <c r="I140" i="1" s="1"/>
  <c r="C143" i="1" s="1"/>
  <c r="I143" i="1" s="1"/>
  <c r="C144" i="1" s="1"/>
  <c r="I144" i="1" s="1"/>
  <c r="C145" i="1" s="1"/>
  <c r="I145" i="1" s="1"/>
  <c r="C148" i="1" s="1"/>
  <c r="I148" i="1" s="1"/>
  <c r="C149" i="1" s="1"/>
  <c r="I149" i="1" s="1"/>
  <c r="C150" i="1" s="1"/>
  <c r="I150" i="1" s="1"/>
  <c r="C153" i="1" s="1"/>
  <c r="I153" i="1" s="1"/>
  <c r="C154" i="1" s="1"/>
  <c r="I154" i="1" s="1"/>
  <c r="C155" i="1" s="1"/>
  <c r="I155" i="1" s="1"/>
  <c r="C158" i="1" s="1"/>
  <c r="I158" i="1" s="1"/>
  <c r="C159" i="1" s="1"/>
  <c r="I159" i="1" s="1"/>
  <c r="C160" i="1" s="1"/>
  <c r="I160" i="1" s="1"/>
  <c r="C168" i="1" s="1"/>
  <c r="I168" i="1" s="1"/>
  <c r="C169" i="1" s="1"/>
  <c r="I169" i="1" s="1"/>
  <c r="C170" i="1" s="1"/>
  <c r="I170" i="1" s="1"/>
  <c r="C177" i="1" s="1"/>
  <c r="I177" i="1" s="1"/>
  <c r="C178" i="1" s="1"/>
  <c r="I178" i="1" s="1"/>
  <c r="C179" i="1" s="1"/>
  <c r="I179" i="1" s="1"/>
  <c r="C182" i="1" s="1"/>
  <c r="I182" i="1" s="1"/>
  <c r="C183" i="1" s="1"/>
  <c r="I183" i="1" s="1"/>
  <c r="C184" i="1" s="1"/>
  <c r="I184" i="1" s="1"/>
  <c r="C187" i="1" s="1"/>
  <c r="I187" i="1" s="1"/>
  <c r="C188" i="1" s="1"/>
  <c r="I188" i="1" s="1"/>
  <c r="C189" i="1" s="1"/>
  <c r="I189" i="1" s="1"/>
  <c r="C192" i="1" s="1"/>
  <c r="I192" i="1" s="1"/>
  <c r="C193" i="1" s="1"/>
  <c r="I193" i="1" s="1"/>
  <c r="C194" i="1" s="1"/>
  <c r="I194" i="1" s="1"/>
  <c r="C197" i="1" s="1"/>
  <c r="I197" i="1" s="1"/>
  <c r="C198" i="1" s="1"/>
  <c r="I198" i="1" s="1"/>
  <c r="C199" i="1" s="1"/>
  <c r="I199" i="1" s="1"/>
  <c r="C202" i="1" s="1"/>
  <c r="I202" i="1" s="1"/>
  <c r="C203" i="1" s="1"/>
  <c r="I203" i="1" s="1"/>
  <c r="C204" i="1" s="1"/>
  <c r="I204" i="1" s="1"/>
  <c r="C207" i="1" s="1"/>
  <c r="I207" i="1" s="1"/>
  <c r="C208" i="1" s="1"/>
  <c r="I208" i="1" s="1"/>
  <c r="C209" i="1" s="1"/>
  <c r="I209" i="1" s="1"/>
  <c r="C212" i="1" s="1"/>
  <c r="I212" i="1" s="1"/>
  <c r="C213" i="1" s="1"/>
  <c r="I213" i="1" s="1"/>
  <c r="C214" i="1" s="1"/>
  <c r="I214" i="1" s="1"/>
  <c r="C217" i="1" s="1"/>
  <c r="I217" i="1" s="1"/>
  <c r="C218" i="1" s="1"/>
  <c r="I218" i="1" s="1"/>
  <c r="C219" i="1" s="1"/>
  <c r="I219" i="1" s="1"/>
  <c r="C222" i="1" s="1"/>
  <c r="I222" i="1" s="1"/>
  <c r="C223" i="1" s="1"/>
  <c r="I223" i="1" s="1"/>
  <c r="C224" i="1" s="1"/>
  <c r="I224" i="1" s="1"/>
  <c r="C229" i="1" s="1"/>
  <c r="I229" i="1" s="1"/>
  <c r="C230" i="1" s="1"/>
  <c r="I230" i="1" s="1"/>
  <c r="C231" i="1" s="1"/>
  <c r="I231" i="1" s="1"/>
  <c r="C234" i="1" s="1"/>
  <c r="I234" i="1" s="1"/>
  <c r="C235" i="1" s="1"/>
  <c r="I235" i="1" s="1"/>
  <c r="C236" i="1" s="1"/>
  <c r="I236" i="1" s="1"/>
  <c r="C240" i="1" s="1"/>
  <c r="I240" i="1" s="1"/>
  <c r="C241" i="1" s="1"/>
  <c r="I241" i="1" s="1"/>
  <c r="C242" i="1" s="1"/>
  <c r="I242" i="1" s="1"/>
  <c r="C245" i="1" s="1"/>
  <c r="I245" i="1" s="1"/>
  <c r="C246" i="1" s="1"/>
  <c r="I246" i="1" s="1"/>
  <c r="C247" i="1" s="1"/>
  <c r="I247" i="1" s="1"/>
  <c r="C250" i="1" s="1"/>
  <c r="I250" i="1" s="1"/>
  <c r="C251" i="1" s="1"/>
  <c r="I251" i="1" s="1"/>
  <c r="C252" i="1" s="1"/>
  <c r="I252" i="1" s="1"/>
  <c r="C255" i="1" s="1"/>
  <c r="I255" i="1" s="1"/>
  <c r="C256" i="1" s="1"/>
  <c r="I256" i="1" s="1"/>
  <c r="C257" i="1" s="1"/>
  <c r="I257" i="1" s="1"/>
  <c r="C260" i="1" s="1"/>
  <c r="I260" i="1" s="1"/>
  <c r="C261" i="1" s="1"/>
  <c r="I261" i="1" s="1"/>
  <c r="C262" i="1" s="1"/>
  <c r="I262" i="1" s="1"/>
  <c r="C265" i="1" s="1"/>
  <c r="I265" i="1" s="1"/>
  <c r="C266" i="1" s="1"/>
  <c r="I266" i="1" s="1"/>
  <c r="C267" i="1" s="1"/>
  <c r="I267" i="1" s="1"/>
  <c r="C270" i="1" s="1"/>
  <c r="I270" i="1" s="1"/>
  <c r="C271" i="1" s="1"/>
  <c r="I271" i="1" s="1"/>
  <c r="C272" i="1" s="1"/>
  <c r="I272" i="1" s="1"/>
  <c r="C275" i="1" s="1"/>
  <c r="I275" i="1" s="1"/>
  <c r="C276" i="1" s="1"/>
  <c r="I276" i="1" s="1"/>
  <c r="C277" i="1" s="1"/>
  <c r="I277" i="1" s="1"/>
  <c r="C280" i="1" s="1"/>
  <c r="I280" i="1" s="1"/>
  <c r="C281" i="1" s="1"/>
  <c r="I281" i="1" s="1"/>
  <c r="C282" i="1" s="1"/>
  <c r="I282" i="1" s="1"/>
  <c r="C288" i="1" s="1"/>
  <c r="I288" i="1" s="1"/>
  <c r="C289" i="1" s="1"/>
  <c r="I289" i="1" s="1"/>
  <c r="C290" i="1" s="1"/>
  <c r="I290" i="1" s="1"/>
  <c r="C293" i="1" s="1"/>
  <c r="I293" i="1" s="1"/>
  <c r="C294" i="1" s="1"/>
  <c r="I294" i="1" s="1"/>
  <c r="C295" i="1" s="1"/>
  <c r="I295" i="1" s="1"/>
  <c r="C298" i="1" s="1"/>
  <c r="I298" i="1" s="1"/>
  <c r="C299" i="1" s="1"/>
  <c r="I299" i="1" s="1"/>
  <c r="C300" i="1" s="1"/>
  <c r="I300" i="1" s="1"/>
  <c r="C304" i="1" s="1"/>
  <c r="I304" i="1" s="1"/>
  <c r="C305" i="1" s="1"/>
  <c r="I305" i="1" s="1"/>
  <c r="C306" i="1" s="1"/>
  <c r="I306" i="1" s="1"/>
  <c r="C309" i="1" s="1"/>
  <c r="I309" i="1" s="1"/>
  <c r="C310" i="1" s="1"/>
  <c r="I310" i="1" s="1"/>
  <c r="C311" i="1" s="1"/>
  <c r="I311" i="1" s="1"/>
  <c r="C314" i="1" s="1"/>
  <c r="I314" i="1" s="1"/>
  <c r="C315" i="1" s="1"/>
  <c r="I315" i="1" s="1"/>
  <c r="C316" i="1" s="1"/>
  <c r="I316" i="1" s="1"/>
  <c r="C319" i="1" s="1"/>
  <c r="I319" i="1" s="1"/>
  <c r="C320" i="1" s="1"/>
  <c r="I320" i="1" s="1"/>
  <c r="C321" i="1" s="1"/>
  <c r="I321" i="1" s="1"/>
  <c r="C324" i="1" s="1"/>
  <c r="I324" i="1" s="1"/>
  <c r="C325" i="1" s="1"/>
  <c r="I325" i="1" s="1"/>
  <c r="C326" i="1" s="1"/>
  <c r="I326" i="1" s="1"/>
  <c r="C329" i="1" s="1"/>
  <c r="I329" i="1" s="1"/>
  <c r="C330" i="1" s="1"/>
  <c r="I330" i="1" s="1"/>
  <c r="C331" i="1" s="1"/>
  <c r="I331" i="1" s="1"/>
  <c r="C334" i="1" s="1"/>
  <c r="I334" i="1" s="1"/>
  <c r="C335" i="1" s="1"/>
  <c r="I335" i="1" s="1"/>
  <c r="C336" i="1" s="1"/>
  <c r="I336" i="1" s="1"/>
  <c r="C339" i="1" s="1"/>
  <c r="I339" i="1" s="1"/>
  <c r="C340" i="1" s="1"/>
  <c r="I340" i="1" s="1"/>
  <c r="C341" i="1" s="1"/>
  <c r="I341" i="1" s="1"/>
  <c r="C344" i="1" s="1"/>
  <c r="I344" i="1" s="1"/>
  <c r="C345" i="1" s="1"/>
  <c r="I345" i="1" s="1"/>
  <c r="C346" i="1" s="1"/>
  <c r="I346" i="1" s="1"/>
  <c r="C349" i="1" s="1"/>
  <c r="I349" i="1" s="1"/>
  <c r="C350" i="1" s="1"/>
  <c r="I350" i="1" s="1"/>
  <c r="C351" i="1" s="1"/>
  <c r="I351" i="1" s="1"/>
  <c r="C354" i="1" s="1"/>
  <c r="I354" i="1" s="1"/>
  <c r="C355" i="1" s="1"/>
  <c r="I355" i="1" s="1"/>
  <c r="C356" i="1" s="1"/>
  <c r="I356" i="1" s="1"/>
  <c r="N82" i="1"/>
  <c r="H528" i="1" l="1"/>
  <c r="E528" i="1"/>
  <c r="G528" i="1"/>
  <c r="D475" i="1"/>
  <c r="D497" i="1" s="1"/>
  <c r="H475" i="1"/>
  <c r="H497" i="1" s="1"/>
  <c r="E475" i="1"/>
  <c r="E497" i="1" s="1"/>
  <c r="I142" i="1"/>
  <c r="C162" i="1" s="1"/>
  <c r="I162" i="1" s="1"/>
  <c r="C191" i="1" s="1"/>
  <c r="I191" i="1" s="1"/>
  <c r="C211" i="1" s="1"/>
  <c r="I211" i="1" s="1"/>
  <c r="C233" i="1" s="1"/>
  <c r="I233" i="1" s="1"/>
  <c r="C254" i="1" s="1"/>
  <c r="I254" i="1" s="1"/>
  <c r="C274" i="1" s="1"/>
  <c r="I274" i="1" s="1"/>
  <c r="C297" i="1" s="1"/>
  <c r="I297" i="1" s="1"/>
  <c r="C318" i="1" s="1"/>
  <c r="I318" i="1" s="1"/>
  <c r="C338" i="1" s="1"/>
  <c r="I338" i="1" s="1"/>
  <c r="C358" i="1" s="1"/>
  <c r="I358" i="1" s="1"/>
  <c r="C360" i="1"/>
  <c r="I360" i="1" s="1"/>
  <c r="C361" i="1" s="1"/>
  <c r="I361" i="1" s="1"/>
  <c r="C362" i="1" s="1"/>
  <c r="I362" i="1" s="1"/>
  <c r="C365" i="1" s="1"/>
  <c r="I365" i="1" s="1"/>
  <c r="C366" i="1" s="1"/>
  <c r="I366" i="1" s="1"/>
  <c r="C367" i="1" s="1"/>
  <c r="I367" i="1" s="1"/>
  <c r="C370" i="1" s="1"/>
  <c r="I370" i="1" s="1"/>
  <c r="C371" i="1" s="1"/>
  <c r="I371" i="1" s="1"/>
  <c r="C372" i="1" s="1"/>
  <c r="I372" i="1" s="1"/>
  <c r="C375" i="1" s="1"/>
  <c r="I375" i="1" s="1"/>
  <c r="C376" i="1" s="1"/>
  <c r="I376" i="1" s="1"/>
  <c r="C377" i="1" s="1"/>
  <c r="I377" i="1" s="1"/>
  <c r="C379" i="1"/>
  <c r="I379" i="1" s="1"/>
  <c r="C384" i="1" l="1"/>
  <c r="I384" i="1" s="1"/>
  <c r="C385" i="1" s="1"/>
  <c r="I385" i="1" s="1"/>
  <c r="C386" i="1" s="1"/>
  <c r="I386" i="1" s="1"/>
  <c r="C389" i="1" s="1"/>
  <c r="I389" i="1" s="1"/>
  <c r="C390" i="1" s="1"/>
  <c r="I390" i="1" s="1"/>
  <c r="C391" i="1" s="1"/>
  <c r="I391" i="1" s="1"/>
  <c r="C394" i="1" s="1"/>
  <c r="I394" i="1" s="1"/>
  <c r="C395" i="1" s="1"/>
  <c r="I395" i="1" s="1"/>
  <c r="C396" i="1" s="1"/>
  <c r="I396" i="1" s="1"/>
  <c r="C399" i="1" s="1"/>
  <c r="I399" i="1" s="1"/>
  <c r="C400" i="1" s="1"/>
  <c r="I400" i="1" s="1"/>
  <c r="C401" i="1" s="1"/>
  <c r="I401" i="1" s="1"/>
  <c r="C403" i="1"/>
  <c r="I403" i="1" s="1"/>
  <c r="C423" i="1" s="1"/>
  <c r="I423" i="1" s="1"/>
  <c r="I440" i="1" l="1"/>
  <c r="C441" i="1" s="1"/>
  <c r="I441" i="1" s="1"/>
  <c r="C442" i="1" s="1"/>
  <c r="I442" i="1" s="1"/>
  <c r="C445" i="1" l="1"/>
  <c r="I445" i="1" s="1"/>
  <c r="C446" i="1" s="1"/>
  <c r="I446" i="1" s="1"/>
  <c r="C447" i="1" s="1"/>
  <c r="I447" i="1" s="1"/>
  <c r="C450" i="1" s="1"/>
  <c r="I450" i="1" s="1"/>
  <c r="C451" i="1" s="1"/>
  <c r="I451" i="1" s="1"/>
  <c r="C452" i="1" s="1"/>
  <c r="I452" i="1" s="1"/>
  <c r="I455" i="1" s="1"/>
  <c r="C456" i="1" s="1"/>
  <c r="I456" i="1" s="1"/>
  <c r="C457" i="1" s="1"/>
  <c r="I457" i="1" s="1"/>
  <c r="C460" i="1" s="1"/>
  <c r="I460" i="1" s="1"/>
  <c r="C461" i="1" s="1"/>
  <c r="I461" i="1" s="1"/>
  <c r="C462" i="1" l="1"/>
  <c r="I462" i="1" s="1"/>
  <c r="C465" i="1" s="1"/>
  <c r="I465" i="1" s="1"/>
  <c r="C466" i="1" s="1"/>
  <c r="I466" i="1" s="1"/>
  <c r="C467" i="1" s="1"/>
  <c r="I467" i="1" s="1"/>
  <c r="C470" i="1" s="1"/>
  <c r="I470" i="1" s="1"/>
  <c r="C471" i="1" s="1"/>
  <c r="I471" i="1" s="1"/>
  <c r="C472" i="1" s="1"/>
  <c r="I47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tc={9D0B6578-4023-41B3-9949-521AB6B84C00}</author>
    <author>tc={FFD78A3C-DF36-42A2-B995-BF396964932E}</author>
    <author>tc={6C475528-17C7-448A-AD24-6B0A3C12560F}</author>
  </authors>
  <commentList>
    <comment ref="C455" authorId="0" shapeId="0" xr:uid="{9D0B6578-4023-41B3-9949-521AB6B84C00}">
      <text>
        <t>[Threaded comment]
Your version of Excel allows you to read this threaded comment; however, any edits to it will get removed if the file is opened in a newer version of Excel. Learn more: https://go.microsoft.com/fwlink/?linkid=870924
Comment:
    See comment c426</t>
      </text>
    </comment>
    <comment ref="I472" authorId="1" shapeId="0" xr:uid="{FFD78A3C-DF36-42A2-B995-BF396964932E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Adjusted 1c for rounding. 
</t>
      </text>
    </comment>
    <comment ref="C477" authorId="2" shapeId="0" xr:uid="{6C475528-17C7-448A-AD24-6B0A3C12560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Balance Changes see 2024 Q4 Report
</t>
      </text>
    </comment>
  </commentList>
</comments>
</file>

<file path=xl/sharedStrings.xml><?xml version="1.0" encoding="utf-8"?>
<sst xmlns="http://schemas.openxmlformats.org/spreadsheetml/2006/main" count="2802" uniqueCount="169">
  <si>
    <t>`</t>
  </si>
  <si>
    <t>Rocky Mountain Power</t>
  </si>
  <si>
    <t xml:space="preserve">Utah Low Income Lifeline Program Reporting </t>
  </si>
  <si>
    <t xml:space="preserve">G/L Acct. #248200 Utah Lifeline Account Monthly Activity </t>
  </si>
  <si>
    <t>Beg. Acct.</t>
  </si>
  <si>
    <t>Costs</t>
  </si>
  <si>
    <t>Credit</t>
  </si>
  <si>
    <t>End. Acct.</t>
  </si>
  <si>
    <t xml:space="preserve">Year </t>
  </si>
  <si>
    <t>Year</t>
  </si>
  <si>
    <t>Balance</t>
  </si>
  <si>
    <t>Sep</t>
  </si>
  <si>
    <t>Oct</t>
  </si>
  <si>
    <t>Nov</t>
  </si>
  <si>
    <t>Dec</t>
  </si>
  <si>
    <t>Jan</t>
  </si>
  <si>
    <t>Feb</t>
  </si>
  <si>
    <t>Mar</t>
  </si>
  <si>
    <t>1st Qtr. 2001</t>
  </si>
  <si>
    <t xml:space="preserve"> </t>
  </si>
  <si>
    <t>Apr</t>
  </si>
  <si>
    <t>May</t>
  </si>
  <si>
    <t>Jun</t>
  </si>
  <si>
    <t>2nd Qtr. 2001</t>
  </si>
  <si>
    <t>Jul</t>
  </si>
  <si>
    <t>Aug</t>
  </si>
  <si>
    <t>3rd Qtr. 2001</t>
  </si>
  <si>
    <t>4th Qtr. 2001</t>
  </si>
  <si>
    <t>1st Qtr. 2002</t>
  </si>
  <si>
    <t>2nd Qtr. 2002</t>
  </si>
  <si>
    <t>3rd Qtr. 2002</t>
  </si>
  <si>
    <t>4th Qtr. 2002</t>
  </si>
  <si>
    <t>Month</t>
  </si>
  <si>
    <t>1st Qtr. 2003</t>
  </si>
  <si>
    <t>2nd Qtr. 2003</t>
  </si>
  <si>
    <t>3rd Qtr. 2003</t>
  </si>
  <si>
    <t>4th Qtr. 2003</t>
  </si>
  <si>
    <t>1st Qtr. 2004</t>
  </si>
  <si>
    <t>2nd Qtr. 2004</t>
  </si>
  <si>
    <t>3rd Qtr. 2004</t>
  </si>
  <si>
    <t>4th Qtr. 2004</t>
  </si>
  <si>
    <t>1st Qtr. 2005</t>
  </si>
  <si>
    <t>2nd Qtr. 2005</t>
  </si>
  <si>
    <t>3rd Qtr. 2005</t>
  </si>
  <si>
    <t>4th Qtr. 2005</t>
  </si>
  <si>
    <t>1st Qtr. 2006</t>
  </si>
  <si>
    <t>2nd Qtr. 2006</t>
  </si>
  <si>
    <t>3rd Qtr. 2006</t>
  </si>
  <si>
    <t>4th Qtr. 2006</t>
  </si>
  <si>
    <t>1st Qtr. 2007</t>
  </si>
  <si>
    <t>2nd Qtr. 2007</t>
  </si>
  <si>
    <t>3rd Qtr. 2007</t>
  </si>
  <si>
    <t>4th Qtr. 2007</t>
  </si>
  <si>
    <t>* Interest Rate @ 7.231% per filing</t>
  </si>
  <si>
    <t>1st Qtr. 2008</t>
  </si>
  <si>
    <t>2nd Qtr. 2008</t>
  </si>
  <si>
    <t>3rd Qtr. 2008</t>
  </si>
  <si>
    <t>4th Qtr. 2008</t>
  </si>
  <si>
    <t>1st Qtr. 2009</t>
  </si>
  <si>
    <t>2nd Qtr. 2009</t>
  </si>
  <si>
    <t>3rd Qtr. 2009</t>
  </si>
  <si>
    <t>4th Qtr. 2009</t>
  </si>
  <si>
    <t>1st Qtr. 2010</t>
  </si>
  <si>
    <t>2nd Qtr. 2010</t>
  </si>
  <si>
    <t>3rd Qtr. 2010</t>
  </si>
  <si>
    <t>4th Qtr. 2010</t>
  </si>
  <si>
    <t>1st Qtr. 2011</t>
  </si>
  <si>
    <t>2nd Qtr. 2011</t>
  </si>
  <si>
    <t>3rd Qtr. 2011</t>
  </si>
  <si>
    <t>4th Qtr. 2011</t>
  </si>
  <si>
    <t>1st Qtr. 2012</t>
  </si>
  <si>
    <t>2nd Qtr. 2012</t>
  </si>
  <si>
    <t>3rd Qtr. 2012</t>
  </si>
  <si>
    <t>4th Qtr. 2012</t>
  </si>
  <si>
    <t>1st Qtr. 2013</t>
  </si>
  <si>
    <t>2nd Qtr. 2013</t>
  </si>
  <si>
    <t>3rd Qtr. 2013</t>
  </si>
  <si>
    <t>4th Qtr. 2013</t>
  </si>
  <si>
    <t>1st Qtr. 2014</t>
  </si>
  <si>
    <t>2nd Qtr. 2014</t>
  </si>
  <si>
    <t>3rd Qtr. 2014</t>
  </si>
  <si>
    <t>4th Qtr. 2014</t>
  </si>
  <si>
    <t>1st Qtr. 2015</t>
  </si>
  <si>
    <t>2nd Qtr. 2015</t>
  </si>
  <si>
    <t>3rd Qtr. 2015</t>
  </si>
  <si>
    <t>4th Qtr. 2015</t>
  </si>
  <si>
    <t>1st Qtr. 2016</t>
  </si>
  <si>
    <t>2nd Qtr. 2016</t>
  </si>
  <si>
    <t>3rd Qtr. 2016</t>
  </si>
  <si>
    <t>4th Qtr. 2016</t>
  </si>
  <si>
    <t>1st Qtr. 2017</t>
  </si>
  <si>
    <t>2nd Qtr. 2017</t>
  </si>
  <si>
    <t>3rd Qtr. 2017</t>
  </si>
  <si>
    <t>4th Qtr. 2017</t>
  </si>
  <si>
    <t>1st Qtr. 2018</t>
  </si>
  <si>
    <t>2nd Qtr. 2018</t>
  </si>
  <si>
    <t>3rd Qtr. 2018</t>
  </si>
  <si>
    <t>4th Qtr. 2018</t>
  </si>
  <si>
    <t>1st Qtr. 2019</t>
  </si>
  <si>
    <t>2nd Qtr. 2019</t>
  </si>
  <si>
    <t>3rd Qtr. 2019</t>
  </si>
  <si>
    <t>4th Qtr. 2019</t>
  </si>
  <si>
    <t>1st Qtr. 2020</t>
  </si>
  <si>
    <t>Program to Date</t>
  </si>
  <si>
    <t xml:space="preserve">Additional Reporting Required Information  </t>
  </si>
  <si>
    <t>Notices</t>
  </si>
  <si>
    <t>Actual **</t>
  </si>
  <si>
    <t>Recipients</t>
  </si>
  <si>
    <t>Schedule 3</t>
  </si>
  <si>
    <t>Schedule 1</t>
  </si>
  <si>
    <t>YTD 2000</t>
  </si>
  <si>
    <t>*</t>
  </si>
  <si>
    <t>-*</t>
  </si>
  <si>
    <t>* This information is unavailable.</t>
  </si>
  <si>
    <t xml:space="preserve">Additional Reporting Required Information - Continued  </t>
  </si>
  <si>
    <t>$</t>
  </si>
  <si>
    <t>#</t>
  </si>
  <si>
    <t xml:space="preserve">Schedule 1 </t>
  </si>
  <si>
    <t xml:space="preserve">Feb  </t>
  </si>
  <si>
    <t>Mar  *</t>
  </si>
  <si>
    <t xml:space="preserve">Mar </t>
  </si>
  <si>
    <t>* Company is in negotiation with another collection agency. All accounts remained with the company.</t>
  </si>
  <si>
    <t>Basis for Interest Calculation</t>
  </si>
  <si>
    <t>[ i = (sum(b:f) / 2) +g of last mo.+ i of last mo.]</t>
  </si>
  <si>
    <t>2nd Qtr. 2020</t>
  </si>
  <si>
    <t>* COVID moratorium</t>
  </si>
  <si>
    <t>3rd Qtr. 2020</t>
  </si>
  <si>
    <t>4th Qtr. 2020</t>
  </si>
  <si>
    <t>* Modified  COVID collections</t>
  </si>
  <si>
    <t>1st Qtr. 2021</t>
  </si>
  <si>
    <t>2nd Qtr. 2021</t>
  </si>
  <si>
    <t>3rd Qtr. 2021</t>
  </si>
  <si>
    <t>4th Qtr. 2021</t>
  </si>
  <si>
    <t>4tn Qtr. 2021</t>
  </si>
  <si>
    <t>1st Qtr. 2022</t>
  </si>
  <si>
    <t>2nd Qtr. 2022</t>
  </si>
  <si>
    <t>3rd Qtr. 2022</t>
  </si>
  <si>
    <t>4th Qtr. 2022</t>
  </si>
  <si>
    <t>1st Qtr. 2023</t>
  </si>
  <si>
    <t>2nd Qtr. 2023</t>
  </si>
  <si>
    <t>3rd Qtr. 2023</t>
  </si>
  <si>
    <t>4th Qtr. 2023</t>
  </si>
  <si>
    <t>1st Qtr. 2024</t>
  </si>
  <si>
    <t>2nd Qtr. 2024</t>
  </si>
  <si>
    <t>3rd Qtr. 2024</t>
  </si>
  <si>
    <t>4th Qtr. 2024</t>
  </si>
  <si>
    <t>1st Qtr. 2025</t>
  </si>
  <si>
    <t>4th Qtr. 2025</t>
  </si>
  <si>
    <t>3rd Qtr. 2025</t>
  </si>
  <si>
    <t>2nd Qtr. 2025</t>
  </si>
  <si>
    <r>
      <t>Collection</t>
    </r>
    <r>
      <rPr>
        <b/>
        <vertAlign val="superscript"/>
        <sz val="12"/>
        <rFont val="Arial"/>
        <family val="2"/>
      </rPr>
      <t>(2)</t>
    </r>
  </si>
  <si>
    <r>
      <t>Pacificorp</t>
    </r>
    <r>
      <rPr>
        <b/>
        <vertAlign val="superscript"/>
        <sz val="12"/>
        <rFont val="Arial"/>
        <family val="2"/>
      </rPr>
      <t>(4)</t>
    </r>
  </si>
  <si>
    <r>
      <t xml:space="preserve">DCED./DES </t>
    </r>
    <r>
      <rPr>
        <b/>
        <vertAlign val="superscript"/>
        <sz val="12"/>
        <rFont val="Arial"/>
        <family val="2"/>
      </rPr>
      <t>(5)</t>
    </r>
  </si>
  <si>
    <r>
      <t>Granted</t>
    </r>
    <r>
      <rPr>
        <b/>
        <vertAlign val="superscript"/>
        <sz val="12"/>
        <rFont val="Arial"/>
        <family val="2"/>
      </rPr>
      <t>(3)</t>
    </r>
  </si>
  <si>
    <r>
      <t>Interest*</t>
    </r>
    <r>
      <rPr>
        <b/>
        <vertAlign val="superscript"/>
        <sz val="12"/>
        <rFont val="Arial"/>
        <family val="2"/>
      </rPr>
      <t>(7)</t>
    </r>
  </si>
  <si>
    <r>
      <t>Balance</t>
    </r>
    <r>
      <rPr>
        <b/>
        <vertAlign val="superscript"/>
        <sz val="12"/>
        <rFont val="Arial"/>
        <family val="2"/>
      </rPr>
      <t>(6)</t>
    </r>
  </si>
  <si>
    <r>
      <t>D.C.E.D.</t>
    </r>
    <r>
      <rPr>
        <b/>
        <vertAlign val="superscript"/>
        <sz val="12"/>
        <rFont val="Arial"/>
        <family val="2"/>
      </rPr>
      <t>(5)</t>
    </r>
  </si>
  <si>
    <r>
      <t>Terminations-#</t>
    </r>
    <r>
      <rPr>
        <b/>
        <u val="singleAccounting"/>
        <vertAlign val="superscript"/>
        <sz val="12"/>
        <rFont val="Arial"/>
        <family val="2"/>
      </rPr>
      <t>(9)</t>
    </r>
  </si>
  <si>
    <r>
      <t>Customers-#</t>
    </r>
    <r>
      <rPr>
        <b/>
        <u val="singleAccounting"/>
        <vertAlign val="superscript"/>
        <sz val="12"/>
        <rFont val="Arial"/>
        <family val="2"/>
      </rPr>
      <t>(1)</t>
    </r>
  </si>
  <si>
    <r>
      <t>Arrearages-$</t>
    </r>
    <r>
      <rPr>
        <b/>
        <u val="singleAccounting"/>
        <vertAlign val="superscript"/>
        <sz val="12"/>
        <rFont val="Arial"/>
        <family val="2"/>
      </rPr>
      <t>(8)</t>
    </r>
  </si>
  <si>
    <r>
      <t>Collection Agencies</t>
    </r>
    <r>
      <rPr>
        <b/>
        <u val="singleAccounting"/>
        <vertAlign val="superscript"/>
        <sz val="12"/>
        <rFont val="Arial"/>
        <family val="2"/>
      </rPr>
      <t>(10)</t>
    </r>
  </si>
  <si>
    <r>
      <t>Write Offs $</t>
    </r>
    <r>
      <rPr>
        <b/>
        <u val="singleAccounting"/>
        <vertAlign val="superscript"/>
        <sz val="12"/>
        <rFont val="Arial"/>
        <family val="2"/>
      </rPr>
      <t>(11)</t>
    </r>
  </si>
  <si>
    <r>
      <t>Recoveries-$</t>
    </r>
    <r>
      <rPr>
        <b/>
        <u val="singleAccounting"/>
        <vertAlign val="superscript"/>
        <sz val="12"/>
        <rFont val="Arial"/>
        <family val="2"/>
      </rPr>
      <t>(11)</t>
    </r>
  </si>
  <si>
    <r>
      <t>Write Offs #</t>
    </r>
    <r>
      <rPr>
        <b/>
        <u val="singleAccounting"/>
        <vertAlign val="superscript"/>
        <sz val="12"/>
        <rFont val="Arial"/>
        <family val="2"/>
      </rPr>
      <t>(11)</t>
    </r>
  </si>
  <si>
    <r>
      <t>Recoveries-#</t>
    </r>
    <r>
      <rPr>
        <b/>
        <u val="singleAccounting"/>
        <vertAlign val="superscript"/>
        <sz val="12"/>
        <rFont val="Arial"/>
        <family val="2"/>
      </rPr>
      <t>(11)</t>
    </r>
  </si>
  <si>
    <r>
      <t>Note:</t>
    </r>
    <r>
      <rPr>
        <sz val="12"/>
        <rFont val="Arial"/>
        <family val="2"/>
      </rPr>
      <t xml:space="preserve"> The bracketed numbers in the columns correspond to the item numbers in section 5 -PacifiCorp Accounting and Reporting for the Low Income Lifeline Program.</t>
    </r>
  </si>
  <si>
    <t>1st Qtr. 2026</t>
  </si>
  <si>
    <t>2nd Qtr. 2026</t>
  </si>
  <si>
    <t>For the Period September 2000 -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</si>
</sst>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00_);_(* \(#,##0.00000\);_(* &quot;-&quot;??_);_(@_)"/>
    <numFmt numFmtId="165" formatCode="_(* #,##0_);_(* \(#,##0\);_(* &quot;-&quot;??_);_(@_)"/>
  </numFmts>
  <fonts count="22" x14ac:knownFonts="1">
    <font>
      <sz val="10"/>
      <name val="Arial Narrow"/>
    </font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9"/>
      <name val="Arial Narrow"/>
      <family val="2"/>
    </font>
    <font>
      <i/>
      <sz val="10"/>
      <name val="Arial Narrow"/>
      <family val="2"/>
    </font>
    <font>
      <sz val="9"/>
      <color rgb="FF333333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vertAlign val="superscript"/>
      <sz val="12"/>
      <name val="Arial"/>
      <family val="2"/>
    </font>
    <font>
      <u val="singleAccounting"/>
      <sz val="12"/>
      <name val="Arial"/>
      <family val="2"/>
    </font>
    <font>
      <sz val="11"/>
      <name val="Arial"/>
      <family val="2"/>
    </font>
    <font>
      <b/>
      <u val="singleAccounting"/>
      <sz val="12"/>
      <name val="Arial"/>
      <family val="2"/>
    </font>
    <font>
      <b/>
      <u val="singleAccounting"/>
      <vertAlign val="superscript"/>
      <sz val="12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44" fontId="10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 applyAlignment="1">
      <alignment horizontal="center"/>
    </xf>
    <xf numFmtId="43" fontId="5" fillId="0" borderId="0" xfId="1"/>
    <xf numFmtId="43" fontId="0" fillId="0" borderId="0" xfId="0" applyNumberFormat="1"/>
    <xf numFmtId="43" fontId="4" fillId="0" borderId="0" xfId="1" applyFont="1" applyFill="1"/>
    <xf numFmtId="43" fontId="5" fillId="0" borderId="0" xfId="1" applyFill="1"/>
    <xf numFmtId="0" fontId="0" fillId="2" borderId="0" xfId="0" applyFill="1"/>
    <xf numFmtId="0" fontId="5" fillId="0" borderId="0" xfId="0" applyFont="1"/>
    <xf numFmtId="0" fontId="4" fillId="0" borderId="0" xfId="0" applyFont="1"/>
    <xf numFmtId="43" fontId="3" fillId="0" borderId="0" xfId="1" applyFont="1" applyFill="1" applyAlignment="1">
      <alignment horizontal="center"/>
    </xf>
    <xf numFmtId="0" fontId="9" fillId="0" borderId="4" xfId="0" applyFont="1" applyBorder="1" applyAlignment="1">
      <alignment horizontal="right"/>
    </xf>
    <xf numFmtId="43" fontId="7" fillId="0" borderId="0" xfId="1" applyFont="1" applyFill="1" applyAlignment="1">
      <alignment horizontal="center" wrapText="1"/>
    </xf>
    <xf numFmtId="43" fontId="5" fillId="0" borderId="0" xfId="1" applyFont="1" applyFill="1"/>
    <xf numFmtId="43" fontId="8" fillId="0" borderId="0" xfId="1" applyFont="1" applyFill="1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1" fillId="0" borderId="0" xfId="0" applyFont="1"/>
    <xf numFmtId="43" fontId="11" fillId="0" borderId="0" xfId="1" applyFont="1" applyFill="1"/>
    <xf numFmtId="43" fontId="10" fillId="0" borderId="0" xfId="1" applyFont="1" applyFill="1"/>
    <xf numFmtId="43" fontId="13" fillId="0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1" applyNumberFormat="1" applyFont="1" applyFill="1" applyAlignment="1">
      <alignment horizontal="center"/>
    </xf>
    <xf numFmtId="0" fontId="13" fillId="0" borderId="0" xfId="1" applyNumberFormat="1" applyFont="1" applyFill="1" applyAlignment="1">
      <alignment horizontal="center" wrapText="1"/>
    </xf>
    <xf numFmtId="0" fontId="11" fillId="0" borderId="0" xfId="0" applyFont="1" applyAlignment="1">
      <alignment horizontal="center"/>
    </xf>
    <xf numFmtId="43" fontId="11" fillId="0" borderId="0" xfId="1" applyFont="1" applyFill="1" applyAlignment="1">
      <alignment horizontal="center"/>
    </xf>
    <xf numFmtId="43" fontId="11" fillId="0" borderId="0" xfId="1" applyFont="1" applyFill="1" applyAlignment="1">
      <alignment horizontal="right"/>
    </xf>
    <xf numFmtId="43" fontId="16" fillId="0" borderId="0" xfId="1" applyFont="1" applyFill="1"/>
    <xf numFmtId="43" fontId="16" fillId="0" borderId="0" xfId="1" applyFont="1" applyFill="1" applyBorder="1"/>
    <xf numFmtId="43" fontId="16" fillId="0" borderId="0" xfId="1" applyFont="1" applyFill="1" applyBorder="1" applyAlignment="1">
      <alignment horizontal="center"/>
    </xf>
    <xf numFmtId="43" fontId="16" fillId="0" borderId="0" xfId="1" applyFont="1" applyFill="1" applyAlignment="1">
      <alignment horizontal="right"/>
    </xf>
    <xf numFmtId="43" fontId="13" fillId="0" borderId="0" xfId="1" applyFont="1" applyFill="1" applyBorder="1"/>
    <xf numFmtId="43" fontId="13" fillId="0" borderId="0" xfId="1" applyFont="1" applyFill="1" applyAlignment="1">
      <alignment horizontal="right"/>
    </xf>
    <xf numFmtId="0" fontId="11" fillId="0" borderId="0" xfId="0" applyFont="1" applyAlignment="1">
      <alignment horizontal="right"/>
    </xf>
    <xf numFmtId="43" fontId="11" fillId="0" borderId="0" xfId="1" applyFont="1" applyFill="1" applyBorder="1"/>
    <xf numFmtId="43" fontId="11" fillId="0" borderId="0" xfId="1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43" fontId="13" fillId="0" borderId="0" xfId="1" applyFont="1" applyFill="1"/>
    <xf numFmtId="43" fontId="17" fillId="0" borderId="0" xfId="0" applyNumberFormat="1" applyFont="1"/>
    <xf numFmtId="43" fontId="17" fillId="0" borderId="0" xfId="4" applyNumberFormat="1" applyFont="1"/>
    <xf numFmtId="43" fontId="13" fillId="0" borderId="0" xfId="1" applyFont="1" applyFill="1" applyAlignment="1">
      <alignment horizontal="center"/>
    </xf>
    <xf numFmtId="165" fontId="11" fillId="0" borderId="0" xfId="1" applyNumberFormat="1" applyFont="1" applyFill="1" applyAlignment="1"/>
    <xf numFmtId="165" fontId="11" fillId="0" borderId="0" xfId="1" applyNumberFormat="1" applyFont="1" applyFill="1" applyAlignment="1">
      <alignment horizontal="center"/>
    </xf>
    <xf numFmtId="5" fontId="11" fillId="0" borderId="0" xfId="1" applyNumberFormat="1" applyFont="1" applyFill="1" applyAlignment="1">
      <alignment horizontal="center"/>
    </xf>
    <xf numFmtId="165" fontId="11" fillId="0" borderId="0" xfId="1" applyNumberFormat="1" applyFont="1" applyFill="1"/>
    <xf numFmtId="3" fontId="11" fillId="0" borderId="0" xfId="1" applyNumberFormat="1" applyFont="1" applyFill="1" applyAlignment="1">
      <alignment horizontal="center"/>
    </xf>
    <xf numFmtId="165" fontId="11" fillId="0" borderId="0" xfId="1" applyNumberFormat="1" applyFont="1" applyFill="1" applyBorder="1" applyAlignment="1">
      <alignment horizontal="center"/>
    </xf>
    <xf numFmtId="165" fontId="11" fillId="0" borderId="0" xfId="1" applyNumberFormat="1" applyFont="1" applyFill="1" applyBorder="1"/>
    <xf numFmtId="3" fontId="11" fillId="0" borderId="0" xfId="1" applyNumberFormat="1" applyFont="1" applyFill="1" applyBorder="1" applyAlignment="1">
      <alignment horizontal="center"/>
    </xf>
    <xf numFmtId="165" fontId="11" fillId="0" borderId="0" xfId="1" quotePrefix="1" applyNumberFormat="1" applyFont="1" applyFill="1" applyAlignment="1">
      <alignment horizontal="center"/>
    </xf>
    <xf numFmtId="165" fontId="11" fillId="0" borderId="0" xfId="2" applyNumberFormat="1" applyFont="1" applyFill="1" applyBorder="1" applyAlignment="1">
      <alignment horizontal="center"/>
    </xf>
    <xf numFmtId="0" fontId="10" fillId="0" borderId="0" xfId="0" applyFont="1"/>
    <xf numFmtId="3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/>
    <xf numFmtId="165" fontId="13" fillId="0" borderId="0" xfId="1" applyNumberFormat="1" applyFont="1" applyFill="1" applyBorder="1" applyAlignment="1">
      <alignment horizontal="center"/>
    </xf>
    <xf numFmtId="4" fontId="11" fillId="0" borderId="0" xfId="1" applyNumberFormat="1" applyFont="1" applyFill="1" applyBorder="1" applyAlignment="1">
      <alignment horizontal="center"/>
    </xf>
    <xf numFmtId="0" fontId="11" fillId="0" borderId="0" xfId="0" quotePrefix="1" applyFont="1" applyAlignment="1">
      <alignment horizontal="left"/>
    </xf>
    <xf numFmtId="3" fontId="13" fillId="0" borderId="0" xfId="1" applyNumberFormat="1" applyFont="1" applyFill="1" applyAlignment="1">
      <alignment horizontal="center"/>
    </xf>
    <xf numFmtId="5" fontId="13" fillId="0" borderId="0" xfId="1" applyNumberFormat="1" applyFont="1" applyFill="1" applyAlignment="1">
      <alignment horizontal="center"/>
    </xf>
    <xf numFmtId="165" fontId="13" fillId="0" borderId="0" xfId="2" applyNumberFormat="1" applyFont="1" applyFill="1" applyBorder="1" applyAlignment="1">
      <alignment horizontal="center"/>
    </xf>
    <xf numFmtId="0" fontId="11" fillId="3" borderId="0" xfId="0" applyFont="1" applyFill="1"/>
    <xf numFmtId="0" fontId="13" fillId="3" borderId="0" xfId="0" applyFont="1" applyFill="1" applyAlignment="1">
      <alignment horizontal="right"/>
    </xf>
    <xf numFmtId="43" fontId="20" fillId="0" borderId="0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1" fillId="4" borderId="0" xfId="0" applyFont="1" applyFill="1"/>
    <xf numFmtId="43" fontId="11" fillId="4" borderId="0" xfId="1" applyFont="1" applyFill="1" applyBorder="1"/>
    <xf numFmtId="43" fontId="11" fillId="4" borderId="0" xfId="1" applyFont="1" applyFill="1" applyBorder="1" applyAlignment="1">
      <alignment horizontal="center"/>
    </xf>
    <xf numFmtId="43" fontId="11" fillId="4" borderId="0" xfId="1" applyFont="1" applyFill="1" applyAlignment="1">
      <alignment horizontal="right"/>
    </xf>
    <xf numFmtId="0" fontId="13" fillId="4" borderId="0" xfId="0" applyFont="1" applyFill="1" applyAlignment="1">
      <alignment horizontal="right"/>
    </xf>
    <xf numFmtId="43" fontId="11" fillId="4" borderId="0" xfId="1" applyFont="1" applyFill="1"/>
    <xf numFmtId="43" fontId="13" fillId="4" borderId="0" xfId="1" applyFont="1" applyFill="1" applyBorder="1"/>
    <xf numFmtId="0" fontId="11" fillId="4" borderId="0" xfId="0" applyFont="1" applyFill="1" applyAlignment="1">
      <alignment horizontal="center"/>
    </xf>
    <xf numFmtId="0" fontId="13" fillId="4" borderId="0" xfId="0" applyFont="1" applyFill="1"/>
    <xf numFmtId="165" fontId="11" fillId="4" borderId="0" xfId="1" applyNumberFormat="1" applyFont="1" applyFill="1"/>
    <xf numFmtId="165" fontId="13" fillId="4" borderId="0" xfId="1" applyNumberFormat="1" applyFont="1" applyFill="1"/>
    <xf numFmtId="165" fontId="13" fillId="4" borderId="0" xfId="1" applyNumberFormat="1" applyFont="1" applyFill="1" applyBorder="1" applyAlignment="1">
      <alignment horizontal="center"/>
    </xf>
    <xf numFmtId="3" fontId="13" fillId="4" borderId="0" xfId="1" applyNumberFormat="1" applyFont="1" applyFill="1" applyBorder="1" applyAlignment="1">
      <alignment horizontal="center"/>
    </xf>
    <xf numFmtId="5" fontId="11" fillId="4" borderId="0" xfId="1" applyNumberFormat="1" applyFont="1" applyFill="1" applyAlignment="1">
      <alignment horizontal="center"/>
    </xf>
    <xf numFmtId="5" fontId="13" fillId="4" borderId="0" xfId="1" applyNumberFormat="1" applyFont="1" applyFill="1" applyAlignment="1">
      <alignment horizontal="center"/>
    </xf>
    <xf numFmtId="165" fontId="13" fillId="4" borderId="0" xfId="2" applyNumberFormat="1" applyFont="1" applyFill="1" applyBorder="1" applyAlignment="1">
      <alignment horizontal="center"/>
    </xf>
    <xf numFmtId="3" fontId="11" fillId="4" borderId="0" xfId="1" applyNumberFormat="1" applyFont="1" applyFill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164" fontId="11" fillId="0" borderId="0" xfId="1" quotePrefix="1" applyNumberFormat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1" quotePrefix="1" applyNumberFormat="1" applyFont="1" applyFill="1" applyAlignment="1">
      <alignment horizontal="center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3" fontId="11" fillId="0" borderId="0" xfId="1" applyFont="1" applyFill="1" applyAlignment="1">
      <alignment horizontal="left"/>
    </xf>
    <xf numFmtId="0" fontId="13" fillId="0" borderId="0" xfId="0" applyFont="1" applyAlignment="1">
      <alignment horizontal="left"/>
    </xf>
    <xf numFmtId="43" fontId="11" fillId="0" borderId="0" xfId="4" applyNumberFormat="1" applyFont="1"/>
    <xf numFmtId="165" fontId="13" fillId="3" borderId="0" xfId="1" applyNumberFormat="1" applyFont="1" applyFill="1"/>
    <xf numFmtId="3" fontId="13" fillId="3" borderId="0" xfId="1" applyNumberFormat="1" applyFont="1" applyFill="1" applyAlignment="1">
      <alignment horizontal="center"/>
    </xf>
    <xf numFmtId="3" fontId="13" fillId="3" borderId="0" xfId="1" applyNumberFormat="1" applyFont="1" applyFill="1" applyBorder="1" applyAlignment="1">
      <alignment horizontal="center"/>
    </xf>
    <xf numFmtId="5" fontId="13" fillId="3" borderId="0" xfId="1" applyNumberFormat="1" applyFont="1" applyFill="1" applyAlignment="1">
      <alignment horizontal="center"/>
    </xf>
    <xf numFmtId="3" fontId="11" fillId="3" borderId="0" xfId="1" applyNumberFormat="1" applyFont="1" applyFill="1" applyAlignment="1">
      <alignment horizontal="center"/>
    </xf>
    <xf numFmtId="43" fontId="21" fillId="4" borderId="0" xfId="0" applyNumberFormat="1" applyFont="1" applyFill="1"/>
    <xf numFmtId="43" fontId="11" fillId="4" borderId="0" xfId="4" applyNumberFormat="1" applyFont="1" applyFill="1"/>
    <xf numFmtId="165" fontId="11" fillId="0" borderId="1" xfId="2" applyNumberFormat="1" applyFont="1" applyFill="1" applyBorder="1" applyAlignment="1">
      <alignment horizontal="center"/>
    </xf>
    <xf numFmtId="165" fontId="11" fillId="0" borderId="2" xfId="2" applyNumberFormat="1" applyFont="1" applyFill="1" applyBorder="1" applyAlignment="1">
      <alignment horizontal="center"/>
    </xf>
    <xf numFmtId="165" fontId="11" fillId="0" borderId="3" xfId="2" applyNumberFormat="1" applyFont="1" applyFill="1" applyBorder="1" applyAlignment="1">
      <alignment horizontal="center"/>
    </xf>
    <xf numFmtId="0" fontId="18" fillId="0" borderId="0" xfId="1" quotePrefix="1" applyNumberFormat="1" applyFont="1" applyFill="1" applyAlignment="1">
      <alignment horizontal="center"/>
    </xf>
    <xf numFmtId="0" fontId="18" fillId="0" borderId="0" xfId="1" applyNumberFormat="1" applyFont="1" applyFill="1" applyAlignment="1">
      <alignment horizontal="center"/>
    </xf>
    <xf numFmtId="0" fontId="11" fillId="0" borderId="0" xfId="0" quotePrefix="1" applyFont="1" applyAlignment="1">
      <alignment horizontal="left"/>
    </xf>
    <xf numFmtId="165" fontId="11" fillId="0" borderId="0" xfId="2" applyNumberFormat="1" applyFont="1" applyFill="1" applyBorder="1" applyAlignment="1">
      <alignment horizontal="center"/>
    </xf>
    <xf numFmtId="165" fontId="11" fillId="4" borderId="0" xfId="2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11">
    <cellStyle name="Comma" xfId="1" builtinId="3"/>
    <cellStyle name="Comma 2" xfId="2" xr:uid="{00000000-0005-0000-0000-000001000000}"/>
    <cellStyle name="Comma 3" xfId="6" xr:uid="{84586709-86BF-4643-8831-BCAA2BED4C95}"/>
    <cellStyle name="Currency 2" xfId="7" xr:uid="{4ADB203C-1C0B-423B-9277-2B0264D1048A}"/>
    <cellStyle name="Currency 2 3" xfId="10" xr:uid="{C804B270-9A41-4B1A-BDDE-06E815AAF970}"/>
    <cellStyle name="Normal" xfId="0" builtinId="0"/>
    <cellStyle name="Normal 2" xfId="3" xr:uid="{0AEA8B78-375E-43C2-9518-5585D1EA9385}"/>
    <cellStyle name="Normal 2 2" xfId="4" xr:uid="{F908F72D-0637-437B-BC54-E93D20AC412A}"/>
    <cellStyle name="Normal 2 3" xfId="9" xr:uid="{D6531A3B-6DBF-41B2-B16D-B29867956D0B}"/>
    <cellStyle name="Normal 3" xfId="5" xr:uid="{809444AA-7087-465B-A655-9F9A38D7AB64}"/>
    <cellStyle name="Percent 2" xfId="8" xr:uid="{126E8C44-1F0C-402E-8B53-FA6D85FDE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elasco, Gustavo (PacifiCorp)" id="{678E2EAE-A18D-4D21-8D63-A8D5D75CC00F}" userId="S::Gustavo.Velasco@pacificorp.com::b9161381-e8bd-48b5-9cf5-44cb4cc5721a" providerId="AD"/>
  <person displayName="Velasco, Gustavo (PacifiCorp)" id="{7F061E7C-19D9-4243-945C-2F21E770D139}" userId="S::Gustavo.Velasco@pacificorp.com::bd83c284-4e36-4d1c-b6bd-7f543d9b1d7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55" dT="2022-07-13T17:08:25.60" personId="{7F061E7C-19D9-4243-945C-2F21E770D139}" id="{9D0B6578-4023-41B3-9949-521AB6B84C00}">
    <text>See comment c426</text>
  </threadedComment>
  <threadedComment ref="I472" dT="2024-01-11T03:19:23.92" personId="{7F061E7C-19D9-4243-945C-2F21E770D139}" id="{FFD78A3C-DF36-42A2-B995-BF396964932E}">
    <text xml:space="preserve">Adjusted 1c for rounding. 
</text>
  </threadedComment>
  <threadedComment ref="C477" dT="2024-07-20T18:29:52.30" personId="{678E2EAE-A18D-4D21-8D63-A8D5D75CC00F}" id="{6C475528-17C7-448A-AD24-6B0A3C12560F}">
    <text xml:space="preserve">Balance Changes see 2024 Q4 Report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261"/>
  <sheetViews>
    <sheetView tabSelected="1" view="pageBreakPreview" zoomScale="70" zoomScaleNormal="100" zoomScaleSheetLayoutView="70" workbookViewId="0">
      <selection activeCell="F7" sqref="F7"/>
    </sheetView>
  </sheetViews>
  <sheetFormatPr defaultRowHeight="12.75" x14ac:dyDescent="0.2"/>
  <cols>
    <col min="1" max="1" width="9.5" style="63" bestFit="1" customWidth="1"/>
    <col min="2" max="2" width="15.33203125" customWidth="1"/>
    <col min="3" max="3" width="20.33203125" style="5" bestFit="1" customWidth="1"/>
    <col min="4" max="4" width="21.83203125" style="5" bestFit="1" customWidth="1"/>
    <col min="5" max="5" width="20.33203125" style="5" bestFit="1" customWidth="1"/>
    <col min="6" max="6" width="19" style="5" bestFit="1" customWidth="1"/>
    <col min="7" max="7" width="21" style="5" bestFit="1" customWidth="1"/>
    <col min="8" max="9" width="20.33203125" style="5" bestFit="1" customWidth="1"/>
    <col min="10" max="10" width="16" style="5" customWidth="1"/>
    <col min="11" max="11" width="13.1640625" style="5" customWidth="1"/>
    <col min="12" max="12" width="3.1640625" customWidth="1"/>
    <col min="13" max="13" width="12.33203125" bestFit="1" customWidth="1"/>
    <col min="14" max="14" width="14.33203125" bestFit="1" customWidth="1"/>
    <col min="15" max="15" width="14" bestFit="1" customWidth="1"/>
  </cols>
  <sheetData>
    <row r="1" spans="1:14" ht="18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5"/>
      <c r="L1" s="1"/>
      <c r="M1" s="1"/>
      <c r="N1" s="1"/>
    </row>
    <row r="2" spans="1:14" ht="18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5"/>
      <c r="L2" s="1"/>
      <c r="M2" s="1"/>
      <c r="N2" s="1"/>
    </row>
    <row r="3" spans="1:14" ht="18" x14ac:dyDescent="0.25">
      <c r="A3" s="109" t="s">
        <v>2</v>
      </c>
      <c r="B3" s="109"/>
      <c r="C3" s="109"/>
      <c r="D3" s="109"/>
      <c r="E3" s="109"/>
      <c r="F3" s="109"/>
      <c r="G3" s="109"/>
      <c r="H3" s="109"/>
      <c r="I3" s="109"/>
      <c r="J3" s="109"/>
      <c r="K3" s="15"/>
      <c r="L3" s="1"/>
      <c r="M3" s="1"/>
      <c r="N3" s="1"/>
    </row>
    <row r="4" spans="1:14" ht="18" x14ac:dyDescent="0.25">
      <c r="A4" s="109" t="s">
        <v>168</v>
      </c>
      <c r="B4" s="109"/>
      <c r="C4" s="109"/>
      <c r="D4" s="109"/>
      <c r="E4" s="109"/>
      <c r="F4" s="109"/>
      <c r="G4" s="109"/>
      <c r="H4" s="109"/>
      <c r="I4" s="109"/>
      <c r="J4" s="109"/>
      <c r="K4" s="15"/>
      <c r="L4" s="1"/>
      <c r="M4" s="1"/>
      <c r="N4" s="1"/>
    </row>
    <row r="5" spans="1:14" ht="18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6"/>
    </row>
    <row r="6" spans="1:14" ht="15.75" x14ac:dyDescent="0.25">
      <c r="A6" s="89" t="s">
        <v>3</v>
      </c>
      <c r="B6" s="90"/>
      <c r="C6" s="91"/>
      <c r="D6" s="18"/>
      <c r="E6" s="18"/>
      <c r="F6" s="18"/>
      <c r="G6" s="18"/>
      <c r="H6" s="18"/>
      <c r="I6" s="18"/>
      <c r="J6" s="18"/>
      <c r="K6" s="19"/>
    </row>
    <row r="7" spans="1:14" ht="15.75" x14ac:dyDescent="0.25">
      <c r="A7" s="82"/>
      <c r="B7" s="17"/>
      <c r="C7" s="20" t="s">
        <v>4</v>
      </c>
      <c r="D7" s="18"/>
      <c r="E7" s="20" t="s">
        <v>5</v>
      </c>
      <c r="F7" s="20" t="s">
        <v>5</v>
      </c>
      <c r="G7" s="20" t="s">
        <v>6</v>
      </c>
      <c r="H7" s="18"/>
      <c r="I7" s="20" t="s">
        <v>7</v>
      </c>
      <c r="J7" s="18"/>
      <c r="K7" s="19"/>
    </row>
    <row r="8" spans="1:14" ht="17.25" customHeight="1" x14ac:dyDescent="0.25">
      <c r="A8" s="21" t="s">
        <v>8</v>
      </c>
      <c r="B8" s="21" t="s">
        <v>9</v>
      </c>
      <c r="C8" s="20" t="s">
        <v>10</v>
      </c>
      <c r="D8" s="22" t="s">
        <v>150</v>
      </c>
      <c r="E8" s="23" t="s">
        <v>151</v>
      </c>
      <c r="F8" s="23" t="s">
        <v>152</v>
      </c>
      <c r="G8" s="23" t="s">
        <v>153</v>
      </c>
      <c r="H8" s="23" t="s">
        <v>154</v>
      </c>
      <c r="I8" s="23" t="s">
        <v>155</v>
      </c>
      <c r="J8" s="18"/>
      <c r="K8" s="19"/>
    </row>
    <row r="9" spans="1:14" ht="15" hidden="1" x14ac:dyDescent="0.2">
      <c r="A9" s="24">
        <v>2000</v>
      </c>
      <c r="B9" s="17" t="s">
        <v>11</v>
      </c>
      <c r="C9" s="18">
        <v>0</v>
      </c>
      <c r="D9" s="18">
        <v>-49746.62</v>
      </c>
      <c r="E9" s="18">
        <v>7930.16</v>
      </c>
      <c r="F9" s="18">
        <v>0</v>
      </c>
      <c r="G9" s="18">
        <v>0</v>
      </c>
      <c r="H9" s="25">
        <v>-125.99</v>
      </c>
      <c r="I9" s="26">
        <f>C9+D9+E9+F9+G9+H9</f>
        <v>-41942.450000000004</v>
      </c>
      <c r="J9" s="18"/>
      <c r="K9" s="19"/>
      <c r="L9" s="3"/>
    </row>
    <row r="10" spans="1:14" ht="15" hidden="1" x14ac:dyDescent="0.2">
      <c r="A10" s="24"/>
      <c r="B10" s="17" t="s">
        <v>12</v>
      </c>
      <c r="C10" s="18">
        <f>I9</f>
        <v>-41942.450000000004</v>
      </c>
      <c r="D10" s="18">
        <v>-155090.97</v>
      </c>
      <c r="E10" s="18">
        <v>120</v>
      </c>
      <c r="F10" s="18">
        <v>0</v>
      </c>
      <c r="G10" s="18">
        <v>32</v>
      </c>
      <c r="H10" s="25">
        <v>-719.58</v>
      </c>
      <c r="I10" s="26">
        <f>C10+D10+E10+F10+G10+H10</f>
        <v>-197601</v>
      </c>
      <c r="J10" s="18"/>
      <c r="K10" s="19"/>
      <c r="L10" s="3"/>
      <c r="M10" s="3"/>
      <c r="N10" s="3"/>
    </row>
    <row r="11" spans="1:14" ht="15" hidden="1" x14ac:dyDescent="0.2">
      <c r="A11" s="24"/>
      <c r="B11" s="17" t="s">
        <v>13</v>
      </c>
      <c r="C11" s="18">
        <f>I10</f>
        <v>-197601</v>
      </c>
      <c r="D11" s="18">
        <v>-164084.78</v>
      </c>
      <c r="E11" s="18">
        <v>0</v>
      </c>
      <c r="F11" s="18">
        <v>0</v>
      </c>
      <c r="G11" s="18">
        <v>1302.6099999999999</v>
      </c>
      <c r="H11" s="25">
        <v>-1681.21</v>
      </c>
      <c r="I11" s="26">
        <f>C11+D11+E11+F11+G11+H11</f>
        <v>-362064.38000000006</v>
      </c>
      <c r="J11" s="18"/>
      <c r="K11" s="19"/>
      <c r="L11" s="3"/>
      <c r="M11" s="3"/>
      <c r="N11" s="3"/>
    </row>
    <row r="12" spans="1:14" ht="17.25" hidden="1" x14ac:dyDescent="0.35">
      <c r="A12" s="24"/>
      <c r="B12" s="17" t="s">
        <v>14</v>
      </c>
      <c r="C12" s="27">
        <f>I11</f>
        <v>-362064.38000000006</v>
      </c>
      <c r="D12" s="28">
        <v>-157134.48000000001</v>
      </c>
      <c r="E12" s="28">
        <v>0</v>
      </c>
      <c r="F12" s="28">
        <v>0</v>
      </c>
      <c r="G12" s="28">
        <v>7845.67</v>
      </c>
      <c r="H12" s="29">
        <v>-2631.61</v>
      </c>
      <c r="I12" s="30">
        <f>C12+D12+E12+F12+G12+H12</f>
        <v>-513984.8000000001</v>
      </c>
      <c r="J12" s="18"/>
      <c r="K12" s="19"/>
    </row>
    <row r="13" spans="1:14" ht="15.75" x14ac:dyDescent="0.25">
      <c r="A13" s="24"/>
      <c r="B13" s="21">
        <v>2000</v>
      </c>
      <c r="C13" s="18">
        <f>C9</f>
        <v>0</v>
      </c>
      <c r="D13" s="31">
        <f>SUM(D9:D12)</f>
        <v>-526056.85</v>
      </c>
      <c r="E13" s="31">
        <f>SUM(E9:E12)</f>
        <v>8050.16</v>
      </c>
      <c r="F13" s="31">
        <f>SUM(F9:F12)</f>
        <v>0</v>
      </c>
      <c r="G13" s="31">
        <f>SUM(G9:G12)</f>
        <v>9180.2800000000007</v>
      </c>
      <c r="H13" s="31">
        <f>SUM(H9:H12)</f>
        <v>-5158.3900000000003</v>
      </c>
      <c r="I13" s="32">
        <f>SUM(C13:H13)</f>
        <v>-513984.8</v>
      </c>
      <c r="J13" s="18"/>
      <c r="K13" s="19"/>
    </row>
    <row r="14" spans="1:14" ht="15" hidden="1" x14ac:dyDescent="0.2">
      <c r="A14" s="24"/>
      <c r="B14" s="33"/>
      <c r="C14" s="18"/>
      <c r="D14" s="34"/>
      <c r="E14" s="34"/>
      <c r="F14" s="34"/>
      <c r="G14" s="34"/>
      <c r="H14" s="35"/>
      <c r="I14" s="26"/>
      <c r="J14" s="18"/>
      <c r="K14" s="19"/>
    </row>
    <row r="15" spans="1:14" ht="15" hidden="1" x14ac:dyDescent="0.2">
      <c r="A15" s="24">
        <v>2001</v>
      </c>
      <c r="B15" s="33" t="s">
        <v>15</v>
      </c>
      <c r="C15" s="18">
        <f>I12</f>
        <v>-513984.8000000001</v>
      </c>
      <c r="D15" s="34">
        <v>-157395.98000000001</v>
      </c>
      <c r="E15" s="34">
        <v>0</v>
      </c>
      <c r="F15" s="34">
        <v>0</v>
      </c>
      <c r="G15" s="34">
        <v>36351.31</v>
      </c>
      <c r="H15" s="35">
        <v>-3461.98</v>
      </c>
      <c r="I15" s="26">
        <f>C15+D15+E15+F15+G15+H15</f>
        <v>-638491.45000000019</v>
      </c>
      <c r="J15" s="18"/>
      <c r="K15" s="19"/>
    </row>
    <row r="16" spans="1:14" ht="15" hidden="1" x14ac:dyDescent="0.2">
      <c r="A16" s="24"/>
      <c r="B16" s="33" t="s">
        <v>16</v>
      </c>
      <c r="C16" s="18">
        <f>I15</f>
        <v>-638491.45000000019</v>
      </c>
      <c r="D16" s="34">
        <v>-154513.18</v>
      </c>
      <c r="E16" s="34">
        <v>0</v>
      </c>
      <c r="F16" s="34">
        <v>13682.09</v>
      </c>
      <c r="G16" s="34">
        <v>93482.89</v>
      </c>
      <c r="H16" s="35">
        <v>-3990.21</v>
      </c>
      <c r="I16" s="26">
        <f>C16+D16+E16+F16+G16+H16</f>
        <v>-689829.8600000001</v>
      </c>
      <c r="J16" s="18"/>
      <c r="K16" s="19"/>
    </row>
    <row r="17" spans="1:11" ht="15" hidden="1" x14ac:dyDescent="0.2">
      <c r="A17" s="24"/>
      <c r="B17" s="33" t="s">
        <v>17</v>
      </c>
      <c r="C17" s="18">
        <f>I16</f>
        <v>-689829.8600000001</v>
      </c>
      <c r="D17" s="34">
        <v>-159380.24</v>
      </c>
      <c r="E17" s="34">
        <v>0</v>
      </c>
      <c r="F17" s="34">
        <v>0</v>
      </c>
      <c r="G17" s="34">
        <v>118377.69</v>
      </c>
      <c r="H17" s="35">
        <v>-4280.46</v>
      </c>
      <c r="I17" s="26">
        <f>C17+D17+E17+F17+G17+H17</f>
        <v>-735112.87000000011</v>
      </c>
      <c r="J17" s="18"/>
      <c r="K17" s="19"/>
    </row>
    <row r="18" spans="1:11" ht="15.75" hidden="1" x14ac:dyDescent="0.25">
      <c r="A18" s="24"/>
      <c r="B18" s="36" t="s">
        <v>18</v>
      </c>
      <c r="C18" s="18"/>
      <c r="D18" s="31">
        <f>SUM(D15:D17)</f>
        <v>-471289.4</v>
      </c>
      <c r="E18" s="31">
        <f>SUM(E15:E17)</f>
        <v>0</v>
      </c>
      <c r="F18" s="31">
        <f>SUM(F15:F17)</f>
        <v>13682.09</v>
      </c>
      <c r="G18" s="31">
        <f>SUM(G15:G17)</f>
        <v>248211.89</v>
      </c>
      <c r="H18" s="31">
        <f>SUM(H15:H17)</f>
        <v>-11732.650000000001</v>
      </c>
      <c r="I18" s="26"/>
      <c r="J18" s="18"/>
      <c r="K18" s="19"/>
    </row>
    <row r="19" spans="1:11" ht="15.75" hidden="1" x14ac:dyDescent="0.25">
      <c r="A19" s="24"/>
      <c r="B19" s="36"/>
      <c r="C19" s="18"/>
      <c r="D19" s="31"/>
      <c r="E19" s="31"/>
      <c r="F19" s="31"/>
      <c r="G19" s="31"/>
      <c r="H19" s="31"/>
      <c r="I19" s="26"/>
      <c r="J19" s="18"/>
      <c r="K19" s="19"/>
    </row>
    <row r="20" spans="1:11" ht="15" hidden="1" x14ac:dyDescent="0.2">
      <c r="A20" s="24" t="s">
        <v>19</v>
      </c>
      <c r="B20" s="33" t="s">
        <v>20</v>
      </c>
      <c r="C20" s="18">
        <f>I17</f>
        <v>-735112.87000000011</v>
      </c>
      <c r="D20" s="34">
        <v>-155632.22</v>
      </c>
      <c r="E20" s="34">
        <v>70.94</v>
      </c>
      <c r="F20" s="34">
        <v>0</v>
      </c>
      <c r="G20" s="34">
        <v>134926.39000000001</v>
      </c>
      <c r="H20" s="35">
        <v>-4491.96</v>
      </c>
      <c r="I20" s="26">
        <f>C20+D20+E20+F20+G20+H20</f>
        <v>-760239.72000000009</v>
      </c>
      <c r="J20" s="18"/>
      <c r="K20" s="19"/>
    </row>
    <row r="21" spans="1:11" ht="15" hidden="1" x14ac:dyDescent="0.2">
      <c r="A21" s="24"/>
      <c r="B21" s="33" t="s">
        <v>21</v>
      </c>
      <c r="C21" s="18">
        <f>I20</f>
        <v>-760239.72000000009</v>
      </c>
      <c r="D21" s="34">
        <v>-159152.26999999999</v>
      </c>
      <c r="E21" s="34">
        <v>774.16</v>
      </c>
      <c r="F21" s="34">
        <v>0</v>
      </c>
      <c r="G21" s="34">
        <v>139913.75</v>
      </c>
      <c r="H21" s="35">
        <v>-4636.84</v>
      </c>
      <c r="I21" s="26">
        <f>C21+D21+E21+F21+G21+H21</f>
        <v>-783340.92</v>
      </c>
      <c r="J21" s="18"/>
      <c r="K21" s="19"/>
    </row>
    <row r="22" spans="1:11" ht="15" hidden="1" x14ac:dyDescent="0.2">
      <c r="A22" s="24"/>
      <c r="B22" s="33" t="s">
        <v>22</v>
      </c>
      <c r="C22" s="18">
        <f>I21</f>
        <v>-783340.92</v>
      </c>
      <c r="D22" s="34">
        <v>-155511.5</v>
      </c>
      <c r="E22" s="34">
        <v>0</v>
      </c>
      <c r="F22" s="34">
        <v>51317.91</v>
      </c>
      <c r="G22" s="34">
        <v>135652.12</v>
      </c>
      <c r="H22" s="35">
        <v>-4625.63</v>
      </c>
      <c r="I22" s="26">
        <f>C22+D22+E22+F22+G22+H22</f>
        <v>-756508.02</v>
      </c>
      <c r="J22" s="18"/>
      <c r="K22" s="19"/>
    </row>
    <row r="23" spans="1:11" ht="15.75" hidden="1" x14ac:dyDescent="0.25">
      <c r="A23" s="24"/>
      <c r="B23" s="36" t="s">
        <v>23</v>
      </c>
      <c r="C23" s="18"/>
      <c r="D23" s="31">
        <f>SUM(D20:D22)</f>
        <v>-470295.99</v>
      </c>
      <c r="E23" s="31">
        <f>SUM(E20:E22)</f>
        <v>845.09999999999991</v>
      </c>
      <c r="F23" s="31">
        <f>SUM(F20:F22)</f>
        <v>51317.91</v>
      </c>
      <c r="G23" s="31">
        <f>SUM(G20:G22)</f>
        <v>410492.26</v>
      </c>
      <c r="H23" s="31">
        <f>SUM(H20:H22)</f>
        <v>-13754.43</v>
      </c>
      <c r="I23" s="26"/>
      <c r="J23" s="18"/>
      <c r="K23" s="19"/>
    </row>
    <row r="24" spans="1:11" ht="15.75" hidden="1" x14ac:dyDescent="0.25">
      <c r="A24" s="24"/>
      <c r="B24" s="36"/>
      <c r="C24" s="18"/>
      <c r="D24" s="31"/>
      <c r="E24" s="31"/>
      <c r="F24" s="31"/>
      <c r="G24" s="31"/>
      <c r="H24" s="31"/>
      <c r="I24" s="26"/>
      <c r="J24" s="18"/>
      <c r="K24" s="19"/>
    </row>
    <row r="25" spans="1:11" ht="15" hidden="1" x14ac:dyDescent="0.2">
      <c r="A25" s="24" t="s">
        <v>19</v>
      </c>
      <c r="B25" s="33" t="s">
        <v>24</v>
      </c>
      <c r="C25" s="18">
        <f>I22</f>
        <v>-756508.02</v>
      </c>
      <c r="D25" s="34">
        <v>-150459.75</v>
      </c>
      <c r="E25" s="34">
        <v>0</v>
      </c>
      <c r="F25" s="34">
        <v>0</v>
      </c>
      <c r="G25" s="34">
        <v>131372.34</v>
      </c>
      <c r="H25" s="35">
        <v>-4616.2299999999996</v>
      </c>
      <c r="I25" s="26">
        <f>C25+D25+E25+F25+G25+H25</f>
        <v>-780211.66</v>
      </c>
      <c r="J25" s="18"/>
      <c r="K25" s="19"/>
    </row>
    <row r="26" spans="1:11" ht="15" hidden="1" x14ac:dyDescent="0.2">
      <c r="A26" s="24"/>
      <c r="B26" s="33" t="s">
        <v>25</v>
      </c>
      <c r="C26" s="18">
        <f>I25</f>
        <v>-780211.66</v>
      </c>
      <c r="D26" s="34">
        <v>-159203.79999999999</v>
      </c>
      <c r="E26" s="34">
        <v>332.32</v>
      </c>
      <c r="F26" s="34">
        <v>0</v>
      </c>
      <c r="G26" s="34">
        <v>125204.29</v>
      </c>
      <c r="H26" s="35">
        <v>-4802.99</v>
      </c>
      <c r="I26" s="26">
        <f>C26+D26+E26+F26+G26+H26</f>
        <v>-818681.84</v>
      </c>
      <c r="J26" s="18"/>
      <c r="K26" s="19"/>
    </row>
    <row r="27" spans="1:11" ht="15" hidden="1" x14ac:dyDescent="0.2">
      <c r="A27" s="24"/>
      <c r="B27" s="33" t="s">
        <v>11</v>
      </c>
      <c r="C27" s="18">
        <f>I26</f>
        <v>-818681.84</v>
      </c>
      <c r="D27" s="34">
        <v>-159673.67000000001</v>
      </c>
      <c r="E27" s="34">
        <v>1369.75</v>
      </c>
      <c r="F27" s="34">
        <v>0</v>
      </c>
      <c r="G27" s="34">
        <v>119798.57</v>
      </c>
      <c r="H27" s="35">
        <v>-5049.3900000000003</v>
      </c>
      <c r="I27" s="26">
        <f>C27+D27+E27+F27+G27+H27</f>
        <v>-862236.58</v>
      </c>
      <c r="J27" s="18"/>
      <c r="K27" s="19"/>
    </row>
    <row r="28" spans="1:11" ht="15.75" hidden="1" x14ac:dyDescent="0.25">
      <c r="A28" s="24"/>
      <c r="B28" s="36" t="s">
        <v>26</v>
      </c>
      <c r="C28" s="18"/>
      <c r="D28" s="31">
        <f>SUM(D25:D27)</f>
        <v>-469337.22</v>
      </c>
      <c r="E28" s="31">
        <f>SUM(E25:E27)</f>
        <v>1702.07</v>
      </c>
      <c r="F28" s="31">
        <f>SUM(F25:F27)</f>
        <v>0</v>
      </c>
      <c r="G28" s="31">
        <f>SUM(G25:G27)</f>
        <v>376375.2</v>
      </c>
      <c r="H28" s="31">
        <f>SUM(H25:H27)</f>
        <v>-14468.61</v>
      </c>
      <c r="I28" s="26"/>
      <c r="J28" s="18"/>
      <c r="K28" s="19"/>
    </row>
    <row r="29" spans="1:11" ht="15.75" hidden="1" x14ac:dyDescent="0.25">
      <c r="A29" s="24"/>
      <c r="B29" s="36"/>
      <c r="C29" s="18"/>
      <c r="D29" s="31"/>
      <c r="E29" s="31"/>
      <c r="F29" s="31"/>
      <c r="G29" s="31"/>
      <c r="H29" s="31"/>
      <c r="I29" s="26"/>
      <c r="J29" s="18"/>
      <c r="K29" s="19"/>
    </row>
    <row r="30" spans="1:11" ht="15" hidden="1" x14ac:dyDescent="0.2">
      <c r="A30" s="24"/>
      <c r="B30" s="33" t="s">
        <v>12</v>
      </c>
      <c r="C30" s="18">
        <f>I27</f>
        <v>-862236.58</v>
      </c>
      <c r="D30" s="34">
        <v>-159560.14000000001</v>
      </c>
      <c r="E30" s="34">
        <v>333.56</v>
      </c>
      <c r="F30" s="34">
        <v>0</v>
      </c>
      <c r="G30" s="34">
        <v>115325.4</v>
      </c>
      <c r="H30" s="35">
        <v>-5328.11</v>
      </c>
      <c r="I30" s="26">
        <f>C30+D30+E30+F30+G30+H30</f>
        <v>-911465.86999999988</v>
      </c>
      <c r="J30" s="18"/>
      <c r="K30" s="19"/>
    </row>
    <row r="31" spans="1:11" ht="15" hidden="1" x14ac:dyDescent="0.2">
      <c r="A31" s="24"/>
      <c r="B31" s="33" t="s">
        <v>13</v>
      </c>
      <c r="C31" s="18">
        <f>I30</f>
        <v>-911465.86999999988</v>
      </c>
      <c r="D31" s="34">
        <v>-160988.94</v>
      </c>
      <c r="E31" s="34">
        <v>64.760000000000005</v>
      </c>
      <c r="F31" s="34">
        <v>0</v>
      </c>
      <c r="G31" s="34">
        <v>109457.88</v>
      </c>
      <c r="H31" s="35">
        <v>-5647.56</v>
      </c>
      <c r="I31" s="26">
        <f>C31+D31+E31+F31+G31+H31</f>
        <v>-968579.72999999986</v>
      </c>
      <c r="J31" s="18"/>
      <c r="K31" s="19"/>
    </row>
    <row r="32" spans="1:11" ht="15" hidden="1" x14ac:dyDescent="0.2">
      <c r="A32" s="24"/>
      <c r="B32" s="33" t="s">
        <v>14</v>
      </c>
      <c r="C32" s="18">
        <f>I31</f>
        <v>-968579.72999999986</v>
      </c>
      <c r="D32" s="34">
        <v>-148605.51999999999</v>
      </c>
      <c r="E32" s="34">
        <v>366.81</v>
      </c>
      <c r="F32" s="34">
        <v>0</v>
      </c>
      <c r="G32" s="34">
        <v>94708.41</v>
      </c>
      <c r="H32" s="35">
        <v>-5997.95</v>
      </c>
      <c r="I32" s="26">
        <f>C32+D32+E32+F32+G32+H32</f>
        <v>-1028107.9799999996</v>
      </c>
      <c r="J32" s="18"/>
      <c r="K32" s="19"/>
    </row>
    <row r="33" spans="1:15" ht="15.75" hidden="1" x14ac:dyDescent="0.25">
      <c r="A33" s="24"/>
      <c r="B33" s="36" t="s">
        <v>27</v>
      </c>
      <c r="C33" s="18"/>
      <c r="D33" s="31">
        <f>SUM(D30:D32)</f>
        <v>-469154.6</v>
      </c>
      <c r="E33" s="31">
        <f>SUM(E30:E32)</f>
        <v>765.13</v>
      </c>
      <c r="F33" s="31">
        <f>SUM(F30:F32)</f>
        <v>0</v>
      </c>
      <c r="G33" s="31">
        <f>SUM(G30:G32)</f>
        <v>319491.69</v>
      </c>
      <c r="H33" s="31">
        <f>SUM(H30:H32)</f>
        <v>-16973.62</v>
      </c>
      <c r="I33" s="26"/>
      <c r="J33" s="18"/>
      <c r="K33" s="19"/>
    </row>
    <row r="34" spans="1:15" s="2" customFormat="1" ht="15.75" x14ac:dyDescent="0.25">
      <c r="A34" s="24"/>
      <c r="B34" s="21">
        <v>2001</v>
      </c>
      <c r="C34" s="37">
        <f>I13</f>
        <v>-513984.8</v>
      </c>
      <c r="D34" s="31">
        <f>D18+D23+D28+D33</f>
        <v>-1880077.21</v>
      </c>
      <c r="E34" s="31">
        <f>E18+E23+E28+E33</f>
        <v>3312.3</v>
      </c>
      <c r="F34" s="31">
        <f>F18+F23+F28+F33</f>
        <v>65000</v>
      </c>
      <c r="G34" s="31">
        <f>G18+G23+G28+G33</f>
        <v>1354571.04</v>
      </c>
      <c r="H34" s="31">
        <f>H18+H23+H28+H33</f>
        <v>-56929.31</v>
      </c>
      <c r="I34" s="32">
        <f>SUM(C34:H34)</f>
        <v>-1028107.98</v>
      </c>
      <c r="J34" s="18"/>
      <c r="K34" s="19"/>
      <c r="L34"/>
      <c r="M34"/>
      <c r="N34"/>
      <c r="O34"/>
    </row>
    <row r="35" spans="1:15" s="2" customFormat="1" ht="15.75" hidden="1" x14ac:dyDescent="0.25">
      <c r="A35" s="24"/>
      <c r="B35" s="36"/>
      <c r="C35" s="18"/>
      <c r="D35" s="31"/>
      <c r="E35" s="31"/>
      <c r="F35" s="31"/>
      <c r="G35" s="31"/>
      <c r="H35" s="31"/>
      <c r="I35" s="26"/>
      <c r="J35" s="18"/>
      <c r="K35" s="19"/>
      <c r="L35"/>
      <c r="M35"/>
      <c r="N35"/>
      <c r="O35"/>
    </row>
    <row r="36" spans="1:15" s="2" customFormat="1" ht="15" hidden="1" x14ac:dyDescent="0.2">
      <c r="A36" s="24">
        <v>2002</v>
      </c>
      <c r="B36" s="33" t="s">
        <v>15</v>
      </c>
      <c r="C36" s="18">
        <f>I32</f>
        <v>-1028107.9799999996</v>
      </c>
      <c r="D36" s="34">
        <v>-167389.09</v>
      </c>
      <c r="E36" s="34">
        <v>0</v>
      </c>
      <c r="F36" s="34">
        <v>0</v>
      </c>
      <c r="G36" s="34">
        <v>171074.91</v>
      </c>
      <c r="H36" s="35">
        <v>-6184.27</v>
      </c>
      <c r="I36" s="26">
        <f>C36+D36+E36+F36+G36+H36</f>
        <v>-1030606.4299999996</v>
      </c>
      <c r="J36" s="18"/>
      <c r="K36" s="19"/>
      <c r="L36"/>
      <c r="M36"/>
      <c r="N36"/>
      <c r="O36"/>
    </row>
    <row r="37" spans="1:15" s="2" customFormat="1" ht="15" hidden="1" x14ac:dyDescent="0.2">
      <c r="A37" s="24"/>
      <c r="B37" s="33" t="s">
        <v>16</v>
      </c>
      <c r="C37" s="18">
        <f>I36</f>
        <v>-1030606.4299999996</v>
      </c>
      <c r="D37" s="34">
        <v>-164721.43</v>
      </c>
      <c r="E37" s="34">
        <v>0</v>
      </c>
      <c r="F37" s="34">
        <v>0</v>
      </c>
      <c r="G37" s="34">
        <v>159314.25</v>
      </c>
      <c r="H37" s="35">
        <v>-6226.73</v>
      </c>
      <c r="I37" s="26">
        <f>C37+D37+E37+F37+G37+H37</f>
        <v>-1042240.3399999996</v>
      </c>
      <c r="J37" s="18"/>
      <c r="K37" s="19"/>
      <c r="L37"/>
      <c r="M37"/>
      <c r="N37"/>
      <c r="O37"/>
    </row>
    <row r="38" spans="1:15" s="2" customFormat="1" ht="15" hidden="1" x14ac:dyDescent="0.2">
      <c r="A38" s="24"/>
      <c r="B38" s="33" t="s">
        <v>17</v>
      </c>
      <c r="C38" s="18">
        <f>I37</f>
        <v>-1042240.3399999996</v>
      </c>
      <c r="D38" s="34">
        <v>-160253.21</v>
      </c>
      <c r="E38" s="34">
        <v>0</v>
      </c>
      <c r="F38" s="34">
        <v>0</v>
      </c>
      <c r="G38" s="34">
        <v>178454.67</v>
      </c>
      <c r="H38" s="35">
        <v>-6225.7</v>
      </c>
      <c r="I38" s="26">
        <f>C38+D38+E38+F38+G38+H38</f>
        <v>-1030264.5799999995</v>
      </c>
      <c r="J38" s="18"/>
      <c r="K38" s="19"/>
      <c r="L38"/>
      <c r="M38"/>
      <c r="N38"/>
      <c r="O38"/>
    </row>
    <row r="39" spans="1:15" s="2" customFormat="1" ht="15.75" hidden="1" x14ac:dyDescent="0.25">
      <c r="A39" s="24"/>
      <c r="B39" s="36" t="s">
        <v>28</v>
      </c>
      <c r="C39" s="18"/>
      <c r="D39" s="31">
        <f>SUM(D36:D38)</f>
        <v>-492363.73</v>
      </c>
      <c r="E39" s="31">
        <f>SUM(E36:E38)</f>
        <v>0</v>
      </c>
      <c r="F39" s="31">
        <f>SUM(F36:F38)</f>
        <v>0</v>
      </c>
      <c r="G39" s="31">
        <f>SUM(G36:G38)</f>
        <v>508843.83000000007</v>
      </c>
      <c r="H39" s="31">
        <f>SUM(H36:H38)</f>
        <v>-18636.7</v>
      </c>
      <c r="I39" s="26"/>
      <c r="J39" s="18"/>
      <c r="K39" s="19"/>
      <c r="L39"/>
      <c r="M39"/>
      <c r="N39"/>
      <c r="O39"/>
    </row>
    <row r="40" spans="1:15" s="2" customFormat="1" ht="15.75" hidden="1" x14ac:dyDescent="0.25">
      <c r="A40" s="24"/>
      <c r="B40" s="36"/>
      <c r="C40" s="18"/>
      <c r="D40" s="31"/>
      <c r="E40" s="31"/>
      <c r="F40" s="31"/>
      <c r="G40" s="31"/>
      <c r="H40" s="31"/>
      <c r="I40" s="26"/>
      <c r="J40" s="18"/>
      <c r="K40" s="19"/>
      <c r="L40"/>
      <c r="M40"/>
      <c r="N40"/>
      <c r="O40"/>
    </row>
    <row r="41" spans="1:15" s="2" customFormat="1" ht="15" hidden="1" x14ac:dyDescent="0.2">
      <c r="A41" s="24"/>
      <c r="B41" s="33" t="s">
        <v>20</v>
      </c>
      <c r="C41" s="18">
        <f>I38</f>
        <v>-1030264.5799999995</v>
      </c>
      <c r="D41" s="34">
        <v>-159303.25</v>
      </c>
      <c r="E41" s="34">
        <v>943.44</v>
      </c>
      <c r="F41" s="34">
        <v>0</v>
      </c>
      <c r="G41" s="34">
        <v>205248.53</v>
      </c>
      <c r="H41" s="35">
        <v>-6067.1</v>
      </c>
      <c r="I41" s="26">
        <f>C41+D41+E41+F41+G41+H41</f>
        <v>-989442.95999999961</v>
      </c>
      <c r="J41" s="18"/>
      <c r="K41" s="19"/>
      <c r="L41"/>
      <c r="M41"/>
      <c r="N41"/>
      <c r="O41"/>
    </row>
    <row r="42" spans="1:15" s="2" customFormat="1" ht="15" hidden="1" x14ac:dyDescent="0.2">
      <c r="A42" s="24"/>
      <c r="B42" s="33" t="s">
        <v>21</v>
      </c>
      <c r="C42" s="18">
        <f>I41</f>
        <v>-989442.95999999961</v>
      </c>
      <c r="D42" s="34">
        <v>-162806.69</v>
      </c>
      <c r="E42" s="34">
        <v>78.62</v>
      </c>
      <c r="F42" s="34">
        <v>0</v>
      </c>
      <c r="G42" s="34">
        <v>214367.23</v>
      </c>
      <c r="H42" s="35">
        <v>-5806.79</v>
      </c>
      <c r="I42" s="26">
        <f>C42+D42+E42+F42+G42+H42</f>
        <v>-943610.58999999962</v>
      </c>
      <c r="J42" s="18"/>
      <c r="K42" s="19"/>
      <c r="L42"/>
      <c r="M42"/>
      <c r="N42"/>
      <c r="O42"/>
    </row>
    <row r="43" spans="1:15" s="2" customFormat="1" ht="15" hidden="1" x14ac:dyDescent="0.2">
      <c r="A43" s="24"/>
      <c r="B43" s="33" t="s">
        <v>22</v>
      </c>
      <c r="C43" s="18">
        <f>I42</f>
        <v>-943610.58999999962</v>
      </c>
      <c r="D43" s="34">
        <v>-160707.20000000001</v>
      </c>
      <c r="E43" s="34">
        <v>0</v>
      </c>
      <c r="F43" s="34">
        <v>0</v>
      </c>
      <c r="G43" s="34">
        <v>165250.54999999999</v>
      </c>
      <c r="H43" s="35">
        <v>-5672.51</v>
      </c>
      <c r="I43" s="26">
        <f>C43+D43+E43+F43+G43+H43</f>
        <v>-944739.74999999953</v>
      </c>
      <c r="J43" s="18"/>
      <c r="K43" s="19"/>
      <c r="L43"/>
      <c r="M43"/>
      <c r="N43"/>
      <c r="O43"/>
    </row>
    <row r="44" spans="1:15" s="2" customFormat="1" ht="15.75" hidden="1" x14ac:dyDescent="0.25">
      <c r="A44" s="24"/>
      <c r="B44" s="36" t="s">
        <v>29</v>
      </c>
      <c r="C44" s="18"/>
      <c r="D44" s="31">
        <f>SUM(D41:D43)</f>
        <v>-482817.14</v>
      </c>
      <c r="E44" s="31">
        <f>SUM(E41:E43)</f>
        <v>1022.0600000000001</v>
      </c>
      <c r="F44" s="31">
        <f>SUM(F41:F43)</f>
        <v>0</v>
      </c>
      <c r="G44" s="31">
        <f>SUM(G41:G43)</f>
        <v>584866.31000000006</v>
      </c>
      <c r="H44" s="31">
        <f>SUM(H41:H43)</f>
        <v>-17546.400000000001</v>
      </c>
      <c r="I44" s="26"/>
      <c r="J44" s="18"/>
      <c r="K44" s="19"/>
      <c r="L44"/>
      <c r="M44"/>
      <c r="N44"/>
      <c r="O44"/>
    </row>
    <row r="45" spans="1:15" s="2" customFormat="1" ht="15.75" hidden="1" x14ac:dyDescent="0.25">
      <c r="A45" s="24"/>
      <c r="B45" s="36"/>
      <c r="C45" s="18"/>
      <c r="D45" s="31"/>
      <c r="E45" s="31"/>
      <c r="F45" s="31"/>
      <c r="G45" s="31"/>
      <c r="H45" s="31"/>
      <c r="I45" s="26"/>
      <c r="J45" s="18"/>
      <c r="K45" s="19"/>
      <c r="L45"/>
      <c r="M45"/>
      <c r="N45"/>
      <c r="O45"/>
    </row>
    <row r="46" spans="1:15" s="2" customFormat="1" ht="15" hidden="1" x14ac:dyDescent="0.2">
      <c r="A46" s="24"/>
      <c r="B46" s="33" t="s">
        <v>24</v>
      </c>
      <c r="C46" s="18">
        <f>I43</f>
        <v>-944739.74999999953</v>
      </c>
      <c r="D46" s="34">
        <v>-165340.01999999999</v>
      </c>
      <c r="E46" s="34">
        <v>550.34</v>
      </c>
      <c r="F46" s="34">
        <v>0</v>
      </c>
      <c r="G46" s="34">
        <v>109918.64</v>
      </c>
      <c r="H46" s="35">
        <v>-5858.33</v>
      </c>
      <c r="I46" s="26">
        <f>C46+D46+E46+F46+G46+H46</f>
        <v>-1005469.1199999994</v>
      </c>
      <c r="J46" s="18"/>
      <c r="K46" s="19"/>
      <c r="L46"/>
      <c r="M46"/>
      <c r="N46"/>
      <c r="O46"/>
    </row>
    <row r="47" spans="1:15" s="2" customFormat="1" ht="15" hidden="1" x14ac:dyDescent="0.2">
      <c r="A47" s="24"/>
      <c r="B47" s="33" t="s">
        <v>25</v>
      </c>
      <c r="C47" s="18">
        <f>I46</f>
        <v>-1005469.1199999994</v>
      </c>
      <c r="D47" s="34">
        <v>-145713.59</v>
      </c>
      <c r="E47" s="34">
        <v>235.86</v>
      </c>
      <c r="F47" s="34">
        <v>19120.2</v>
      </c>
      <c r="G47" s="34">
        <v>128490.13</v>
      </c>
      <c r="H47" s="35">
        <v>-6052.53</v>
      </c>
      <c r="I47" s="26">
        <f>C47+D47+E47+F47+G47+H47</f>
        <v>-1009389.0499999995</v>
      </c>
      <c r="J47" s="18"/>
      <c r="K47" s="19"/>
      <c r="L47"/>
      <c r="M47"/>
      <c r="N47"/>
      <c r="O47"/>
    </row>
    <row r="48" spans="1:15" s="2" customFormat="1" ht="15" hidden="1" x14ac:dyDescent="0.2">
      <c r="A48" s="24"/>
      <c r="B48" s="33" t="s">
        <v>11</v>
      </c>
      <c r="C48" s="18">
        <f>I47</f>
        <v>-1009389.0499999995</v>
      </c>
      <c r="D48" s="34">
        <v>-165301.5</v>
      </c>
      <c r="E48" s="34">
        <v>0</v>
      </c>
      <c r="F48" s="34">
        <v>0</v>
      </c>
      <c r="G48" s="34">
        <v>130973.94</v>
      </c>
      <c r="H48" s="35">
        <v>-6186.01</v>
      </c>
      <c r="I48" s="26">
        <f>C48+D48+E48+F48+G48+H48</f>
        <v>-1049902.6199999994</v>
      </c>
      <c r="J48" s="18"/>
      <c r="K48" s="19"/>
      <c r="L48"/>
      <c r="M48"/>
      <c r="N48"/>
      <c r="O48"/>
    </row>
    <row r="49" spans="1:15" s="2" customFormat="1" ht="15.75" hidden="1" x14ac:dyDescent="0.25">
      <c r="A49" s="24"/>
      <c r="B49" s="36" t="s">
        <v>30</v>
      </c>
      <c r="C49" s="18"/>
      <c r="D49" s="31">
        <f>SUM(D46:D48)</f>
        <v>-476355.11</v>
      </c>
      <c r="E49" s="31">
        <f>SUM(E46:E48)</f>
        <v>786.2</v>
      </c>
      <c r="F49" s="31">
        <f>SUM(F46:F48)</f>
        <v>19120.2</v>
      </c>
      <c r="G49" s="31">
        <f>SUM(G46:G48)</f>
        <v>369382.71</v>
      </c>
      <c r="H49" s="31">
        <f>SUM(H46:H48)</f>
        <v>-18096.870000000003</v>
      </c>
      <c r="I49" s="26"/>
      <c r="J49" s="18"/>
      <c r="K49" s="19"/>
      <c r="L49"/>
      <c r="M49"/>
      <c r="N49"/>
      <c r="O49"/>
    </row>
    <row r="50" spans="1:15" ht="15.75" hidden="1" x14ac:dyDescent="0.25">
      <c r="A50" s="24"/>
      <c r="B50" s="36"/>
      <c r="C50" s="18"/>
      <c r="D50" s="31"/>
      <c r="E50" s="31"/>
      <c r="F50" s="31"/>
      <c r="G50" s="31"/>
      <c r="H50" s="31"/>
      <c r="I50" s="26"/>
      <c r="J50" s="18"/>
      <c r="K50" s="19"/>
    </row>
    <row r="51" spans="1:15" ht="15" hidden="1" x14ac:dyDescent="0.2">
      <c r="A51" s="24" t="s">
        <v>19</v>
      </c>
      <c r="B51" s="33" t="s">
        <v>12</v>
      </c>
      <c r="C51" s="18">
        <f>I48</f>
        <v>-1049902.6199999994</v>
      </c>
      <c r="D51" s="34">
        <v>-163272.95999999999</v>
      </c>
      <c r="E51" s="34">
        <v>471.72</v>
      </c>
      <c r="F51" s="34">
        <v>0</v>
      </c>
      <c r="G51" s="34">
        <v>124574.76</v>
      </c>
      <c r="H51" s="35">
        <v>-6441.89</v>
      </c>
      <c r="I51" s="26">
        <f>C51+D51+E51+F51+G51+H51</f>
        <v>-1094570.9899999993</v>
      </c>
      <c r="J51" s="18"/>
      <c r="K51" s="19"/>
    </row>
    <row r="52" spans="1:15" ht="15" hidden="1" x14ac:dyDescent="0.2">
      <c r="A52" s="24"/>
      <c r="B52" s="33" t="s">
        <v>13</v>
      </c>
      <c r="C52" s="18">
        <f>I51</f>
        <v>-1094570.9899999993</v>
      </c>
      <c r="D52" s="34">
        <v>-165975.41</v>
      </c>
      <c r="E52" s="34">
        <v>314.48</v>
      </c>
      <c r="F52" s="34">
        <v>0</v>
      </c>
      <c r="G52" s="34">
        <v>119891.86</v>
      </c>
      <c r="H52" s="35">
        <v>-6733.79</v>
      </c>
      <c r="I52" s="26">
        <f>C52+D52+E52+F52+G52+H52</f>
        <v>-1147073.8499999992</v>
      </c>
      <c r="J52" s="18"/>
      <c r="K52" s="19"/>
    </row>
    <row r="53" spans="1:15" ht="15" hidden="1" x14ac:dyDescent="0.2">
      <c r="A53" s="24"/>
      <c r="B53" s="33" t="s">
        <v>14</v>
      </c>
      <c r="C53" s="18">
        <f>I52</f>
        <v>-1147073.8499999992</v>
      </c>
      <c r="D53" s="34">
        <v>-162213.44</v>
      </c>
      <c r="E53" s="34">
        <v>235.86</v>
      </c>
      <c r="F53" s="34">
        <v>0</v>
      </c>
      <c r="G53" s="34">
        <v>125815.98</v>
      </c>
      <c r="H53" s="35">
        <v>-7021.22</v>
      </c>
      <c r="I53" s="26">
        <f>C53+D53+E53+F53+G53+H53</f>
        <v>-1190256.669999999</v>
      </c>
      <c r="J53" s="18"/>
      <c r="K53" s="19"/>
    </row>
    <row r="54" spans="1:15" ht="15.75" hidden="1" x14ac:dyDescent="0.25">
      <c r="A54" s="24"/>
      <c r="B54" s="36" t="s">
        <v>31</v>
      </c>
      <c r="C54" s="18"/>
      <c r="D54" s="31">
        <f>SUM(D51:D53)</f>
        <v>-491461.81</v>
      </c>
      <c r="E54" s="31">
        <f>SUM(E51:E53)</f>
        <v>1022.0600000000001</v>
      </c>
      <c r="F54" s="31">
        <f>SUM(F51:F53)</f>
        <v>0</v>
      </c>
      <c r="G54" s="31">
        <f>SUM(G51:G53)</f>
        <v>370282.6</v>
      </c>
      <c r="H54" s="31">
        <f>SUM(H51:H53)</f>
        <v>-20196.900000000001</v>
      </c>
      <c r="I54" s="26"/>
      <c r="J54" s="18"/>
      <c r="K54" s="19"/>
    </row>
    <row r="55" spans="1:15" ht="15.75" x14ac:dyDescent="0.25">
      <c r="A55" s="24"/>
      <c r="B55" s="21">
        <v>2002</v>
      </c>
      <c r="C55" s="37">
        <f>I34</f>
        <v>-1028107.98</v>
      </c>
      <c r="D55" s="31">
        <f>D39+D44+D49+D54</f>
        <v>-1942997.79</v>
      </c>
      <c r="E55" s="31">
        <f>E39+E44+E49+E54</f>
        <v>2830.32</v>
      </c>
      <c r="F55" s="31">
        <f>F39+F44+F49+F54</f>
        <v>19120.2</v>
      </c>
      <c r="G55" s="31">
        <f>G39+G44+G49+G54</f>
        <v>1833375.4500000002</v>
      </c>
      <c r="H55" s="31">
        <f>H39+H44+H49+H54</f>
        <v>-74476.87000000001</v>
      </c>
      <c r="I55" s="32">
        <f>SUM(C55:H55)</f>
        <v>-1190256.67</v>
      </c>
      <c r="J55" s="18"/>
      <c r="K55" s="19"/>
    </row>
    <row r="56" spans="1:15" s="2" customFormat="1" ht="15.75" hidden="1" x14ac:dyDescent="0.25">
      <c r="A56" s="82" t="s">
        <v>3</v>
      </c>
      <c r="B56" s="33"/>
      <c r="C56" s="18"/>
      <c r="D56" s="18"/>
      <c r="E56" s="18"/>
      <c r="F56" s="18"/>
      <c r="G56" s="18"/>
      <c r="H56" s="18"/>
      <c r="I56" s="18"/>
      <c r="J56" s="18"/>
      <c r="K56" s="19"/>
      <c r="L56"/>
      <c r="M56"/>
      <c r="N56"/>
      <c r="O56"/>
    </row>
    <row r="57" spans="1:15" s="2" customFormat="1" ht="15" hidden="1" customHeight="1" x14ac:dyDescent="0.25">
      <c r="A57" s="82"/>
      <c r="B57" s="33"/>
      <c r="C57" s="20" t="s">
        <v>4</v>
      </c>
      <c r="D57" s="18"/>
      <c r="E57" s="20" t="s">
        <v>5</v>
      </c>
      <c r="F57" s="20" t="s">
        <v>5</v>
      </c>
      <c r="G57" s="20" t="s">
        <v>6</v>
      </c>
      <c r="H57" s="18"/>
      <c r="I57" s="20" t="s">
        <v>7</v>
      </c>
      <c r="J57" s="18"/>
      <c r="K57" s="19"/>
      <c r="L57"/>
      <c r="M57"/>
      <c r="N57"/>
      <c r="O57"/>
    </row>
    <row r="58" spans="1:15" s="2" customFormat="1" ht="15" hidden="1" customHeight="1" x14ac:dyDescent="0.25">
      <c r="A58" s="21" t="s">
        <v>8</v>
      </c>
      <c r="B58" s="36" t="s">
        <v>32</v>
      </c>
      <c r="C58" s="20" t="s">
        <v>10</v>
      </c>
      <c r="D58" s="22" t="s">
        <v>150</v>
      </c>
      <c r="E58" s="23" t="s">
        <v>151</v>
      </c>
      <c r="F58" s="23" t="s">
        <v>156</v>
      </c>
      <c r="G58" s="23" t="s">
        <v>153</v>
      </c>
      <c r="H58" s="23" t="s">
        <v>154</v>
      </c>
      <c r="I58" s="23" t="s">
        <v>155</v>
      </c>
      <c r="J58" s="18"/>
      <c r="K58" s="19"/>
      <c r="L58"/>
      <c r="M58"/>
      <c r="N58"/>
      <c r="O58"/>
    </row>
    <row r="59" spans="1:15" s="2" customFormat="1" ht="15.75" hidden="1" x14ac:dyDescent="0.25">
      <c r="A59" s="24"/>
      <c r="B59" s="36"/>
      <c r="C59" s="18"/>
      <c r="D59" s="31"/>
      <c r="E59" s="31"/>
      <c r="F59" s="31"/>
      <c r="G59" s="31"/>
      <c r="H59" s="31"/>
      <c r="I59" s="26"/>
      <c r="J59" s="18"/>
      <c r="K59" s="19"/>
      <c r="L59"/>
      <c r="M59"/>
      <c r="N59"/>
      <c r="O59"/>
    </row>
    <row r="60" spans="1:15" s="2" customFormat="1" ht="15" hidden="1" x14ac:dyDescent="0.2">
      <c r="A60" s="24">
        <v>2003</v>
      </c>
      <c r="B60" s="33" t="s">
        <v>15</v>
      </c>
      <c r="C60" s="18">
        <f>I53</f>
        <v>-1190256.669999999</v>
      </c>
      <c r="D60" s="34">
        <v>-163152.81</v>
      </c>
      <c r="E60" s="34">
        <v>235.86</v>
      </c>
      <c r="F60" s="34">
        <v>0</v>
      </c>
      <c r="G60" s="34">
        <v>143076.22</v>
      </c>
      <c r="H60" s="35">
        <v>-7229.98</v>
      </c>
      <c r="I60" s="26">
        <f>C60+D60+E60+F60+G60+H60</f>
        <v>-1217327.379999999</v>
      </c>
      <c r="J60" s="18"/>
      <c r="K60" s="19"/>
      <c r="L60"/>
      <c r="M60"/>
      <c r="N60"/>
      <c r="O60"/>
    </row>
    <row r="61" spans="1:15" s="2" customFormat="1" ht="15" hidden="1" x14ac:dyDescent="0.2">
      <c r="A61" s="24"/>
      <c r="B61" s="33" t="s">
        <v>16</v>
      </c>
      <c r="C61" s="18">
        <f>I60</f>
        <v>-1217327.379999999</v>
      </c>
      <c r="D61" s="34">
        <v>-155399.22</v>
      </c>
      <c r="E61" s="34">
        <v>235.86</v>
      </c>
      <c r="F61" s="34">
        <v>0</v>
      </c>
      <c r="G61" s="34">
        <v>159474.85999999999</v>
      </c>
      <c r="H61" s="35">
        <v>-7320.34</v>
      </c>
      <c r="I61" s="26">
        <f>C61+D61+E61+F61+G61+H61</f>
        <v>-1220336.219999999</v>
      </c>
      <c r="J61" s="18"/>
      <c r="K61" s="19"/>
      <c r="L61"/>
      <c r="M61"/>
      <c r="N61"/>
      <c r="O61"/>
    </row>
    <row r="62" spans="1:15" s="2" customFormat="1" ht="15" hidden="1" x14ac:dyDescent="0.2">
      <c r="A62" s="24"/>
      <c r="B62" s="33" t="s">
        <v>17</v>
      </c>
      <c r="C62" s="18">
        <f>I61</f>
        <v>-1220336.219999999</v>
      </c>
      <c r="D62" s="34">
        <v>-174030.48</v>
      </c>
      <c r="E62" s="34">
        <v>345.85</v>
      </c>
      <c r="F62" s="34">
        <v>0</v>
      </c>
      <c r="G62" s="34">
        <v>170804.38</v>
      </c>
      <c r="H62" s="35">
        <v>-7327.94</v>
      </c>
      <c r="I62" s="26">
        <f>C62+D62+E62+F62+G62+H62</f>
        <v>-1230544.4099999988</v>
      </c>
      <c r="J62" s="18"/>
      <c r="K62" s="19"/>
      <c r="L62"/>
      <c r="M62"/>
      <c r="N62"/>
      <c r="O62"/>
    </row>
    <row r="63" spans="1:15" s="2" customFormat="1" ht="15.75" hidden="1" x14ac:dyDescent="0.25">
      <c r="A63" s="24"/>
      <c r="B63" s="36" t="s">
        <v>33</v>
      </c>
      <c r="C63" s="18"/>
      <c r="D63" s="31">
        <f>SUM(D60:D62)</f>
        <v>-492582.51</v>
      </c>
      <c r="E63" s="31">
        <f>SUM(E60:E62)</f>
        <v>817.57</v>
      </c>
      <c r="F63" s="31">
        <f>SUM(F60:F62)</f>
        <v>0</v>
      </c>
      <c r="G63" s="31">
        <f>SUM(G60:G62)</f>
        <v>473355.45999999996</v>
      </c>
      <c r="H63" s="31">
        <f>SUM(H60:H62)</f>
        <v>-21878.26</v>
      </c>
      <c r="I63" s="26"/>
      <c r="J63" s="18"/>
      <c r="K63" s="19"/>
      <c r="L63"/>
      <c r="M63"/>
      <c r="N63"/>
      <c r="O63"/>
    </row>
    <row r="64" spans="1:15" s="2" customFormat="1" ht="15.75" hidden="1" x14ac:dyDescent="0.25">
      <c r="A64" s="24"/>
      <c r="B64" s="36"/>
      <c r="C64" s="18"/>
      <c r="D64" s="31"/>
      <c r="E64" s="31"/>
      <c r="F64" s="31"/>
      <c r="G64" s="31"/>
      <c r="H64" s="31"/>
      <c r="I64" s="26"/>
      <c r="J64" s="18"/>
      <c r="K64" s="19"/>
      <c r="L64"/>
      <c r="M64"/>
      <c r="N64"/>
      <c r="O64"/>
    </row>
    <row r="65" spans="1:15" s="2" customFormat="1" ht="15" hidden="1" x14ac:dyDescent="0.2">
      <c r="A65" s="24" t="s">
        <v>19</v>
      </c>
      <c r="B65" s="33" t="s">
        <v>20</v>
      </c>
      <c r="C65" s="18">
        <f>I62</f>
        <v>-1230544.4099999988</v>
      </c>
      <c r="D65" s="34">
        <v>-162386.76</v>
      </c>
      <c r="E65" s="34">
        <v>126.6</v>
      </c>
      <c r="F65" s="34">
        <v>0</v>
      </c>
      <c r="G65" s="34">
        <v>181174.69</v>
      </c>
      <c r="H65" s="35">
        <v>-7358.2711574652803</v>
      </c>
      <c r="I65" s="26">
        <f>C65+D65+E65+F65+G65+H65</f>
        <v>-1218988.1511574639</v>
      </c>
      <c r="J65" s="18"/>
      <c r="K65" s="19"/>
      <c r="L65"/>
      <c r="M65"/>
      <c r="N65"/>
      <c r="O65"/>
    </row>
    <row r="66" spans="1:15" ht="15" hidden="1" x14ac:dyDescent="0.2">
      <c r="A66" s="24"/>
      <c r="B66" s="33" t="s">
        <v>21</v>
      </c>
      <c r="C66" s="18">
        <f>I65</f>
        <v>-1218988.1511574639</v>
      </c>
      <c r="D66" s="34">
        <v>-162320.03</v>
      </c>
      <c r="E66" s="34">
        <v>126.6</v>
      </c>
      <c r="F66" s="34">
        <v>0</v>
      </c>
      <c r="G66" s="34">
        <v>186196.43</v>
      </c>
      <c r="H66" s="35">
        <v>-7273.3015815701665</v>
      </c>
      <c r="I66" s="26">
        <f>C66+D66+E66+F66+G66+H66</f>
        <v>-1202258.4527390341</v>
      </c>
      <c r="J66" s="18"/>
      <c r="K66" s="19"/>
    </row>
    <row r="67" spans="1:15" ht="15" hidden="1" x14ac:dyDescent="0.2">
      <c r="A67" s="24"/>
      <c r="B67" s="33" t="s">
        <v>22</v>
      </c>
      <c r="C67" s="18">
        <f>I66</f>
        <v>-1202258.4527390341</v>
      </c>
      <c r="D67" s="34">
        <v>-164132.22</v>
      </c>
      <c r="E67" s="34">
        <v>228.4</v>
      </c>
      <c r="F67" s="34">
        <v>0</v>
      </c>
      <c r="G67" s="34">
        <v>170378.1</v>
      </c>
      <c r="H67" s="35">
        <v>-7225.3024522607093</v>
      </c>
      <c r="I67" s="26">
        <f>C67+D67+E67+F67+G67+H67+K67</f>
        <v>-1203009.4751912947</v>
      </c>
      <c r="J67" s="18"/>
      <c r="K67" s="19">
        <v>0</v>
      </c>
    </row>
    <row r="68" spans="1:15" ht="15.75" hidden="1" x14ac:dyDescent="0.25">
      <c r="A68" s="24"/>
      <c r="B68" s="36" t="s">
        <v>34</v>
      </c>
      <c r="C68" s="18"/>
      <c r="D68" s="31">
        <f>SUM(D65:D67)</f>
        <v>-488839.01</v>
      </c>
      <c r="E68" s="31">
        <f>SUM(E65:E67)</f>
        <v>481.6</v>
      </c>
      <c r="F68" s="31">
        <f>SUM(F65:F67)</f>
        <v>0</v>
      </c>
      <c r="G68" s="31">
        <f>SUM(G65:G67)</f>
        <v>537749.22</v>
      </c>
      <c r="H68" s="31">
        <f>SUM(H65:H67)</f>
        <v>-21856.875191296156</v>
      </c>
      <c r="I68" s="26"/>
      <c r="J68" s="18"/>
      <c r="K68" s="19"/>
    </row>
    <row r="69" spans="1:15" ht="15.75" hidden="1" x14ac:dyDescent="0.25">
      <c r="A69" s="24"/>
      <c r="B69" s="36"/>
      <c r="C69" s="18"/>
      <c r="D69" s="31"/>
      <c r="E69" s="31"/>
      <c r="F69" s="31"/>
      <c r="G69" s="31"/>
      <c r="H69" s="31"/>
      <c r="I69" s="26"/>
      <c r="J69" s="18"/>
      <c r="K69" s="19"/>
    </row>
    <row r="70" spans="1:15" ht="15" hidden="1" x14ac:dyDescent="0.2">
      <c r="A70" s="24" t="s">
        <v>19</v>
      </c>
      <c r="B70" s="33" t="s">
        <v>24</v>
      </c>
      <c r="C70" s="18">
        <f>I67</f>
        <v>-1203009.4751912947</v>
      </c>
      <c r="D70" s="34">
        <v>-167563.45000000001</v>
      </c>
      <c r="E70" s="34">
        <v>320.82</v>
      </c>
      <c r="F70" s="34">
        <v>0</v>
      </c>
      <c r="G70" s="34">
        <v>140299.42000000001</v>
      </c>
      <c r="H70" s="35">
        <v>-7330.52</v>
      </c>
      <c r="I70" s="26">
        <f>C70+D70+E70+F70+G70+H70</f>
        <v>-1237283.2051912947</v>
      </c>
      <c r="J70" s="18"/>
      <c r="K70" s="19"/>
    </row>
    <row r="71" spans="1:15" ht="15" hidden="1" x14ac:dyDescent="0.2">
      <c r="A71" s="24"/>
      <c r="B71" s="33" t="s">
        <v>25</v>
      </c>
      <c r="C71" s="18">
        <f>I70</f>
        <v>-1237283.2051912947</v>
      </c>
      <c r="D71" s="34">
        <v>-163024.76</v>
      </c>
      <c r="E71" s="34">
        <v>142.6</v>
      </c>
      <c r="F71" s="34">
        <v>4165.09</v>
      </c>
      <c r="G71" s="34">
        <v>133100.70000000001</v>
      </c>
      <c r="H71" s="35">
        <v>-7533.05</v>
      </c>
      <c r="I71" s="26">
        <f>C71+D71+E71+F71+G71+H71</f>
        <v>-1270432.6251912946</v>
      </c>
      <c r="J71" s="18"/>
      <c r="K71" s="19"/>
    </row>
    <row r="72" spans="1:15" ht="15" hidden="1" x14ac:dyDescent="0.2">
      <c r="A72" s="24"/>
      <c r="B72" s="33" t="s">
        <v>11</v>
      </c>
      <c r="C72" s="18">
        <f>I71</f>
        <v>-1270432.6251912946</v>
      </c>
      <c r="D72" s="34">
        <v>-173356.6</v>
      </c>
      <c r="E72" s="34">
        <v>126.6</v>
      </c>
      <c r="F72" s="34">
        <v>0</v>
      </c>
      <c r="G72" s="34">
        <v>128883.98</v>
      </c>
      <c r="H72" s="35">
        <v>-7789.24</v>
      </c>
      <c r="I72" s="26">
        <f>C72+D72+E72+F72+G72+H72+K72</f>
        <v>-1322567.8851912946</v>
      </c>
      <c r="J72" s="18"/>
      <c r="K72" s="19">
        <v>0</v>
      </c>
      <c r="M72">
        <f>-1334497.52</f>
        <v>-1334497.52</v>
      </c>
      <c r="N72" s="3">
        <f>M72-I72</f>
        <v>-11929.634808705421</v>
      </c>
    </row>
    <row r="73" spans="1:15" ht="15.75" hidden="1" x14ac:dyDescent="0.25">
      <c r="A73" s="24"/>
      <c r="B73" s="36" t="s">
        <v>35</v>
      </c>
      <c r="C73" s="18"/>
      <c r="D73" s="31">
        <f>SUM(D70:D72)</f>
        <v>-503944.81000000006</v>
      </c>
      <c r="E73" s="31">
        <f>SUM(E70:E72)</f>
        <v>590.02</v>
      </c>
      <c r="F73" s="31">
        <f>SUM(F70:F72)</f>
        <v>4165.09</v>
      </c>
      <c r="G73" s="31">
        <f>SUM(G70:G72)</f>
        <v>402284.1</v>
      </c>
      <c r="H73" s="31">
        <f>SUM(H70:H72)</f>
        <v>-22652.809999999998</v>
      </c>
      <c r="I73" s="26"/>
      <c r="J73" s="18"/>
      <c r="K73" s="19"/>
    </row>
    <row r="74" spans="1:15" ht="15.75" hidden="1" x14ac:dyDescent="0.25">
      <c r="A74" s="24"/>
      <c r="B74" s="36"/>
      <c r="C74" s="18"/>
      <c r="D74" s="31"/>
      <c r="E74" s="31"/>
      <c r="F74" s="31"/>
      <c r="G74" s="31"/>
      <c r="H74" s="31"/>
      <c r="I74" s="26"/>
      <c r="J74" s="18"/>
      <c r="K74" s="19"/>
    </row>
    <row r="75" spans="1:15" ht="15" hidden="1" x14ac:dyDescent="0.2">
      <c r="A75" s="24" t="s">
        <v>19</v>
      </c>
      <c r="B75" s="33" t="s">
        <v>12</v>
      </c>
      <c r="C75" s="18">
        <f>I72</f>
        <v>-1322567.8851912946</v>
      </c>
      <c r="D75" s="34">
        <v>-164424.14000000001</v>
      </c>
      <c r="E75" s="34">
        <v>189.9</v>
      </c>
      <c r="F75" s="34">
        <v>0</v>
      </c>
      <c r="G75" s="34">
        <v>121799.77</v>
      </c>
      <c r="H75" s="35">
        <v>-8169.54</v>
      </c>
      <c r="I75" s="26">
        <f>C75+D75+E75+F75+G75+H75</f>
        <v>-1373171.8951912946</v>
      </c>
      <c r="J75" s="18"/>
      <c r="K75" s="19"/>
    </row>
    <row r="76" spans="1:15" ht="15" hidden="1" x14ac:dyDescent="0.2">
      <c r="A76" s="24"/>
      <c r="B76" s="33" t="s">
        <v>13</v>
      </c>
      <c r="C76" s="18">
        <f>I75</f>
        <v>-1373171.8951912946</v>
      </c>
      <c r="D76" s="34">
        <v>-167928.2</v>
      </c>
      <c r="E76" s="34">
        <v>316.5</v>
      </c>
      <c r="F76" s="34">
        <v>0</v>
      </c>
      <c r="G76" s="34">
        <v>122627.8</v>
      </c>
      <c r="H76" s="35">
        <v>-8482.16</v>
      </c>
      <c r="I76" s="26">
        <f>C76+D76+E76+F76+G76+H76</f>
        <v>-1426637.9551912944</v>
      </c>
      <c r="J76" s="18"/>
      <c r="K76" s="19"/>
    </row>
    <row r="77" spans="1:15" ht="15" hidden="1" x14ac:dyDescent="0.2">
      <c r="A77" s="24"/>
      <c r="B77" s="33" t="s">
        <v>14</v>
      </c>
      <c r="C77" s="18">
        <f>I76</f>
        <v>-1426637.9551912944</v>
      </c>
      <c r="D77" s="34">
        <v>-165253.16</v>
      </c>
      <c r="E77" s="34">
        <v>569.70000000000005</v>
      </c>
      <c r="F77" s="34">
        <v>0</v>
      </c>
      <c r="G77" s="34">
        <v>128207.54</v>
      </c>
      <c r="H77" s="35">
        <v>-8778.7099999999991</v>
      </c>
      <c r="I77" s="26">
        <f>C77+D77+E77+F77+G77+H77+K77</f>
        <v>-1471892.5851912943</v>
      </c>
      <c r="J77" s="18"/>
      <c r="K77" s="19">
        <v>0</v>
      </c>
      <c r="M77">
        <v>-1483822.22</v>
      </c>
      <c r="N77" s="3">
        <f>M77-I77</f>
        <v>-11929.634808705654</v>
      </c>
    </row>
    <row r="78" spans="1:15" ht="15.75" hidden="1" x14ac:dyDescent="0.25">
      <c r="A78" s="24"/>
      <c r="B78" s="36" t="s">
        <v>36</v>
      </c>
      <c r="C78" s="18"/>
      <c r="D78" s="31">
        <f>SUM(D75:D77)</f>
        <v>-497605.5</v>
      </c>
      <c r="E78" s="31">
        <f>SUM(E75:E77)</f>
        <v>1076.0999999999999</v>
      </c>
      <c r="F78" s="31">
        <f>SUM(F75:F77)</f>
        <v>0</v>
      </c>
      <c r="G78" s="31">
        <f>SUM(G75:G77)</f>
        <v>372635.11</v>
      </c>
      <c r="H78" s="31">
        <f>SUM(H75:H77)</f>
        <v>-25430.41</v>
      </c>
      <c r="I78" s="26"/>
      <c r="J78" s="18"/>
      <c r="K78" s="19"/>
    </row>
    <row r="79" spans="1:15" ht="15.75" x14ac:dyDescent="0.25">
      <c r="A79" s="24"/>
      <c r="B79" s="21">
        <v>2003</v>
      </c>
      <c r="C79" s="37">
        <f>I55</f>
        <v>-1190256.67</v>
      </c>
      <c r="D79" s="31">
        <f>D63+D68+D73+D78</f>
        <v>-1982971.83</v>
      </c>
      <c r="E79" s="31">
        <f>E63+E68+E73+E78</f>
        <v>2965.29</v>
      </c>
      <c r="F79" s="31">
        <f>F63+F68+F73+F78</f>
        <v>4165.09</v>
      </c>
      <c r="G79" s="31">
        <f>G63+G68+G73+G78</f>
        <v>1786023.8899999997</v>
      </c>
      <c r="H79" s="31">
        <f>H63+H68+H73+H78</f>
        <v>-91818.355191296156</v>
      </c>
      <c r="I79" s="32">
        <f>SUM(C79:H79)</f>
        <v>-1471892.5851912966</v>
      </c>
      <c r="J79" s="18"/>
      <c r="K79" s="19"/>
    </row>
    <row r="80" spans="1:15" ht="15" hidden="1" x14ac:dyDescent="0.2">
      <c r="A80" s="24">
        <v>2004</v>
      </c>
      <c r="B80" s="33" t="s">
        <v>15</v>
      </c>
      <c r="C80" s="18">
        <f>I77</f>
        <v>-1471892.5851912943</v>
      </c>
      <c r="D80" s="34">
        <v>-167262.65</v>
      </c>
      <c r="E80" s="34">
        <v>1266</v>
      </c>
      <c r="F80" s="34">
        <v>0</v>
      </c>
      <c r="G80" s="34">
        <v>138532.20000000001</v>
      </c>
      <c r="H80" s="35">
        <v>-8868.15</v>
      </c>
      <c r="I80" s="26">
        <f>C80+D80+E80+F80+G80+H80</f>
        <v>-1508225.1851912942</v>
      </c>
      <c r="J80" s="18"/>
      <c r="K80" s="19"/>
      <c r="M80" t="s">
        <v>19</v>
      </c>
      <c r="N80" s="3" t="s">
        <v>19</v>
      </c>
    </row>
    <row r="81" spans="1:15" ht="15" hidden="1" x14ac:dyDescent="0.2">
      <c r="A81" s="24"/>
      <c r="B81" s="33" t="s">
        <v>16</v>
      </c>
      <c r="C81" s="18">
        <f>I80</f>
        <v>-1508225.1851912942</v>
      </c>
      <c r="D81" s="34">
        <v>-169880.69</v>
      </c>
      <c r="E81" s="34">
        <v>3936.96</v>
      </c>
      <c r="F81" s="34">
        <v>0</v>
      </c>
      <c r="G81" s="34">
        <v>157770.76999999999</v>
      </c>
      <c r="H81" s="35">
        <v>-8970.7999999999993</v>
      </c>
      <c r="I81" s="26">
        <f>C81+D81+E81+F81+G81+H81</f>
        <v>-1525368.9451912942</v>
      </c>
      <c r="J81" s="18"/>
      <c r="K81" s="19"/>
    </row>
    <row r="82" spans="1:15" ht="15" hidden="1" x14ac:dyDescent="0.2">
      <c r="A82" s="24"/>
      <c r="B82" s="33" t="s">
        <v>17</v>
      </c>
      <c r="C82" s="18">
        <f>I81</f>
        <v>-1525368.9451912942</v>
      </c>
      <c r="D82" s="34">
        <v>-168433.32</v>
      </c>
      <c r="E82" s="34">
        <f>1141.25+198.2</f>
        <v>1339.45</v>
      </c>
      <c r="F82" s="34">
        <v>0</v>
      </c>
      <c r="G82" s="34">
        <v>165251.6</v>
      </c>
      <c r="H82" s="35">
        <f>-9124.77+337.69</f>
        <v>-8787.08</v>
      </c>
      <c r="I82" s="26">
        <f>C82+D82+E82+F82+G82+H82+K82</f>
        <v>-1535998.2951912943</v>
      </c>
      <c r="J82" s="18"/>
      <c r="K82" s="19">
        <v>0</v>
      </c>
      <c r="M82">
        <v>-1535998.3</v>
      </c>
      <c r="N82" s="3">
        <f>M82-I82</f>
        <v>-4.8087057657539845E-3</v>
      </c>
      <c r="O82" s="3" t="s">
        <v>19</v>
      </c>
    </row>
    <row r="83" spans="1:15" ht="15.75" hidden="1" x14ac:dyDescent="0.25">
      <c r="A83" s="24"/>
      <c r="B83" s="36" t="s">
        <v>37</v>
      </c>
      <c r="C83" s="18"/>
      <c r="D83" s="31">
        <f>SUM(D80:D82)</f>
        <v>-505576.66</v>
      </c>
      <c r="E83" s="31">
        <f>SUM(E80:E82)</f>
        <v>6542.41</v>
      </c>
      <c r="F83" s="31">
        <f>SUM(F80:F82)</f>
        <v>0</v>
      </c>
      <c r="G83" s="31">
        <f>SUM(G80:G82)</f>
        <v>461554.56999999995</v>
      </c>
      <c r="H83" s="31">
        <f>SUM(H80:H82)</f>
        <v>-26626.03</v>
      </c>
      <c r="I83" s="26"/>
      <c r="J83" s="18"/>
      <c r="K83" s="19"/>
    </row>
    <row r="84" spans="1:15" ht="15.75" hidden="1" x14ac:dyDescent="0.25">
      <c r="A84" s="24"/>
      <c r="B84" s="36"/>
      <c r="C84" s="18"/>
      <c r="D84" s="31"/>
      <c r="E84" s="31"/>
      <c r="F84" s="31"/>
      <c r="G84" s="31"/>
      <c r="H84" s="31"/>
      <c r="I84" s="26"/>
      <c r="J84" s="18"/>
      <c r="K84" s="19"/>
    </row>
    <row r="85" spans="1:15" ht="15" hidden="1" x14ac:dyDescent="0.2">
      <c r="A85" s="24" t="s">
        <v>19</v>
      </c>
      <c r="B85" s="33" t="s">
        <v>20</v>
      </c>
      <c r="C85" s="18">
        <f>I82</f>
        <v>-1535998.2951912943</v>
      </c>
      <c r="D85" s="34">
        <v>-167989.27</v>
      </c>
      <c r="E85" s="34">
        <v>69.92</v>
      </c>
      <c r="F85" s="34">
        <v>0</v>
      </c>
      <c r="G85" s="34">
        <v>169437.8</v>
      </c>
      <c r="H85" s="35">
        <v>-9251.35</v>
      </c>
      <c r="I85" s="26">
        <f>C85+D85+E85+F85+G85+H85</f>
        <v>-1543731.1951912944</v>
      </c>
      <c r="J85" s="18"/>
      <c r="K85" s="19"/>
      <c r="M85" t="s">
        <v>19</v>
      </c>
      <c r="N85" s="3" t="s">
        <v>19</v>
      </c>
    </row>
    <row r="86" spans="1:15" ht="15" hidden="1" x14ac:dyDescent="0.2">
      <c r="A86" s="24"/>
      <c r="B86" s="33" t="s">
        <v>21</v>
      </c>
      <c r="C86" s="18">
        <f>I85</f>
        <v>-1543731.1951912944</v>
      </c>
      <c r="D86" s="34">
        <v>-168561.82</v>
      </c>
      <c r="E86" s="34">
        <v>0</v>
      </c>
      <c r="F86" s="34">
        <v>0</v>
      </c>
      <c r="G86" s="34">
        <v>170926.2</v>
      </c>
      <c r="H86" s="35">
        <v>-9295.4</v>
      </c>
      <c r="I86" s="26">
        <f>C86+D86+E86+F86+G86+H86</f>
        <v>-1550662.2151912944</v>
      </c>
      <c r="J86" s="18"/>
      <c r="K86" s="19"/>
    </row>
    <row r="87" spans="1:15" ht="15" hidden="1" x14ac:dyDescent="0.2">
      <c r="A87" s="24"/>
      <c r="B87" s="33" t="s">
        <v>22</v>
      </c>
      <c r="C87" s="18">
        <f>I86</f>
        <v>-1550662.2151912944</v>
      </c>
      <c r="D87" s="34">
        <v>-171959.16</v>
      </c>
      <c r="E87" s="34">
        <v>1048.8</v>
      </c>
      <c r="F87" s="34">
        <v>0</v>
      </c>
      <c r="G87" s="34">
        <v>166010.62</v>
      </c>
      <c r="H87" s="35">
        <v>-9359.0499999999993</v>
      </c>
      <c r="I87" s="26">
        <f>C87+D87+E87+F87+G87+H87+K87</f>
        <v>-1564921.0051912942</v>
      </c>
      <c r="J87" s="18"/>
      <c r="K87" s="19">
        <v>0</v>
      </c>
      <c r="N87" s="3"/>
      <c r="O87" s="3"/>
    </row>
    <row r="88" spans="1:15" ht="15.75" hidden="1" x14ac:dyDescent="0.25">
      <c r="A88" s="24"/>
      <c r="B88" s="36" t="s">
        <v>38</v>
      </c>
      <c r="C88" s="18"/>
      <c r="D88" s="31">
        <f>SUM(D85:D87)</f>
        <v>-508510.25</v>
      </c>
      <c r="E88" s="31">
        <f>SUM(E85:E87)</f>
        <v>1118.72</v>
      </c>
      <c r="F88" s="31">
        <f>SUM(F85:F87)</f>
        <v>0</v>
      </c>
      <c r="G88" s="31">
        <f>SUM(G85:G87)</f>
        <v>506374.62</v>
      </c>
      <c r="H88" s="31">
        <f>SUM(H85:H87)</f>
        <v>-27905.8</v>
      </c>
      <c r="I88" s="26"/>
      <c r="J88" s="18"/>
      <c r="K88" s="19"/>
    </row>
    <row r="89" spans="1:15" ht="15.75" hidden="1" x14ac:dyDescent="0.25">
      <c r="A89" s="24"/>
      <c r="B89" s="36"/>
      <c r="C89" s="18"/>
      <c r="D89" s="31"/>
      <c r="E89" s="31"/>
      <c r="F89" s="31"/>
      <c r="G89" s="31"/>
      <c r="H89" s="31"/>
      <c r="I89" s="26"/>
      <c r="J89" s="18"/>
      <c r="K89" s="19"/>
    </row>
    <row r="90" spans="1:15" ht="15" hidden="1" x14ac:dyDescent="0.2">
      <c r="A90" s="24" t="s">
        <v>19</v>
      </c>
      <c r="B90" s="33" t="s">
        <v>24</v>
      </c>
      <c r="C90" s="18">
        <f>I87</f>
        <v>-1564921.0051912942</v>
      </c>
      <c r="D90" s="34">
        <v>-171087.02</v>
      </c>
      <c r="E90" s="34">
        <v>1789.6</v>
      </c>
      <c r="F90" s="34">
        <v>0</v>
      </c>
      <c r="G90" s="34">
        <v>125500.34</v>
      </c>
      <c r="H90" s="35">
        <v>-9562.17</v>
      </c>
      <c r="I90" s="26">
        <f>C90+D90+E90+F90+G90+H90</f>
        <v>-1618280.255191294</v>
      </c>
      <c r="J90" s="18"/>
      <c r="K90" s="19"/>
      <c r="N90" s="3"/>
    </row>
    <row r="91" spans="1:15" ht="15" hidden="1" x14ac:dyDescent="0.2">
      <c r="A91" s="24"/>
      <c r="B91" s="33" t="s">
        <v>25</v>
      </c>
      <c r="C91" s="18">
        <f>I90</f>
        <v>-1618280.255191294</v>
      </c>
      <c r="D91" s="34">
        <v>-173840.6</v>
      </c>
      <c r="E91" s="34">
        <v>1722.9</v>
      </c>
      <c r="F91" s="34">
        <v>12552.87</v>
      </c>
      <c r="G91" s="34">
        <v>120429.78</v>
      </c>
      <c r="H91" s="35">
        <v>-9907.51</v>
      </c>
      <c r="I91" s="26">
        <f>C91+D91+E91+F91+G91+H91</f>
        <v>-1667322.8151912941</v>
      </c>
      <c r="J91" s="18"/>
      <c r="K91" s="19"/>
    </row>
    <row r="92" spans="1:15" ht="15" hidden="1" x14ac:dyDescent="0.2">
      <c r="A92" s="24"/>
      <c r="B92" s="33" t="s">
        <v>11</v>
      </c>
      <c r="C92" s="18">
        <f>I91</f>
        <v>-1667322.8151912941</v>
      </c>
      <c r="D92" s="34">
        <v>-171255.65</v>
      </c>
      <c r="E92" s="34">
        <v>3571.7</v>
      </c>
      <c r="F92" s="34">
        <v>0</v>
      </c>
      <c r="G92" s="34">
        <v>114263.2</v>
      </c>
      <c r="H92" s="35">
        <v>-10283.91</v>
      </c>
      <c r="I92" s="26">
        <f>C92+D92+E92+F92+G92+H92+K92</f>
        <v>-1731027.475191294</v>
      </c>
      <c r="J92" s="18"/>
      <c r="K92" s="19">
        <v>0</v>
      </c>
      <c r="N92" s="3"/>
      <c r="O92" s="3"/>
    </row>
    <row r="93" spans="1:15" ht="15.75" hidden="1" x14ac:dyDescent="0.25">
      <c r="A93" s="24"/>
      <c r="B93" s="36" t="s">
        <v>39</v>
      </c>
      <c r="C93" s="18"/>
      <c r="D93" s="31">
        <f>SUM(D90:D92)</f>
        <v>-516183.27</v>
      </c>
      <c r="E93" s="31">
        <f>SUM(E90:E92)</f>
        <v>7084.2</v>
      </c>
      <c r="F93" s="31">
        <f>SUM(F90:F92)</f>
        <v>12552.87</v>
      </c>
      <c r="G93" s="31">
        <f>SUM(G90:G92)</f>
        <v>360193.32</v>
      </c>
      <c r="H93" s="31">
        <f>SUM(H90:H92)</f>
        <v>-29753.59</v>
      </c>
      <c r="I93" s="26"/>
      <c r="J93" s="18"/>
      <c r="K93" s="19"/>
    </row>
    <row r="94" spans="1:15" ht="15.75" hidden="1" x14ac:dyDescent="0.25">
      <c r="A94" s="24"/>
      <c r="B94" s="36"/>
      <c r="C94" s="18"/>
      <c r="D94" s="31"/>
      <c r="E94" s="31"/>
      <c r="F94" s="31"/>
      <c r="G94" s="31"/>
      <c r="H94" s="31"/>
      <c r="I94" s="26"/>
      <c r="J94" s="18"/>
      <c r="K94" s="19"/>
    </row>
    <row r="95" spans="1:15" ht="15" hidden="1" x14ac:dyDescent="0.2">
      <c r="A95" s="24" t="s">
        <v>19</v>
      </c>
      <c r="B95" s="33" t="s">
        <v>12</v>
      </c>
      <c r="C95" s="18">
        <f>I92</f>
        <v>-1731027.475191294</v>
      </c>
      <c r="D95" s="34">
        <v>-174612.01</v>
      </c>
      <c r="E95" s="34">
        <f>3.15+2644.52</f>
        <v>2647.67</v>
      </c>
      <c r="F95" s="34">
        <v>0</v>
      </c>
      <c r="G95" s="34">
        <v>110771.04</v>
      </c>
      <c r="H95" s="35">
        <v>-10502.04</v>
      </c>
      <c r="I95" s="26">
        <f>C95+D95+E95+F95+G95+H95</f>
        <v>-1802722.8151912941</v>
      </c>
      <c r="J95" s="18"/>
      <c r="K95" s="19"/>
      <c r="N95" s="3"/>
    </row>
    <row r="96" spans="1:15" ht="15" hidden="1" x14ac:dyDescent="0.2">
      <c r="A96" s="24"/>
      <c r="B96" s="33" t="s">
        <v>13</v>
      </c>
      <c r="C96" s="18">
        <f>I95</f>
        <v>-1802722.8151912941</v>
      </c>
      <c r="D96" s="34">
        <v>-174568.75</v>
      </c>
      <c r="E96" s="34">
        <v>10082.34</v>
      </c>
      <c r="F96" s="34">
        <v>0</v>
      </c>
      <c r="G96" s="34">
        <v>102530.4</v>
      </c>
      <c r="H96" s="35">
        <v>-11049.88</v>
      </c>
      <c r="I96" s="26">
        <f>C96+D96+E96+F96+G96+H96</f>
        <v>-1875728.705191294</v>
      </c>
      <c r="J96" s="18"/>
      <c r="K96" s="19"/>
    </row>
    <row r="97" spans="1:15" ht="15" hidden="1" x14ac:dyDescent="0.2">
      <c r="A97" s="24"/>
      <c r="B97" s="33" t="s">
        <v>14</v>
      </c>
      <c r="C97" s="18">
        <f>I96</f>
        <v>-1875728.705191294</v>
      </c>
      <c r="D97" s="34">
        <v>-170521.3</v>
      </c>
      <c r="E97" s="34">
        <v>839.04</v>
      </c>
      <c r="F97" s="34">
        <v>26827.91</v>
      </c>
      <c r="G97" s="34">
        <v>115680.17</v>
      </c>
      <c r="H97" s="35">
        <v>-11385.02</v>
      </c>
      <c r="I97" s="26">
        <f>C97+D97+E97+F97+G97+H97+K97</f>
        <v>-1914287.9051912942</v>
      </c>
      <c r="J97" s="18"/>
      <c r="K97" s="19">
        <v>0</v>
      </c>
      <c r="N97" s="3"/>
      <c r="O97" s="3"/>
    </row>
    <row r="98" spans="1:15" ht="15.75" hidden="1" x14ac:dyDescent="0.25">
      <c r="A98" s="24"/>
      <c r="B98" s="36" t="s">
        <v>40</v>
      </c>
      <c r="C98" s="18"/>
      <c r="D98" s="31">
        <f>SUM(D95:D97)</f>
        <v>-519702.06</v>
      </c>
      <c r="E98" s="31">
        <f>SUM(E95:E97)</f>
        <v>13569.05</v>
      </c>
      <c r="F98" s="31">
        <f>SUM(F95:F97)</f>
        <v>26827.91</v>
      </c>
      <c r="G98" s="31">
        <f>SUM(G95:G97)</f>
        <v>328981.61</v>
      </c>
      <c r="H98" s="31">
        <f>SUM(H95:H97)</f>
        <v>-32936.94</v>
      </c>
      <c r="I98" s="26"/>
      <c r="J98" s="18"/>
      <c r="K98" s="19"/>
    </row>
    <row r="99" spans="1:15" ht="15.75" x14ac:dyDescent="0.25">
      <c r="A99" s="24"/>
      <c r="B99" s="21">
        <v>2004</v>
      </c>
      <c r="C99" s="37">
        <f>I79</f>
        <v>-1471892.5851912966</v>
      </c>
      <c r="D99" s="37">
        <f>D83+D88+D93+D98</f>
        <v>-2049972.24</v>
      </c>
      <c r="E99" s="37">
        <f>E83+E88+E93+E98</f>
        <v>28314.379999999997</v>
      </c>
      <c r="F99" s="37">
        <f>F83+F88+F93+F98</f>
        <v>39380.78</v>
      </c>
      <c r="G99" s="37">
        <f>G83+G88+G93+G98</f>
        <v>1657104.12</v>
      </c>
      <c r="H99" s="37">
        <f>H83+H88+H93+H98</f>
        <v>-117222.36</v>
      </c>
      <c r="I99" s="37">
        <f>SUM(C99:H99)</f>
        <v>-1914287.9051912969</v>
      </c>
      <c r="J99" s="18"/>
      <c r="K99" s="19"/>
    </row>
    <row r="100" spans="1:15" ht="15" hidden="1" x14ac:dyDescent="0.2">
      <c r="A100" s="24"/>
      <c r="B100" s="33"/>
      <c r="C100" s="18"/>
      <c r="D100" s="18"/>
      <c r="E100" s="18"/>
      <c r="F100" s="18"/>
      <c r="G100" s="18"/>
      <c r="H100" s="18"/>
      <c r="I100" s="18"/>
      <c r="J100" s="18"/>
      <c r="K100" s="18"/>
    </row>
    <row r="101" spans="1:15" ht="15" hidden="1" x14ac:dyDescent="0.2">
      <c r="A101" s="24">
        <v>2005</v>
      </c>
      <c r="B101" s="33" t="s">
        <v>15</v>
      </c>
      <c r="C101" s="18">
        <f>I97</f>
        <v>-1914287.9051912942</v>
      </c>
      <c r="D101" s="34">
        <v>-174269.9</v>
      </c>
      <c r="E101" s="34">
        <v>1118.72</v>
      </c>
      <c r="F101" s="34">
        <v>0</v>
      </c>
      <c r="G101" s="34">
        <v>131206.18</v>
      </c>
      <c r="H101" s="35">
        <v>-11661.88</v>
      </c>
      <c r="I101" s="26">
        <f>C101+D101+E101+F101+G101+H101+K101</f>
        <v>-1967894.785191294</v>
      </c>
      <c r="J101" s="18"/>
      <c r="K101" s="19"/>
      <c r="M101" t="s">
        <v>19</v>
      </c>
      <c r="N101" s="3" t="s">
        <v>19</v>
      </c>
    </row>
    <row r="102" spans="1:15" ht="15" hidden="1" x14ac:dyDescent="0.2">
      <c r="A102" s="24"/>
      <c r="B102" s="33" t="s">
        <v>16</v>
      </c>
      <c r="C102" s="18">
        <f>I101</f>
        <v>-1967894.785191294</v>
      </c>
      <c r="D102" s="34">
        <v>-170424.01</v>
      </c>
      <c r="E102" s="34">
        <v>14434.03</v>
      </c>
      <c r="F102" s="34">
        <v>0</v>
      </c>
      <c r="G102" s="34">
        <v>137950.5</v>
      </c>
      <c r="H102" s="35">
        <v>-11912.89</v>
      </c>
      <c r="I102" s="26">
        <f>C102+D102+E102+F102+G102+H102</f>
        <v>-1997847.1551912942</v>
      </c>
      <c r="J102" s="18"/>
      <c r="K102" s="19"/>
    </row>
    <row r="103" spans="1:15" ht="15" hidden="1" x14ac:dyDescent="0.2">
      <c r="A103" s="24"/>
      <c r="B103" s="33" t="s">
        <v>17</v>
      </c>
      <c r="C103" s="18">
        <f>I102</f>
        <v>-1997847.1551912942</v>
      </c>
      <c r="D103" s="34">
        <v>-171351.7</v>
      </c>
      <c r="E103" s="34">
        <v>349.6</v>
      </c>
      <c r="F103" s="34">
        <v>0</v>
      </c>
      <c r="G103" s="34">
        <v>149845.49</v>
      </c>
      <c r="H103" s="35">
        <v>-12102.77</v>
      </c>
      <c r="I103" s="26">
        <f>C103+D103+E103+F103+G103+H103+K103</f>
        <v>-2031106.535191294</v>
      </c>
      <c r="J103" s="18"/>
      <c r="K103" s="19">
        <v>0</v>
      </c>
      <c r="N103" s="3"/>
      <c r="O103" s="3" t="s">
        <v>19</v>
      </c>
    </row>
    <row r="104" spans="1:15" ht="15.75" hidden="1" x14ac:dyDescent="0.25">
      <c r="A104" s="24"/>
      <c r="B104" s="36" t="s">
        <v>41</v>
      </c>
      <c r="C104" s="18"/>
      <c r="D104" s="31">
        <f>SUM(D101:D103)</f>
        <v>-516045.61000000004</v>
      </c>
      <c r="E104" s="31">
        <f>SUM(E101:E103)</f>
        <v>15902.35</v>
      </c>
      <c r="F104" s="31">
        <f>SUM(F101:F103)</f>
        <v>0</v>
      </c>
      <c r="G104" s="31">
        <f>SUM(G101:G103)</f>
        <v>419002.17</v>
      </c>
      <c r="H104" s="31">
        <f>SUM(H101:H103)</f>
        <v>-35677.539999999994</v>
      </c>
      <c r="I104" s="26"/>
      <c r="J104" s="18"/>
      <c r="K104" s="19"/>
    </row>
    <row r="105" spans="1:15" ht="15.75" hidden="1" x14ac:dyDescent="0.25">
      <c r="A105" s="24"/>
      <c r="B105" s="36"/>
      <c r="C105" s="18"/>
      <c r="D105" s="31"/>
      <c r="E105" s="31"/>
      <c r="F105" s="31"/>
      <c r="G105" s="31"/>
      <c r="H105" s="31"/>
      <c r="I105" s="26"/>
      <c r="J105" s="18"/>
      <c r="K105" s="19"/>
    </row>
    <row r="106" spans="1:15" ht="15" hidden="1" x14ac:dyDescent="0.2">
      <c r="A106" s="24" t="s">
        <v>19</v>
      </c>
      <c r="B106" s="33" t="s">
        <v>20</v>
      </c>
      <c r="C106" s="18">
        <f>I103</f>
        <v>-2031106.535191294</v>
      </c>
      <c r="D106" s="34">
        <v>-172644.14</v>
      </c>
      <c r="E106" s="34">
        <v>847</v>
      </c>
      <c r="F106" s="34">
        <v>0</v>
      </c>
      <c r="G106" s="34">
        <v>163033.39000000001</v>
      </c>
      <c r="H106" s="35">
        <v>-12265.85</v>
      </c>
      <c r="I106" s="26">
        <f>C106+D106+E106+F106+G106+H106+K106</f>
        <v>-2052136.1351912939</v>
      </c>
      <c r="J106" s="18"/>
      <c r="K106" s="19"/>
      <c r="N106" s="3"/>
    </row>
    <row r="107" spans="1:15" ht="15" hidden="1" x14ac:dyDescent="0.2">
      <c r="A107" s="24"/>
      <c r="B107" s="33" t="s">
        <v>21</v>
      </c>
      <c r="C107" s="18">
        <f>I106</f>
        <v>-2052136.1351912939</v>
      </c>
      <c r="D107" s="34">
        <v>-172952.44</v>
      </c>
      <c r="E107" s="34">
        <v>4476</v>
      </c>
      <c r="F107" s="34">
        <v>0</v>
      </c>
      <c r="G107" s="34">
        <v>168131.36</v>
      </c>
      <c r="H107" s="35">
        <v>-12367.21</v>
      </c>
      <c r="I107" s="26">
        <f>C107+D107+E107+F107+G107+H107</f>
        <v>-2064848.4251912939</v>
      </c>
      <c r="J107" s="18"/>
      <c r="K107" s="19"/>
    </row>
    <row r="108" spans="1:15" ht="15" hidden="1" x14ac:dyDescent="0.2">
      <c r="A108" s="24"/>
      <c r="B108" s="33" t="s">
        <v>22</v>
      </c>
      <c r="C108" s="18">
        <f>I107</f>
        <v>-2064848.4251912939</v>
      </c>
      <c r="D108" s="34">
        <v>-174684.96</v>
      </c>
      <c r="E108" s="34">
        <v>1502.5</v>
      </c>
      <c r="F108" s="34">
        <v>0</v>
      </c>
      <c r="G108" s="34">
        <v>166271.15</v>
      </c>
      <c r="H108" s="35">
        <v>-12463.6</v>
      </c>
      <c r="I108" s="26">
        <f>C108+D108+E108+F108+G108+H108+K108</f>
        <v>-2084223.3351912941</v>
      </c>
      <c r="J108" s="18"/>
      <c r="K108" s="19">
        <v>0</v>
      </c>
      <c r="N108" s="3"/>
      <c r="O108" s="3" t="s">
        <v>19</v>
      </c>
    </row>
    <row r="109" spans="1:15" ht="15.75" hidden="1" x14ac:dyDescent="0.25">
      <c r="A109" s="24"/>
      <c r="B109" s="36" t="s">
        <v>42</v>
      </c>
      <c r="C109" s="18"/>
      <c r="D109" s="31">
        <f>SUM(D106:D108)</f>
        <v>-520281.54000000004</v>
      </c>
      <c r="E109" s="31">
        <f>SUM(E106:E108)</f>
        <v>6825.5</v>
      </c>
      <c r="F109" s="31">
        <f>SUM(F106:F108)</f>
        <v>0</v>
      </c>
      <c r="G109" s="31">
        <f>SUM(G106:G108)</f>
        <v>497435.9</v>
      </c>
      <c r="H109" s="31">
        <f>SUM(H106:H108)</f>
        <v>-37096.659999999996</v>
      </c>
      <c r="I109" s="26"/>
      <c r="J109" s="18"/>
      <c r="K109" s="19"/>
    </row>
    <row r="110" spans="1:15" ht="15.75" hidden="1" x14ac:dyDescent="0.25">
      <c r="A110" s="82" t="s">
        <v>3</v>
      </c>
      <c r="B110" s="33"/>
      <c r="C110" s="18"/>
      <c r="D110" s="18"/>
      <c r="E110" s="18"/>
      <c r="F110" s="18"/>
      <c r="G110" s="18"/>
      <c r="H110" s="18"/>
      <c r="I110" s="18"/>
      <c r="J110" s="18"/>
      <c r="K110" s="19"/>
    </row>
    <row r="111" spans="1:15" ht="15" hidden="1" customHeight="1" x14ac:dyDescent="0.25">
      <c r="A111" s="82"/>
      <c r="B111" s="33"/>
      <c r="C111" s="20" t="s">
        <v>4</v>
      </c>
      <c r="D111" s="18"/>
      <c r="E111" s="20" t="s">
        <v>5</v>
      </c>
      <c r="F111" s="20" t="s">
        <v>5</v>
      </c>
      <c r="G111" s="20" t="s">
        <v>6</v>
      </c>
      <c r="H111" s="18"/>
      <c r="I111" s="20" t="s">
        <v>7</v>
      </c>
      <c r="J111" s="18"/>
      <c r="K111" s="19"/>
    </row>
    <row r="112" spans="1:15" ht="15" hidden="1" customHeight="1" x14ac:dyDescent="0.25">
      <c r="A112" s="21" t="s">
        <v>8</v>
      </c>
      <c r="B112" s="36" t="s">
        <v>32</v>
      </c>
      <c r="C112" s="20" t="s">
        <v>10</v>
      </c>
      <c r="D112" s="22" t="s">
        <v>150</v>
      </c>
      <c r="E112" s="23" t="s">
        <v>151</v>
      </c>
      <c r="F112" s="23" t="s">
        <v>156</v>
      </c>
      <c r="G112" s="23" t="s">
        <v>153</v>
      </c>
      <c r="H112" s="23" t="s">
        <v>154</v>
      </c>
      <c r="I112" s="23" t="s">
        <v>155</v>
      </c>
      <c r="J112" s="18"/>
      <c r="K112" s="19"/>
    </row>
    <row r="113" spans="1:15" ht="15" hidden="1" x14ac:dyDescent="0.2">
      <c r="A113" s="24">
        <v>2005</v>
      </c>
      <c r="B113" s="33" t="s">
        <v>24</v>
      </c>
      <c r="C113" s="18">
        <f>I108</f>
        <v>-2084223.3351912941</v>
      </c>
      <c r="D113" s="34">
        <v>-174662.68</v>
      </c>
      <c r="E113" s="34">
        <v>1694</v>
      </c>
      <c r="F113" s="34">
        <v>0</v>
      </c>
      <c r="G113" s="34">
        <v>161022.04999999999</v>
      </c>
      <c r="H113" s="35">
        <v>-12595.53</v>
      </c>
      <c r="I113" s="26">
        <f>C113+D113+E113+F113+G113+H113+K113</f>
        <v>-2108765.4951912942</v>
      </c>
      <c r="J113" s="18"/>
      <c r="K113" s="19"/>
      <c r="N113" s="3"/>
    </row>
    <row r="114" spans="1:15" ht="15" hidden="1" x14ac:dyDescent="0.2">
      <c r="A114" s="24"/>
      <c r="B114" s="33" t="s">
        <v>25</v>
      </c>
      <c r="C114" s="18">
        <f>I113</f>
        <v>-2108765.4951912942</v>
      </c>
      <c r="D114" s="34">
        <v>-178174.79</v>
      </c>
      <c r="E114" s="34">
        <v>462</v>
      </c>
      <c r="F114" s="34">
        <v>13851.65</v>
      </c>
      <c r="G114" s="34">
        <v>156368.42000000001</v>
      </c>
      <c r="H114" s="35">
        <v>-12730</v>
      </c>
      <c r="I114" s="26">
        <f>C114+D114+E114+F114+G114+H114</f>
        <v>-2128988.2151912944</v>
      </c>
      <c r="J114" s="18"/>
      <c r="K114" s="19"/>
    </row>
    <row r="115" spans="1:15" ht="15" hidden="1" x14ac:dyDescent="0.2">
      <c r="A115" s="24"/>
      <c r="B115" s="33" t="s">
        <v>11</v>
      </c>
      <c r="C115" s="18">
        <f>I114</f>
        <v>-2128988.2151912944</v>
      </c>
      <c r="D115" s="34">
        <v>-174952.49</v>
      </c>
      <c r="E115" s="34">
        <v>1156.5</v>
      </c>
      <c r="F115" s="34">
        <v>0</v>
      </c>
      <c r="G115" s="34">
        <v>152468.29</v>
      </c>
      <c r="H115" s="35">
        <v>-12893.54</v>
      </c>
      <c r="I115" s="26">
        <f>C115+D115+E115+F115+G115+H115+K115</f>
        <v>-2163209.4551912947</v>
      </c>
      <c r="J115" s="18"/>
      <c r="K115" s="19">
        <v>0</v>
      </c>
      <c r="N115" s="3"/>
      <c r="O115" s="3" t="s">
        <v>19</v>
      </c>
    </row>
    <row r="116" spans="1:15" ht="15.75" hidden="1" x14ac:dyDescent="0.25">
      <c r="A116" s="24"/>
      <c r="B116" s="36" t="s">
        <v>43</v>
      </c>
      <c r="C116" s="18"/>
      <c r="D116" s="31">
        <f>SUM(D113:D115)</f>
        <v>-527789.96</v>
      </c>
      <c r="E116" s="31">
        <f>SUM(E113:E115)</f>
        <v>3312.5</v>
      </c>
      <c r="F116" s="31">
        <f>SUM(F113:F115)</f>
        <v>13851.65</v>
      </c>
      <c r="G116" s="31">
        <f>SUM(G113:G115)</f>
        <v>469858.76</v>
      </c>
      <c r="H116" s="31">
        <f>SUM(H113:H115)</f>
        <v>-38219.07</v>
      </c>
      <c r="I116" s="26"/>
      <c r="J116" s="18"/>
      <c r="K116" s="19"/>
    </row>
    <row r="117" spans="1:15" ht="15.75" hidden="1" x14ac:dyDescent="0.25">
      <c r="A117" s="24"/>
      <c r="B117" s="36"/>
      <c r="C117" s="18"/>
      <c r="D117" s="31"/>
      <c r="E117" s="31"/>
      <c r="F117" s="31"/>
      <c r="G117" s="31"/>
      <c r="H117" s="31"/>
      <c r="I117" s="26"/>
      <c r="J117" s="18"/>
      <c r="K117" s="19"/>
    </row>
    <row r="118" spans="1:15" ht="15" hidden="1" x14ac:dyDescent="0.2">
      <c r="A118" s="24" t="s">
        <v>19</v>
      </c>
      <c r="B118" s="33" t="s">
        <v>12</v>
      </c>
      <c r="C118" s="18">
        <f>I115</f>
        <v>-2163209.4551912947</v>
      </c>
      <c r="D118" s="34">
        <v>-178389.33</v>
      </c>
      <c r="E118" s="34">
        <v>1714</v>
      </c>
      <c r="F118" s="34">
        <v>0</v>
      </c>
      <c r="G118" s="34">
        <v>145478.69</v>
      </c>
      <c r="H118" s="35">
        <v>-13129.39</v>
      </c>
      <c r="I118" s="26">
        <f>C118+D118+E118+F118+G118+H118+K118</f>
        <v>-2207535.4851912949</v>
      </c>
      <c r="J118" s="18"/>
      <c r="K118" s="19"/>
      <c r="N118" s="3"/>
    </row>
    <row r="119" spans="1:15" ht="15" hidden="1" x14ac:dyDescent="0.2">
      <c r="A119" s="24"/>
      <c r="B119" s="33" t="s">
        <v>13</v>
      </c>
      <c r="C119" s="18">
        <f>I118</f>
        <v>-2207535.4851912949</v>
      </c>
      <c r="D119" s="34">
        <v>-179474.31</v>
      </c>
      <c r="E119" s="34">
        <v>5267.18</v>
      </c>
      <c r="F119" s="34">
        <v>0</v>
      </c>
      <c r="G119" s="34">
        <v>142064.84</v>
      </c>
      <c r="H119" s="35">
        <v>-13399.35</v>
      </c>
      <c r="I119" s="26">
        <f>C119+D119+E119+F119+G119+H119</f>
        <v>-2253077.1251912951</v>
      </c>
      <c r="J119" s="18"/>
      <c r="K119" s="19"/>
    </row>
    <row r="120" spans="1:15" ht="15" hidden="1" x14ac:dyDescent="0.2">
      <c r="A120" s="24"/>
      <c r="B120" s="33" t="s">
        <v>14</v>
      </c>
      <c r="C120" s="18">
        <f>I119</f>
        <v>-2253077.1251912951</v>
      </c>
      <c r="D120" s="34">
        <f>-156105.3+1519537.06</f>
        <v>1363431.76</v>
      </c>
      <c r="E120" s="34">
        <v>7940</v>
      </c>
      <c r="F120" s="34">
        <v>0</v>
      </c>
      <c r="G120" s="34">
        <f>146947.1</f>
        <v>146947.1</v>
      </c>
      <c r="H120" s="35">
        <v>-9002.35</v>
      </c>
      <c r="I120" s="26">
        <f>C120+D120+E120+F120+G120+H120+K120</f>
        <v>-743760.61519129504</v>
      </c>
      <c r="J120" s="18"/>
      <c r="K120" s="19">
        <v>0</v>
      </c>
      <c r="N120" s="3"/>
      <c r="O120" s="3" t="s">
        <v>19</v>
      </c>
    </row>
    <row r="121" spans="1:15" ht="15.75" hidden="1" x14ac:dyDescent="0.25">
      <c r="A121" s="24"/>
      <c r="B121" s="36" t="s">
        <v>44</v>
      </c>
      <c r="C121" s="18"/>
      <c r="D121" s="31">
        <f>SUM(D118:D120)</f>
        <v>1005568.12</v>
      </c>
      <c r="E121" s="31">
        <f>SUM(E118:E120)</f>
        <v>14921.18</v>
      </c>
      <c r="F121" s="31">
        <f>SUM(F118:F120)</f>
        <v>0</v>
      </c>
      <c r="G121" s="31">
        <f>SUM(G118:G120)</f>
        <v>434490.63</v>
      </c>
      <c r="H121" s="31">
        <f>SUM(H118:H120)</f>
        <v>-35531.089999999997</v>
      </c>
      <c r="I121" s="26"/>
      <c r="J121" s="18"/>
      <c r="K121" s="19"/>
    </row>
    <row r="122" spans="1:15" ht="15.75" x14ac:dyDescent="0.25">
      <c r="A122" s="24"/>
      <c r="B122" s="21">
        <v>2005</v>
      </c>
      <c r="C122" s="37">
        <f>I99</f>
        <v>-1914287.9051912969</v>
      </c>
      <c r="D122" s="31">
        <f>D104+D109+D116+D121</f>
        <v>-558548.99000000011</v>
      </c>
      <c r="E122" s="31">
        <f>E104+E109+E116+E121</f>
        <v>40961.53</v>
      </c>
      <c r="F122" s="31">
        <f>F104+F109+F116+F121</f>
        <v>13851.65</v>
      </c>
      <c r="G122" s="31">
        <f>G104+G109+G116+G121</f>
        <v>1820787.46</v>
      </c>
      <c r="H122" s="31">
        <f>H104+H109+H116+H121</f>
        <v>-146524.35999999999</v>
      </c>
      <c r="I122" s="32">
        <f>SUM(C122:H122)</f>
        <v>-743760.61519129726</v>
      </c>
      <c r="J122" s="18"/>
      <c r="K122" s="19"/>
    </row>
    <row r="123" spans="1:15" ht="15" hidden="1" x14ac:dyDescent="0.2">
      <c r="A123" s="24">
        <v>2006</v>
      </c>
      <c r="B123" s="33" t="s">
        <v>15</v>
      </c>
      <c r="C123" s="18">
        <f>I120</f>
        <v>-743760.61519129504</v>
      </c>
      <c r="D123" s="34">
        <f>-148679.51+190658.12</f>
        <v>41978.609999999986</v>
      </c>
      <c r="E123" s="34">
        <v>741.94</v>
      </c>
      <c r="F123" s="34">
        <v>0</v>
      </c>
      <c r="G123" s="34">
        <f>160901.59</f>
        <v>160901.59</v>
      </c>
      <c r="H123" s="35">
        <f>-3868.39</f>
        <v>-3868.39</v>
      </c>
      <c r="I123" s="26">
        <f>C123+D123+E123+F123+G123+H123+K123</f>
        <v>-544006.86519129516</v>
      </c>
      <c r="J123" s="18"/>
      <c r="K123" s="19"/>
      <c r="N123" s="3"/>
    </row>
    <row r="124" spans="1:15" ht="15" hidden="1" x14ac:dyDescent="0.2">
      <c r="A124" s="24"/>
      <c r="B124" s="33" t="s">
        <v>16</v>
      </c>
      <c r="C124" s="18">
        <f>I123</f>
        <v>-544006.86519129516</v>
      </c>
      <c r="D124" s="34">
        <f>-144594.39+2237.1</f>
        <v>-142357.29</v>
      </c>
      <c r="E124" s="34">
        <v>154</v>
      </c>
      <c r="F124" s="34">
        <v>0</v>
      </c>
      <c r="G124" s="34">
        <f>174830.03</f>
        <v>174830.03</v>
      </c>
      <c r="H124" s="35">
        <f>-3179.88</f>
        <v>-3179.88</v>
      </c>
      <c r="I124" s="26">
        <f>C124+D124+E124+F124+G124+H124</f>
        <v>-514560.00519129517</v>
      </c>
      <c r="J124" s="18"/>
      <c r="K124" s="19"/>
    </row>
    <row r="125" spans="1:15" ht="15" hidden="1" x14ac:dyDescent="0.2">
      <c r="A125" s="24"/>
      <c r="B125" s="33" t="s">
        <v>17</v>
      </c>
      <c r="C125" s="18">
        <f>I124</f>
        <v>-514560.00519129517</v>
      </c>
      <c r="D125" s="34">
        <f>-146148.39+86957.28</f>
        <v>-59191.110000000015</v>
      </c>
      <c r="E125" s="34">
        <v>231</v>
      </c>
      <c r="F125" s="34">
        <v>0</v>
      </c>
      <c r="G125" s="34">
        <f>192257.52</f>
        <v>192257.52</v>
      </c>
      <c r="H125" s="35">
        <f>-2699.11</f>
        <v>-2699.11</v>
      </c>
      <c r="I125" s="26">
        <f>C125+D125+E125+F125+G125+H125+K125</f>
        <v>-383961.70519129513</v>
      </c>
      <c r="J125" s="18"/>
      <c r="K125" s="19">
        <v>0</v>
      </c>
      <c r="N125" s="3"/>
      <c r="O125" s="3" t="s">
        <v>19</v>
      </c>
    </row>
    <row r="126" spans="1:15" ht="15.75" hidden="1" x14ac:dyDescent="0.25">
      <c r="A126" s="24"/>
      <c r="B126" s="36" t="s">
        <v>45</v>
      </c>
      <c r="C126" s="18"/>
      <c r="D126" s="31">
        <f>SUM(D123:D125)</f>
        <v>-159569.79000000004</v>
      </c>
      <c r="E126" s="31">
        <f>SUM(E123:E125)</f>
        <v>1126.94</v>
      </c>
      <c r="F126" s="31">
        <f>SUM(F123:F125)</f>
        <v>0</v>
      </c>
      <c r="G126" s="31">
        <f>SUM(G123:G125)</f>
        <v>527989.14</v>
      </c>
      <c r="H126" s="31">
        <f>SUM(H123:H125)</f>
        <v>-9747.380000000001</v>
      </c>
      <c r="I126" s="26"/>
      <c r="J126" s="18"/>
      <c r="K126" s="19"/>
    </row>
    <row r="127" spans="1:15" ht="15.75" hidden="1" x14ac:dyDescent="0.25">
      <c r="A127" s="24"/>
      <c r="B127" s="36"/>
      <c r="C127" s="18"/>
      <c r="D127" s="31"/>
      <c r="E127" s="31"/>
      <c r="F127" s="31"/>
      <c r="G127" s="31"/>
      <c r="H127" s="31"/>
      <c r="I127" s="26"/>
      <c r="J127" s="18"/>
      <c r="K127" s="19"/>
    </row>
    <row r="128" spans="1:15" ht="15" hidden="1" x14ac:dyDescent="0.2">
      <c r="A128" s="24" t="s">
        <v>19</v>
      </c>
      <c r="B128" s="33" t="s">
        <v>20</v>
      </c>
      <c r="C128" s="18">
        <f>I125</f>
        <v>-383961.70519129513</v>
      </c>
      <c r="D128" s="34">
        <v>-147678.95000000001</v>
      </c>
      <c r="E128" s="34">
        <v>733.49</v>
      </c>
      <c r="F128" s="34">
        <v>0</v>
      </c>
      <c r="G128" s="34">
        <v>204672.11</v>
      </c>
      <c r="H128" s="35">
        <v>-2139.8200000000002</v>
      </c>
      <c r="I128" s="26">
        <f>C128+D128+E128+F128+G128+H128+K128</f>
        <v>-328374.87519129511</v>
      </c>
      <c r="J128" s="18"/>
      <c r="K128" s="19"/>
      <c r="N128" s="3"/>
    </row>
    <row r="129" spans="1:15" ht="15" hidden="1" x14ac:dyDescent="0.2">
      <c r="A129" s="24"/>
      <c r="B129" s="33" t="s">
        <v>21</v>
      </c>
      <c r="C129" s="18">
        <f>I128</f>
        <v>-328374.87519129511</v>
      </c>
      <c r="D129" s="34">
        <v>-149566.92000000001</v>
      </c>
      <c r="E129" s="34">
        <f>35.72+143.58</f>
        <v>179.3</v>
      </c>
      <c r="F129" s="34">
        <v>0</v>
      </c>
      <c r="G129" s="34">
        <v>208441.34</v>
      </c>
      <c r="H129" s="35">
        <v>-1800.86</v>
      </c>
      <c r="I129" s="26">
        <f>C129+D129+E129+F129+G129+H129</f>
        <v>-271122.01519129507</v>
      </c>
      <c r="J129" s="18"/>
      <c r="K129" s="19"/>
    </row>
    <row r="130" spans="1:15" ht="15" hidden="1" x14ac:dyDescent="0.2">
      <c r="A130" s="24"/>
      <c r="B130" s="33" t="s">
        <v>22</v>
      </c>
      <c r="C130" s="18">
        <f>I129</f>
        <v>-271122.01519129507</v>
      </c>
      <c r="D130" s="34">
        <v>-148363.35999999999</v>
      </c>
      <c r="E130" s="34">
        <f>-907.84+71.8</f>
        <v>-836.04000000000008</v>
      </c>
      <c r="F130" s="34">
        <v>0</v>
      </c>
      <c r="G130" s="34">
        <v>210896.96</v>
      </c>
      <c r="H130" s="35">
        <v>-1447.89</v>
      </c>
      <c r="I130" s="26">
        <f>C130+D130+E130+F130+G130+H130+K130</f>
        <v>-210872.34519129505</v>
      </c>
      <c r="J130" s="18"/>
      <c r="K130" s="19">
        <v>0</v>
      </c>
      <c r="N130" s="3"/>
      <c r="O130" s="3" t="s">
        <v>19</v>
      </c>
    </row>
    <row r="131" spans="1:15" ht="15.75" hidden="1" x14ac:dyDescent="0.25">
      <c r="A131" s="24"/>
      <c r="B131" s="36" t="s">
        <v>46</v>
      </c>
      <c r="C131" s="18"/>
      <c r="D131" s="31">
        <f>SUM(D128:D130)</f>
        <v>-445609.23</v>
      </c>
      <c r="E131" s="31">
        <f>SUM(E128:E130)</f>
        <v>76.749999999999886</v>
      </c>
      <c r="F131" s="31">
        <f>SUM(F128:F130)</f>
        <v>0</v>
      </c>
      <c r="G131" s="31">
        <f>SUM(G128:G130)</f>
        <v>624010.40999999992</v>
      </c>
      <c r="H131" s="31">
        <f>SUM(H128:H130)</f>
        <v>-5388.5700000000006</v>
      </c>
      <c r="I131" s="26"/>
      <c r="J131" s="18"/>
      <c r="K131" s="19"/>
    </row>
    <row r="132" spans="1:15" ht="15.75" hidden="1" x14ac:dyDescent="0.25">
      <c r="A132" s="24"/>
      <c r="B132" s="36"/>
      <c r="C132" s="18"/>
      <c r="D132" s="31"/>
      <c r="E132" s="31"/>
      <c r="F132" s="31"/>
      <c r="G132" s="31"/>
      <c r="H132" s="31"/>
      <c r="I132" s="26"/>
      <c r="J132" s="18"/>
      <c r="K132" s="19"/>
    </row>
    <row r="133" spans="1:15" ht="15" hidden="1" x14ac:dyDescent="0.2">
      <c r="A133" s="24" t="s">
        <v>19</v>
      </c>
      <c r="B133" s="33" t="s">
        <v>24</v>
      </c>
      <c r="C133" s="18">
        <f>I130</f>
        <v>-210872.34519129505</v>
      </c>
      <c r="D133" s="34">
        <v>-149509.35999999999</v>
      </c>
      <c r="E133" s="34">
        <v>-2151.85</v>
      </c>
      <c r="F133" s="34">
        <v>0</v>
      </c>
      <c r="G133" s="34">
        <v>209191.5</v>
      </c>
      <c r="H133" s="35">
        <f>-1097.38</f>
        <v>-1097.3800000000001</v>
      </c>
      <c r="I133" s="26">
        <f>C133+D133+E133+F133+G133+H133+K133</f>
        <v>-154439.43519129499</v>
      </c>
      <c r="J133" s="18"/>
      <c r="K133" s="19"/>
      <c r="N133" s="3"/>
    </row>
    <row r="134" spans="1:15" ht="15" hidden="1" x14ac:dyDescent="0.2">
      <c r="A134" s="24"/>
      <c r="B134" s="33" t="s">
        <v>25</v>
      </c>
      <c r="C134" s="18">
        <f>I133</f>
        <v>-154439.43519129499</v>
      </c>
      <c r="D134" s="34">
        <v>-151427.67000000001</v>
      </c>
      <c r="E134" s="34">
        <f>-1578.07+574.32</f>
        <v>-1003.7499999999999</v>
      </c>
      <c r="F134" s="34">
        <v>32357.75</v>
      </c>
      <c r="G134" s="34">
        <v>200658.26</v>
      </c>
      <c r="H134" s="35">
        <f>-687.85</f>
        <v>-687.85</v>
      </c>
      <c r="I134" s="26">
        <f>C134+D134+E134+F134+G134+H134</f>
        <v>-74542.695191295032</v>
      </c>
      <c r="J134" s="18"/>
      <c r="K134" s="19"/>
    </row>
    <row r="135" spans="1:15" ht="15" hidden="1" x14ac:dyDescent="0.2">
      <c r="A135" s="24"/>
      <c r="B135" s="33" t="s">
        <v>11</v>
      </c>
      <c r="C135" s="18">
        <f>I134</f>
        <v>-74542.695191295032</v>
      </c>
      <c r="D135" s="34">
        <v>-149280.59</v>
      </c>
      <c r="E135" s="34">
        <f>-1219.11+1292.22</f>
        <v>73.110000000000127</v>
      </c>
      <c r="F135" s="34">
        <v>0</v>
      </c>
      <c r="G135" s="34">
        <v>187944.19</v>
      </c>
      <c r="H135" s="35">
        <f>-332.48</f>
        <v>-332.48</v>
      </c>
      <c r="I135" s="26">
        <f>C135+D135+E135+F135+G135+H135+K135</f>
        <v>-36138.465191295043</v>
      </c>
      <c r="J135" s="18"/>
      <c r="K135" s="19">
        <v>0</v>
      </c>
      <c r="N135" s="3"/>
      <c r="O135" s="3" t="s">
        <v>19</v>
      </c>
    </row>
    <row r="136" spans="1:15" ht="15.75" hidden="1" x14ac:dyDescent="0.25">
      <c r="A136" s="24"/>
      <c r="B136" s="36" t="s">
        <v>47</v>
      </c>
      <c r="C136" s="18"/>
      <c r="D136" s="31">
        <f>SUM(D133:D135)</f>
        <v>-450217.62</v>
      </c>
      <c r="E136" s="31">
        <f>SUM(E133:E135)</f>
        <v>-3082.49</v>
      </c>
      <c r="F136" s="31">
        <f>SUM(F133:F135)</f>
        <v>32357.75</v>
      </c>
      <c r="G136" s="31">
        <f>SUM(G133:G135)</f>
        <v>597793.94999999995</v>
      </c>
      <c r="H136" s="31">
        <f>SUM(H133:H135)</f>
        <v>-2117.71</v>
      </c>
      <c r="I136" s="26"/>
      <c r="J136" s="18"/>
      <c r="K136" s="19"/>
    </row>
    <row r="137" spans="1:15" ht="15.75" hidden="1" x14ac:dyDescent="0.25">
      <c r="A137" s="24"/>
      <c r="B137" s="36"/>
      <c r="C137" s="18"/>
      <c r="D137" s="31"/>
      <c r="E137" s="31"/>
      <c r="F137" s="31"/>
      <c r="G137" s="31"/>
      <c r="H137" s="31"/>
      <c r="I137" s="26"/>
      <c r="J137" s="18"/>
      <c r="K137" s="19"/>
    </row>
    <row r="138" spans="1:15" ht="15" hidden="1" x14ac:dyDescent="0.2">
      <c r="A138" s="24" t="s">
        <v>19</v>
      </c>
      <c r="B138" s="33" t="s">
        <v>12</v>
      </c>
      <c r="C138" s="18">
        <f>I135</f>
        <v>-36138.465191295043</v>
      </c>
      <c r="D138" s="34">
        <v>-150532.82</v>
      </c>
      <c r="E138" s="34">
        <f>-831.24+1015.37</f>
        <v>184.13</v>
      </c>
      <c r="F138" s="34">
        <v>0</v>
      </c>
      <c r="G138" s="34">
        <f>174055.75</f>
        <v>174055.75</v>
      </c>
      <c r="H138" s="35">
        <f>-146.34</f>
        <v>-146.34</v>
      </c>
      <c r="I138" s="26">
        <f>C138+D138+E138+F138+G138+H138+K138</f>
        <v>-12577.745191295053</v>
      </c>
      <c r="J138" s="18"/>
      <c r="K138" s="19"/>
      <c r="N138" s="3"/>
    </row>
    <row r="139" spans="1:15" ht="15" hidden="1" x14ac:dyDescent="0.2">
      <c r="A139" s="24"/>
      <c r="B139" s="33" t="s">
        <v>13</v>
      </c>
      <c r="C139" s="18">
        <f>I138</f>
        <v>-12577.745191295053</v>
      </c>
      <c r="D139" s="34">
        <f>-151565.64</f>
        <v>-151565.64000000001</v>
      </c>
      <c r="E139" s="34">
        <f>-211.25</f>
        <v>-211.25</v>
      </c>
      <c r="F139" s="34">
        <v>0</v>
      </c>
      <c r="G139" s="34">
        <f>172614.85</f>
        <v>172614.85</v>
      </c>
      <c r="H139" s="35">
        <f>-13.01</f>
        <v>-13.01</v>
      </c>
      <c r="I139" s="26">
        <f>C139+D139+E139+F139+G139+H139</f>
        <v>8247.2048087049425</v>
      </c>
      <c r="J139" s="18"/>
      <c r="K139" s="19"/>
    </row>
    <row r="140" spans="1:15" ht="15" hidden="1" x14ac:dyDescent="0.2">
      <c r="A140" s="24"/>
      <c r="B140" s="33" t="s">
        <v>14</v>
      </c>
      <c r="C140" s="18">
        <f>I139</f>
        <v>8247.2048087049425</v>
      </c>
      <c r="D140" s="34">
        <f>-177439.66</f>
        <v>-177439.66</v>
      </c>
      <c r="E140" s="34">
        <f>460.98</f>
        <v>460.98</v>
      </c>
      <c r="F140" s="34">
        <v>0</v>
      </c>
      <c r="G140" s="34">
        <f>177167.08</f>
        <v>177167.08</v>
      </c>
      <c r="H140" s="35">
        <f>50.27</f>
        <v>50.27</v>
      </c>
      <c r="I140" s="26">
        <f>C140+D140+E140+F140+G140+H140+K140</f>
        <v>8485.874808704928</v>
      </c>
      <c r="J140" s="18"/>
      <c r="K140" s="19">
        <v>0</v>
      </c>
      <c r="N140" s="3"/>
      <c r="O140" s="3" t="s">
        <v>19</v>
      </c>
    </row>
    <row r="141" spans="1:15" ht="15.75" hidden="1" x14ac:dyDescent="0.25">
      <c r="A141" s="24"/>
      <c r="B141" s="36" t="s">
        <v>48</v>
      </c>
      <c r="C141" s="18"/>
      <c r="D141" s="31">
        <f>SUM(D138:D140)</f>
        <v>-479538.12</v>
      </c>
      <c r="E141" s="31">
        <f>SUM(E138:E140)</f>
        <v>433.86</v>
      </c>
      <c r="F141" s="31">
        <f>SUM(F138:F140)</f>
        <v>0</v>
      </c>
      <c r="G141" s="31">
        <f>SUM(G138:G140)</f>
        <v>523837.67999999993</v>
      </c>
      <c r="H141" s="31">
        <f>SUM(H138:H140)</f>
        <v>-109.07999999999998</v>
      </c>
      <c r="I141" s="26"/>
      <c r="J141" s="18"/>
      <c r="K141" s="19"/>
    </row>
    <row r="142" spans="1:15" ht="15.75" x14ac:dyDescent="0.25">
      <c r="A142" s="24"/>
      <c r="B142" s="21">
        <v>2006</v>
      </c>
      <c r="C142" s="37">
        <f>I122</f>
        <v>-743760.61519129726</v>
      </c>
      <c r="D142" s="31">
        <f>D126+D131+D136+D141</f>
        <v>-1534934.7600000002</v>
      </c>
      <c r="E142" s="31">
        <f>E126+E131+E136+E141</f>
        <v>-1444.9399999999996</v>
      </c>
      <c r="F142" s="31">
        <f>F126+F131+F136+F141</f>
        <v>32357.75</v>
      </c>
      <c r="G142" s="31">
        <f>G126+G131+G136+G141</f>
        <v>2273631.1799999997</v>
      </c>
      <c r="H142" s="31">
        <f>H126+H131+H136+H141</f>
        <v>-17362.740000000002</v>
      </c>
      <c r="I142" s="32">
        <f>SUM(C142:H142)</f>
        <v>8485.8748087023741</v>
      </c>
      <c r="J142" s="18"/>
      <c r="K142" s="19"/>
    </row>
    <row r="143" spans="1:15" ht="15" hidden="1" x14ac:dyDescent="0.2">
      <c r="A143" s="24">
        <v>2007</v>
      </c>
      <c r="B143" s="33" t="s">
        <v>15</v>
      </c>
      <c r="C143" s="18">
        <f>I140</f>
        <v>8485.874808704928</v>
      </c>
      <c r="D143" s="34">
        <v>-199703.77</v>
      </c>
      <c r="E143" s="34">
        <v>-51.34</v>
      </c>
      <c r="F143" s="34">
        <v>0</v>
      </c>
      <c r="G143" s="34">
        <v>189594.33</v>
      </c>
      <c r="H143" s="35">
        <v>20.52</v>
      </c>
      <c r="I143" s="26">
        <f>C143+D143+E143+F143+G143+H143+K143</f>
        <v>-1654.3851912950818</v>
      </c>
      <c r="J143" s="18"/>
      <c r="K143" s="19"/>
      <c r="N143" s="3"/>
    </row>
    <row r="144" spans="1:15" ht="15" hidden="1" x14ac:dyDescent="0.2">
      <c r="A144" s="24"/>
      <c r="B144" s="33" t="s">
        <v>16</v>
      </c>
      <c r="C144" s="18">
        <f>I143</f>
        <v>-1654.3851912950818</v>
      </c>
      <c r="D144" s="34">
        <v>-201390.65</v>
      </c>
      <c r="E144" s="34">
        <f>-42.96+140.98</f>
        <v>98.019999999999982</v>
      </c>
      <c r="F144" s="34">
        <v>0</v>
      </c>
      <c r="G144" s="34">
        <v>201414.28</v>
      </c>
      <c r="H144" s="35">
        <v>-9.6</v>
      </c>
      <c r="I144" s="26">
        <f>C144+D144+E144+F144+G144+H144</f>
        <v>-1542.335191295098</v>
      </c>
      <c r="J144" s="18"/>
      <c r="K144" s="19"/>
    </row>
    <row r="145" spans="1:15" ht="15" hidden="1" x14ac:dyDescent="0.2">
      <c r="A145" s="24"/>
      <c r="B145" s="33" t="s">
        <v>17</v>
      </c>
      <c r="C145" s="18">
        <f>I144</f>
        <v>-1542.335191295098</v>
      </c>
      <c r="D145" s="34">
        <v>-200146.91</v>
      </c>
      <c r="E145" s="34">
        <v>-105.62</v>
      </c>
      <c r="F145" s="34">
        <v>0</v>
      </c>
      <c r="G145" s="34">
        <v>210880.4</v>
      </c>
      <c r="H145" s="35">
        <v>22.73</v>
      </c>
      <c r="I145" s="26">
        <f>C145+D145+E145+F145+G145+H145+K145</f>
        <v>9108.264808704891</v>
      </c>
      <c r="J145" s="18"/>
      <c r="K145" s="19">
        <v>0</v>
      </c>
      <c r="N145" s="3"/>
      <c r="O145" s="3" t="s">
        <v>19</v>
      </c>
    </row>
    <row r="146" spans="1:15" ht="15.75" hidden="1" x14ac:dyDescent="0.25">
      <c r="A146" s="24"/>
      <c r="B146" s="36" t="s">
        <v>49</v>
      </c>
      <c r="C146" s="18"/>
      <c r="D146" s="31">
        <f>SUM(D143:D145)</f>
        <v>-601241.32999999996</v>
      </c>
      <c r="E146" s="31">
        <f>SUM(E143:E145)</f>
        <v>-58.940000000000026</v>
      </c>
      <c r="F146" s="31">
        <f>SUM(F143:F145)</f>
        <v>0</v>
      </c>
      <c r="G146" s="31">
        <f>SUM(G143:G145)</f>
        <v>601889.01</v>
      </c>
      <c r="H146" s="31">
        <f>SUM(H143:H145)</f>
        <v>33.65</v>
      </c>
      <c r="I146" s="26"/>
      <c r="J146" s="18"/>
      <c r="K146" s="19"/>
    </row>
    <row r="147" spans="1:15" ht="15.75" hidden="1" x14ac:dyDescent="0.25">
      <c r="A147" s="24"/>
      <c r="B147" s="36"/>
      <c r="C147" s="18"/>
      <c r="D147" s="31"/>
      <c r="E147" s="31"/>
      <c r="F147" s="31"/>
      <c r="G147" s="31"/>
      <c r="H147" s="31"/>
      <c r="I147" s="26"/>
      <c r="J147" s="18"/>
      <c r="K147" s="19"/>
    </row>
    <row r="148" spans="1:15" ht="15" hidden="1" x14ac:dyDescent="0.2">
      <c r="A148" s="24" t="s">
        <v>19</v>
      </c>
      <c r="B148" s="33" t="s">
        <v>20</v>
      </c>
      <c r="C148" s="18">
        <f>I145</f>
        <v>9108.264808704891</v>
      </c>
      <c r="D148" s="34">
        <v>-202821.07</v>
      </c>
      <c r="E148" s="34">
        <f>124.44+70.49</f>
        <v>194.93</v>
      </c>
      <c r="F148" s="34">
        <v>0</v>
      </c>
      <c r="G148" s="34">
        <v>216875.4</v>
      </c>
      <c r="H148" s="35">
        <v>97.82</v>
      </c>
      <c r="I148" s="26">
        <f>C148+D148+E148+F148+G148+H148+K148</f>
        <v>23455.344808704882</v>
      </c>
      <c r="J148" s="18"/>
      <c r="K148" s="19"/>
      <c r="N148" s="3"/>
    </row>
    <row r="149" spans="1:15" ht="15" hidden="1" x14ac:dyDescent="0.2">
      <c r="A149" s="24"/>
      <c r="B149" s="33" t="s">
        <v>21</v>
      </c>
      <c r="C149" s="18">
        <f>I148</f>
        <v>23455.344808704882</v>
      </c>
      <c r="D149" s="34">
        <v>-203313.2</v>
      </c>
      <c r="E149" s="34">
        <v>-50.29</v>
      </c>
      <c r="F149" s="34">
        <v>0</v>
      </c>
      <c r="G149" s="34">
        <f>218321.81</f>
        <v>218321.81</v>
      </c>
      <c r="H149" s="35">
        <v>186.41</v>
      </c>
      <c r="I149" s="26">
        <f>C149+D149+E149+F149+G149+H149</f>
        <v>38600.074808704871</v>
      </c>
      <c r="J149" s="18"/>
      <c r="K149" s="19"/>
    </row>
    <row r="150" spans="1:15" ht="15" hidden="1" x14ac:dyDescent="0.2">
      <c r="A150" s="24"/>
      <c r="B150" s="33" t="s">
        <v>22</v>
      </c>
      <c r="C150" s="18">
        <f>I149</f>
        <v>38600.074808704871</v>
      </c>
      <c r="D150" s="34">
        <v>-203576.52</v>
      </c>
      <c r="E150" s="34">
        <f>-82.65+70.49</f>
        <v>-12.160000000000011</v>
      </c>
      <c r="F150" s="34">
        <v>0</v>
      </c>
      <c r="G150" s="34">
        <f>190337.12</f>
        <v>190337.12</v>
      </c>
      <c r="H150" s="35">
        <v>192.68</v>
      </c>
      <c r="I150" s="26">
        <f>C150+D150+E150+F150+G150+H150+K150</f>
        <v>25541.194808704873</v>
      </c>
      <c r="J150" s="18"/>
      <c r="K150" s="19">
        <v>0</v>
      </c>
      <c r="N150" s="3"/>
      <c r="O150" s="3" t="s">
        <v>19</v>
      </c>
    </row>
    <row r="151" spans="1:15" ht="15.75" hidden="1" x14ac:dyDescent="0.25">
      <c r="A151" s="24"/>
      <c r="B151" s="36" t="s">
        <v>50</v>
      </c>
      <c r="C151" s="18"/>
      <c r="D151" s="31">
        <f>SUM(D148:D150)</f>
        <v>-609710.79</v>
      </c>
      <c r="E151" s="31">
        <f>SUM(E148:E150)</f>
        <v>132.48000000000002</v>
      </c>
      <c r="F151" s="31">
        <f>SUM(F148:F150)</f>
        <v>0</v>
      </c>
      <c r="G151" s="31">
        <f>SUM(G148:G150)</f>
        <v>625534.32999999996</v>
      </c>
      <c r="H151" s="31">
        <f>SUM(H148:H150)</f>
        <v>476.91</v>
      </c>
      <c r="I151" s="26"/>
      <c r="J151" s="18"/>
      <c r="K151" s="19"/>
    </row>
    <row r="152" spans="1:15" ht="15.75" hidden="1" x14ac:dyDescent="0.25">
      <c r="A152" s="24"/>
      <c r="B152" s="36"/>
      <c r="C152" s="18"/>
      <c r="D152" s="31"/>
      <c r="E152" s="31"/>
      <c r="F152" s="31"/>
      <c r="G152" s="31"/>
      <c r="H152" s="31"/>
      <c r="I152" s="26"/>
      <c r="J152" s="18"/>
      <c r="K152" s="19"/>
    </row>
    <row r="153" spans="1:15" ht="15" hidden="1" x14ac:dyDescent="0.2">
      <c r="A153" s="24" t="s">
        <v>19</v>
      </c>
      <c r="B153" s="33" t="s">
        <v>24</v>
      </c>
      <c r="C153" s="18">
        <f>I150</f>
        <v>25541.194808704873</v>
      </c>
      <c r="D153" s="34">
        <v>-205551.04</v>
      </c>
      <c r="E153" s="34">
        <f>-17.63</f>
        <v>-17.63</v>
      </c>
      <c r="F153" s="34">
        <v>0</v>
      </c>
      <c r="G153" s="34">
        <v>178059.45</v>
      </c>
      <c r="H153" s="35">
        <v>71.03</v>
      </c>
      <c r="I153" s="26">
        <f>C153+D153+E153+F153+G153+H153+K153</f>
        <v>-1896.9951912951353</v>
      </c>
      <c r="J153" s="18"/>
      <c r="K153" s="19"/>
      <c r="N153" s="3"/>
    </row>
    <row r="154" spans="1:15" ht="15" hidden="1" x14ac:dyDescent="0.2">
      <c r="A154" s="24"/>
      <c r="B154" s="33" t="s">
        <v>25</v>
      </c>
      <c r="C154" s="18">
        <f>I153</f>
        <v>-1896.9951912951353</v>
      </c>
      <c r="D154" s="34">
        <v>-202379.44</v>
      </c>
      <c r="E154" s="34">
        <f>26.7+352.45</f>
        <v>379.15</v>
      </c>
      <c r="F154" s="34">
        <v>37868.75</v>
      </c>
      <c r="G154" s="34">
        <v>174626.55</v>
      </c>
      <c r="H154" s="35">
        <v>20.190000000000001</v>
      </c>
      <c r="I154" s="26">
        <f>C154+D154+E154+F154+G154+H154</f>
        <v>8618.2048087048443</v>
      </c>
      <c r="J154" s="18"/>
      <c r="K154" s="19"/>
    </row>
    <row r="155" spans="1:15" ht="15" hidden="1" x14ac:dyDescent="0.2">
      <c r="A155" s="24"/>
      <c r="B155" s="33" t="s">
        <v>11</v>
      </c>
      <c r="C155" s="18">
        <f>I154</f>
        <v>8618.2048087048443</v>
      </c>
      <c r="D155" s="34">
        <v>-207769.47</v>
      </c>
      <c r="E155" s="34">
        <f>79.34+845.88</f>
        <v>925.22</v>
      </c>
      <c r="F155" s="34">
        <v>0</v>
      </c>
      <c r="G155" s="34">
        <v>171981.16</v>
      </c>
      <c r="H155" s="35">
        <v>-53.11</v>
      </c>
      <c r="I155" s="26">
        <f>C155+D155+E155+F155+G155+H155+K155</f>
        <v>-26297.995191295151</v>
      </c>
      <c r="J155" s="18"/>
      <c r="K155" s="19">
        <v>0</v>
      </c>
      <c r="N155" s="3"/>
      <c r="O155" s="3" t="s">
        <v>19</v>
      </c>
    </row>
    <row r="156" spans="1:15" ht="15.75" hidden="1" x14ac:dyDescent="0.25">
      <c r="A156" s="24"/>
      <c r="B156" s="36" t="s">
        <v>51</v>
      </c>
      <c r="C156" s="18"/>
      <c r="D156" s="31">
        <f>SUM(D153:D155)</f>
        <v>-615699.94999999995</v>
      </c>
      <c r="E156" s="31">
        <f>SUM(E153:E155)</f>
        <v>1286.74</v>
      </c>
      <c r="F156" s="31">
        <f>SUM(F153:F155)</f>
        <v>37868.75</v>
      </c>
      <c r="G156" s="31">
        <f>SUM(G153:G155)</f>
        <v>524667.16</v>
      </c>
      <c r="H156" s="31">
        <f>SUM(H153:H155)</f>
        <v>38.11</v>
      </c>
      <c r="I156" s="26"/>
      <c r="J156" s="18"/>
      <c r="K156" s="19"/>
    </row>
    <row r="157" spans="1:15" ht="15.75" hidden="1" x14ac:dyDescent="0.25">
      <c r="A157" s="24"/>
      <c r="B157" s="36"/>
      <c r="C157" s="18"/>
      <c r="D157" s="31"/>
      <c r="E157" s="31"/>
      <c r="F157" s="31"/>
      <c r="G157" s="31"/>
      <c r="H157" s="31"/>
      <c r="I157" s="26"/>
      <c r="J157" s="18"/>
      <c r="K157" s="19"/>
    </row>
    <row r="158" spans="1:15" ht="15" hidden="1" x14ac:dyDescent="0.2">
      <c r="A158" s="24" t="s">
        <v>19</v>
      </c>
      <c r="B158" s="33" t="s">
        <v>12</v>
      </c>
      <c r="C158" s="18">
        <f>I155</f>
        <v>-26297.995191295151</v>
      </c>
      <c r="D158" s="34">
        <v>-205507.18</v>
      </c>
      <c r="E158" s="34">
        <f>-56.74+493.43</f>
        <v>436.69</v>
      </c>
      <c r="F158" s="34">
        <v>0</v>
      </c>
      <c r="G158" s="34">
        <v>169110.32</v>
      </c>
      <c r="H158" s="35">
        <v>-266.82</v>
      </c>
      <c r="I158" s="26">
        <f>C158+D158+E158+F158+G158+H158+K158</f>
        <v>-62524.985191295149</v>
      </c>
      <c r="J158" s="18"/>
      <c r="K158" s="19"/>
      <c r="N158" s="3"/>
    </row>
    <row r="159" spans="1:15" ht="15" hidden="1" x14ac:dyDescent="0.2">
      <c r="A159" s="24"/>
      <c r="B159" s="33" t="s">
        <v>13</v>
      </c>
      <c r="C159" s="18">
        <f>I158</f>
        <v>-62524.985191295149</v>
      </c>
      <c r="D159" s="34">
        <v>-208700.96</v>
      </c>
      <c r="E159" s="34">
        <f>85.17+422.94</f>
        <v>508.11</v>
      </c>
      <c r="F159" s="34">
        <v>0</v>
      </c>
      <c r="G159" s="34">
        <v>165096.94</v>
      </c>
      <c r="H159" s="35">
        <v>-506.62</v>
      </c>
      <c r="I159" s="26">
        <f>C159+D159+E159+F159+G159+H159</f>
        <v>-106127.51519129513</v>
      </c>
      <c r="J159" s="18"/>
      <c r="K159" s="19"/>
    </row>
    <row r="160" spans="1:15" ht="15" hidden="1" x14ac:dyDescent="0.2">
      <c r="A160" s="24"/>
      <c r="B160" s="33" t="s">
        <v>14</v>
      </c>
      <c r="C160" s="18">
        <f>I159</f>
        <v>-106127.51519129513</v>
      </c>
      <c r="D160" s="34">
        <v>-209528.32000000001</v>
      </c>
      <c r="E160" s="34">
        <v>-31.48</v>
      </c>
      <c r="F160" s="34">
        <v>0</v>
      </c>
      <c r="G160" s="34">
        <v>168906.85</v>
      </c>
      <c r="H160" s="35">
        <v>-762.01</v>
      </c>
      <c r="I160" s="26">
        <f>C160+D160+E160+F160+G160+H160+K160</f>
        <v>-147542.47519129512</v>
      </c>
      <c r="J160" s="18"/>
      <c r="K160" s="19">
        <v>0</v>
      </c>
      <c r="N160" s="3"/>
      <c r="O160" s="3" t="s">
        <v>19</v>
      </c>
    </row>
    <row r="161" spans="1:15" ht="15.75" hidden="1" x14ac:dyDescent="0.25">
      <c r="A161" s="24"/>
      <c r="B161" s="36" t="s">
        <v>52</v>
      </c>
      <c r="C161" s="18"/>
      <c r="D161" s="31">
        <f>SUM(D158:D160)</f>
        <v>-623736.46</v>
      </c>
      <c r="E161" s="31">
        <f>SUM(E158:E160)</f>
        <v>913.31999999999994</v>
      </c>
      <c r="F161" s="31">
        <f>SUM(F158:F160)</f>
        <v>0</v>
      </c>
      <c r="G161" s="31">
        <f>SUM(G158:G160)</f>
        <v>503114.11</v>
      </c>
      <c r="H161" s="31">
        <f>SUM(H158:H160)</f>
        <v>-1535.45</v>
      </c>
      <c r="I161" s="26" t="s">
        <v>19</v>
      </c>
      <c r="J161" s="18"/>
      <c r="K161" s="19"/>
    </row>
    <row r="162" spans="1:15" ht="15.75" x14ac:dyDescent="0.25">
      <c r="A162" s="24"/>
      <c r="B162" s="21">
        <v>2007</v>
      </c>
      <c r="C162" s="37">
        <f>I142</f>
        <v>8485.8748087023741</v>
      </c>
      <c r="D162" s="31">
        <f>D146+D151+D156+D161</f>
        <v>-2450388.5300000003</v>
      </c>
      <c r="E162" s="31">
        <f>E146+E151+E156+E161</f>
        <v>2273.6</v>
      </c>
      <c r="F162" s="31">
        <f>F146+F151+F156+F161</f>
        <v>37868.75</v>
      </c>
      <c r="G162" s="31">
        <f>G146+G151+G156+G161</f>
        <v>2255204.61</v>
      </c>
      <c r="H162" s="31">
        <f>H146+H151+H156+H161</f>
        <v>-986.78000000000009</v>
      </c>
      <c r="I162" s="32">
        <f>SUM(C162:H162)</f>
        <v>-147542.47519129814</v>
      </c>
      <c r="J162" s="18"/>
      <c r="K162" s="19"/>
    </row>
    <row r="163" spans="1:15" ht="15.75" hidden="1" x14ac:dyDescent="0.25">
      <c r="A163" s="24"/>
      <c r="B163" s="21"/>
      <c r="C163" s="37"/>
      <c r="D163" s="31"/>
      <c r="E163" s="31"/>
      <c r="F163" s="31"/>
      <c r="G163" s="31"/>
      <c r="H163" s="31"/>
      <c r="I163" s="32"/>
      <c r="J163" s="18"/>
      <c r="K163" s="19"/>
    </row>
    <row r="164" spans="1:15" ht="15.75" hidden="1" x14ac:dyDescent="0.25">
      <c r="A164" s="83" t="s">
        <v>53</v>
      </c>
      <c r="B164" s="36"/>
      <c r="C164" s="18"/>
      <c r="D164" s="31"/>
      <c r="E164" s="31"/>
      <c r="F164" s="31"/>
      <c r="G164" s="31"/>
      <c r="H164" s="31"/>
      <c r="I164" s="18"/>
      <c r="J164" s="18"/>
      <c r="K164" s="19"/>
    </row>
    <row r="165" spans="1:15" ht="15.75" hidden="1" x14ac:dyDescent="0.25">
      <c r="A165" s="82" t="s">
        <v>3</v>
      </c>
      <c r="B165" s="33"/>
      <c r="C165" s="18"/>
      <c r="D165" s="18"/>
      <c r="E165" s="18"/>
      <c r="F165" s="18"/>
      <c r="G165" s="18"/>
      <c r="H165" s="18"/>
      <c r="I165" s="18"/>
      <c r="J165" s="18"/>
      <c r="K165" s="19"/>
    </row>
    <row r="166" spans="1:15" ht="15" hidden="1" customHeight="1" x14ac:dyDescent="0.25">
      <c r="A166" s="82"/>
      <c r="B166" s="33"/>
      <c r="C166" s="20" t="s">
        <v>4</v>
      </c>
      <c r="D166" s="18"/>
      <c r="E166" s="20" t="s">
        <v>5</v>
      </c>
      <c r="F166" s="20" t="s">
        <v>5</v>
      </c>
      <c r="G166" s="20" t="s">
        <v>6</v>
      </c>
      <c r="H166" s="18"/>
      <c r="I166" s="20" t="s">
        <v>7</v>
      </c>
      <c r="J166" s="18"/>
      <c r="K166" s="19"/>
    </row>
    <row r="167" spans="1:15" ht="15" hidden="1" customHeight="1" x14ac:dyDescent="0.25">
      <c r="A167" s="21" t="s">
        <v>8</v>
      </c>
      <c r="B167" s="36" t="s">
        <v>32</v>
      </c>
      <c r="C167" s="20" t="s">
        <v>10</v>
      </c>
      <c r="D167" s="22" t="s">
        <v>150</v>
      </c>
      <c r="E167" s="23" t="s">
        <v>151</v>
      </c>
      <c r="F167" s="23" t="s">
        <v>156</v>
      </c>
      <c r="G167" s="23" t="s">
        <v>153</v>
      </c>
      <c r="H167" s="23" t="s">
        <v>154</v>
      </c>
      <c r="I167" s="23" t="s">
        <v>155</v>
      </c>
      <c r="J167" s="18"/>
      <c r="K167" s="19"/>
    </row>
    <row r="168" spans="1:15" ht="15" hidden="1" x14ac:dyDescent="0.2">
      <c r="A168" s="24">
        <v>2008</v>
      </c>
      <c r="B168" s="33" t="s">
        <v>15</v>
      </c>
      <c r="C168" s="18">
        <f>I160</f>
        <v>-147542.47519129512</v>
      </c>
      <c r="D168" s="34">
        <v>-205138.03</v>
      </c>
      <c r="E168" s="34">
        <v>17.48</v>
      </c>
      <c r="F168" s="34">
        <v>0</v>
      </c>
      <c r="G168" s="34">
        <v>177008.88</v>
      </c>
      <c r="H168" s="35">
        <v>-973.79</v>
      </c>
      <c r="I168" s="26">
        <f>C168+D168+E168+F168+G168+H168+K168</f>
        <v>-176627.93519129514</v>
      </c>
      <c r="J168" s="18"/>
      <c r="K168" s="19"/>
      <c r="N168" s="3"/>
    </row>
    <row r="169" spans="1:15" ht="15" hidden="1" x14ac:dyDescent="0.2">
      <c r="A169" s="24"/>
      <c r="B169" s="33" t="s">
        <v>16</v>
      </c>
      <c r="C169" s="18">
        <f>I168</f>
        <v>-176627.93519129514</v>
      </c>
      <c r="D169" s="34">
        <v>-207403.6</v>
      </c>
      <c r="E169" s="34">
        <f>26.45+139.12</f>
        <v>165.57</v>
      </c>
      <c r="F169" s="34">
        <v>0</v>
      </c>
      <c r="G169" s="34">
        <v>184436.54</v>
      </c>
      <c r="H169" s="35">
        <v>-1133.06</v>
      </c>
      <c r="I169" s="26">
        <f>C169+D169+E169+F169+G169+H169</f>
        <v>-200562.48519129513</v>
      </c>
      <c r="J169" s="18"/>
      <c r="K169" s="19"/>
    </row>
    <row r="170" spans="1:15" ht="15" hidden="1" x14ac:dyDescent="0.2">
      <c r="A170" s="24"/>
      <c r="B170" s="33" t="s">
        <v>17</v>
      </c>
      <c r="C170" s="18">
        <f>I169</f>
        <v>-200562.48519129513</v>
      </c>
      <c r="D170" s="34">
        <v>-208447.62</v>
      </c>
      <c r="E170" s="34">
        <f>29.18+347.8</f>
        <v>376.98</v>
      </c>
      <c r="F170" s="34">
        <v>0</v>
      </c>
      <c r="G170" s="34">
        <v>198379.17</v>
      </c>
      <c r="H170" s="35">
        <v>-1237.79</v>
      </c>
      <c r="I170" s="26">
        <f>C170+D170+E170+F170+G170+H170+K170</f>
        <v>-211491.74519129517</v>
      </c>
      <c r="J170" s="18"/>
      <c r="K170" s="19">
        <v>0</v>
      </c>
      <c r="N170" s="3"/>
      <c r="O170" s="3" t="s">
        <v>19</v>
      </c>
    </row>
    <row r="171" spans="1:15" ht="15.75" hidden="1" x14ac:dyDescent="0.25">
      <c r="A171" s="82" t="s">
        <v>3</v>
      </c>
      <c r="B171" s="17"/>
      <c r="C171" s="18"/>
      <c r="D171" s="18"/>
      <c r="E171" s="18"/>
      <c r="F171" s="18"/>
      <c r="G171" s="18"/>
      <c r="H171" s="18"/>
      <c r="I171" s="18"/>
      <c r="J171" s="18"/>
      <c r="K171" s="19"/>
    </row>
    <row r="172" spans="1:15" ht="15" hidden="1" customHeight="1" x14ac:dyDescent="0.25">
      <c r="A172" s="82"/>
      <c r="B172" s="17"/>
      <c r="C172" s="20" t="s">
        <v>4</v>
      </c>
      <c r="D172" s="18"/>
      <c r="E172" s="20" t="s">
        <v>5</v>
      </c>
      <c r="F172" s="20" t="s">
        <v>5</v>
      </c>
      <c r="G172" s="20" t="s">
        <v>6</v>
      </c>
      <c r="H172" s="18"/>
      <c r="I172" s="20" t="s">
        <v>7</v>
      </c>
      <c r="J172" s="18"/>
      <c r="K172" s="19"/>
    </row>
    <row r="173" spans="1:15" ht="15" hidden="1" customHeight="1" x14ac:dyDescent="0.25">
      <c r="A173" s="21" t="s">
        <v>8</v>
      </c>
      <c r="B173" s="16" t="s">
        <v>32</v>
      </c>
      <c r="C173" s="20" t="s">
        <v>10</v>
      </c>
      <c r="D173" s="22" t="s">
        <v>150</v>
      </c>
      <c r="E173" s="23" t="s">
        <v>151</v>
      </c>
      <c r="F173" s="23" t="s">
        <v>156</v>
      </c>
      <c r="G173" s="23" t="s">
        <v>153</v>
      </c>
      <c r="H173" s="23" t="s">
        <v>154</v>
      </c>
      <c r="I173" s="23" t="s">
        <v>155</v>
      </c>
      <c r="J173" s="18"/>
      <c r="K173" s="19"/>
    </row>
    <row r="174" spans="1:15" ht="15.75" hidden="1" x14ac:dyDescent="0.25">
      <c r="A174" s="24"/>
      <c r="B174" s="16"/>
      <c r="C174" s="18"/>
      <c r="D174" s="31"/>
      <c r="E174" s="31"/>
      <c r="F174" s="31"/>
      <c r="G174" s="31"/>
      <c r="H174" s="31"/>
      <c r="I174" s="26"/>
      <c r="J174" s="18"/>
      <c r="K174" s="19"/>
    </row>
    <row r="175" spans="1:15" ht="15.75" hidden="1" x14ac:dyDescent="0.25">
      <c r="A175" s="24"/>
      <c r="B175" s="36" t="s">
        <v>54</v>
      </c>
      <c r="C175" s="18"/>
      <c r="D175" s="31">
        <f>SUM(D168:D170)</f>
        <v>-620989.25</v>
      </c>
      <c r="E175" s="31">
        <f>SUM(E168:E170)</f>
        <v>560.03</v>
      </c>
      <c r="F175" s="31">
        <f>SUM(F168:F170)</f>
        <v>0</v>
      </c>
      <c r="G175" s="31">
        <f>SUM(G168:G170)</f>
        <v>559824.59000000008</v>
      </c>
      <c r="H175" s="31">
        <f>SUM(H168:H170)</f>
        <v>-3344.64</v>
      </c>
      <c r="I175" s="26"/>
      <c r="J175" s="18"/>
      <c r="K175" s="19"/>
    </row>
    <row r="176" spans="1:15" ht="15.75" hidden="1" x14ac:dyDescent="0.25">
      <c r="A176" s="24"/>
      <c r="B176" s="36"/>
      <c r="C176" s="18"/>
      <c r="D176" s="31"/>
      <c r="E176" s="31"/>
      <c r="F176" s="31"/>
      <c r="G176" s="31"/>
      <c r="H176" s="31"/>
      <c r="I176" s="26"/>
      <c r="J176" s="18"/>
      <c r="K176" s="19"/>
    </row>
    <row r="177" spans="1:15" ht="15" hidden="1" x14ac:dyDescent="0.2">
      <c r="A177" s="24" t="s">
        <v>19</v>
      </c>
      <c r="B177" s="33" t="s">
        <v>20</v>
      </c>
      <c r="C177" s="18">
        <f>I170</f>
        <v>-211491.74519129517</v>
      </c>
      <c r="D177" s="34">
        <v>-207227.98</v>
      </c>
      <c r="E177" s="34">
        <f>16.49+208.68</f>
        <v>225.17000000000002</v>
      </c>
      <c r="F177" s="34">
        <v>0</v>
      </c>
      <c r="G177" s="34">
        <v>209021.15</v>
      </c>
      <c r="H177" s="35">
        <v>-1268.3699999999999</v>
      </c>
      <c r="I177" s="26">
        <f>C177+D177+E177+F177+G177+H177+K177</f>
        <v>-210741.77519129516</v>
      </c>
      <c r="J177" s="18"/>
      <c r="K177" s="19"/>
      <c r="N177" s="3"/>
      <c r="O177" t="s">
        <v>19</v>
      </c>
    </row>
    <row r="178" spans="1:15" ht="15" hidden="1" x14ac:dyDescent="0.2">
      <c r="A178" s="24"/>
      <c r="B178" s="33" t="s">
        <v>21</v>
      </c>
      <c r="C178" s="18">
        <f>I177</f>
        <v>-210741.77519129516</v>
      </c>
      <c r="D178" s="34">
        <v>-205710.46</v>
      </c>
      <c r="E178" s="34">
        <f>-91.64+684.73</f>
        <v>593.09</v>
      </c>
      <c r="F178" s="34">
        <v>0</v>
      </c>
      <c r="G178" s="34">
        <v>214306.16</v>
      </c>
      <c r="H178" s="35">
        <v>-1242.24</v>
      </c>
      <c r="I178" s="26">
        <f>C178+D178+E178+F178+G178+H178</f>
        <v>-202795.22519129512</v>
      </c>
      <c r="J178" s="18"/>
      <c r="K178" s="19"/>
    </row>
    <row r="179" spans="1:15" ht="15" hidden="1" x14ac:dyDescent="0.2">
      <c r="A179" s="24"/>
      <c r="B179" s="33" t="s">
        <v>22</v>
      </c>
      <c r="C179" s="18">
        <f>I178</f>
        <v>-202795.22519129512</v>
      </c>
      <c r="D179" s="34">
        <f>-208475.05</f>
        <v>-208475.05</v>
      </c>
      <c r="E179" s="34">
        <f>28.2+732.72</f>
        <v>760.92000000000007</v>
      </c>
      <c r="F179" s="34">
        <v>0</v>
      </c>
      <c r="G179" s="34">
        <v>209603.02</v>
      </c>
      <c r="H179" s="35">
        <v>-1216.3499999999999</v>
      </c>
      <c r="I179" s="26">
        <f>C179+D179+E179+F179+G179+H179+K179</f>
        <v>-202122.68519129511</v>
      </c>
      <c r="J179" s="18"/>
      <c r="K179" s="19">
        <v>0</v>
      </c>
      <c r="N179" s="3"/>
      <c r="O179" s="3" t="s">
        <v>19</v>
      </c>
    </row>
    <row r="180" spans="1:15" ht="15.75" hidden="1" x14ac:dyDescent="0.25">
      <c r="A180" s="24"/>
      <c r="B180" s="36" t="s">
        <v>55</v>
      </c>
      <c r="C180" s="18"/>
      <c r="D180" s="31">
        <f>SUM(D177:D179)</f>
        <v>-621413.49</v>
      </c>
      <c r="E180" s="31">
        <f>SUM(E177:E179)</f>
        <v>1579.18</v>
      </c>
      <c r="F180" s="31">
        <f>SUM(F177:F179)</f>
        <v>0</v>
      </c>
      <c r="G180" s="31">
        <f>SUM(G177:G179)</f>
        <v>632930.32999999996</v>
      </c>
      <c r="H180" s="31">
        <f>SUM(H177:H179)</f>
        <v>-3726.9599999999996</v>
      </c>
      <c r="I180" s="26"/>
      <c r="J180" s="18"/>
      <c r="K180" s="19"/>
      <c r="N180" t="s">
        <v>19</v>
      </c>
    </row>
    <row r="181" spans="1:15" ht="15.75" hidden="1" x14ac:dyDescent="0.25">
      <c r="A181" s="24"/>
      <c r="B181" s="36"/>
      <c r="C181" s="18"/>
      <c r="D181" s="31"/>
      <c r="E181" s="31"/>
      <c r="F181" s="31"/>
      <c r="G181" s="31"/>
      <c r="H181" s="31"/>
      <c r="I181" s="26"/>
      <c r="J181" s="18"/>
      <c r="K181" s="19"/>
    </row>
    <row r="182" spans="1:15" ht="15" hidden="1" x14ac:dyDescent="0.2">
      <c r="A182" s="24" t="s">
        <v>19</v>
      </c>
      <c r="B182" s="33" t="s">
        <v>24</v>
      </c>
      <c r="C182" s="18">
        <f>I179</f>
        <v>-202122.68519129511</v>
      </c>
      <c r="D182" s="34">
        <v>-209808.62</v>
      </c>
      <c r="E182" s="34">
        <f>14.59+69.56</f>
        <v>84.15</v>
      </c>
      <c r="F182" s="34">
        <v>0</v>
      </c>
      <c r="G182" s="34">
        <v>180897.71</v>
      </c>
      <c r="H182" s="35">
        <v>-1304.8499999999999</v>
      </c>
      <c r="I182" s="26">
        <f>C182+D182+E182+F182+G182+H182+K182</f>
        <v>-232254.2951912951</v>
      </c>
      <c r="J182" s="18"/>
      <c r="K182" s="19"/>
      <c r="N182" s="3"/>
    </row>
    <row r="183" spans="1:15" ht="15" hidden="1" x14ac:dyDescent="0.2">
      <c r="A183" s="24"/>
      <c r="B183" s="33" t="s">
        <v>25</v>
      </c>
      <c r="C183" s="18">
        <f>I182</f>
        <v>-232254.2951912951</v>
      </c>
      <c r="D183" s="34">
        <v>-209497.88</v>
      </c>
      <c r="E183" s="34">
        <f>-35.97+69.56</f>
        <v>33.590000000000003</v>
      </c>
      <c r="F183" s="34">
        <v>0</v>
      </c>
      <c r="G183" s="34">
        <v>177026</v>
      </c>
      <c r="H183" s="35">
        <v>-1497.3</v>
      </c>
      <c r="I183" s="26">
        <f>C183+D183+E183+F183+G183+H183</f>
        <v>-266189.88519129506</v>
      </c>
      <c r="J183" s="18"/>
      <c r="K183" s="19"/>
    </row>
    <row r="184" spans="1:15" ht="15" hidden="1" x14ac:dyDescent="0.2">
      <c r="A184" s="24"/>
      <c r="B184" s="33" t="s">
        <v>11</v>
      </c>
      <c r="C184" s="18">
        <f>I183</f>
        <v>-266189.88519129506</v>
      </c>
      <c r="D184" s="34">
        <v>-209110.69</v>
      </c>
      <c r="E184" s="34">
        <f>18.75+208.68</f>
        <v>227.43</v>
      </c>
      <c r="F184" s="34">
        <v>19178.099999999999</v>
      </c>
      <c r="G184" s="34">
        <v>173895.75</v>
      </c>
      <c r="H184" s="35">
        <v>-1651.69</v>
      </c>
      <c r="I184" s="26">
        <f>C184+D184+E184+F184+G184+H184+K184</f>
        <v>-283650.9851912951</v>
      </c>
      <c r="J184" s="18"/>
      <c r="K184" s="19">
        <v>0</v>
      </c>
      <c r="N184" s="3"/>
      <c r="O184" s="3" t="s">
        <v>19</v>
      </c>
    </row>
    <row r="185" spans="1:15" ht="15.75" hidden="1" x14ac:dyDescent="0.25">
      <c r="A185" s="24"/>
      <c r="B185" s="36" t="s">
        <v>56</v>
      </c>
      <c r="C185" s="18"/>
      <c r="D185" s="31">
        <f>SUM(D182:D184)</f>
        <v>-628417.18999999994</v>
      </c>
      <c r="E185" s="31">
        <f>SUM(E182:E184)</f>
        <v>345.17</v>
      </c>
      <c r="F185" s="31">
        <f>SUM(F182:F184)</f>
        <v>19178.099999999999</v>
      </c>
      <c r="G185" s="31">
        <f>SUM(G182:G184)</f>
        <v>531819.46</v>
      </c>
      <c r="H185" s="31">
        <f>SUM(H182:H184)</f>
        <v>-4453.84</v>
      </c>
      <c r="I185" s="26"/>
      <c r="J185" s="18"/>
      <c r="K185" s="19"/>
      <c r="N185" t="s">
        <v>19</v>
      </c>
    </row>
    <row r="186" spans="1:15" ht="15.75" hidden="1" x14ac:dyDescent="0.25">
      <c r="A186" s="24"/>
      <c r="B186" s="36"/>
      <c r="C186" s="18"/>
      <c r="D186" s="31"/>
      <c r="E186" s="31"/>
      <c r="F186" s="31"/>
      <c r="G186" s="31"/>
      <c r="H186" s="31"/>
      <c r="I186" s="26"/>
      <c r="J186" s="18"/>
      <c r="K186" s="19"/>
    </row>
    <row r="187" spans="1:15" ht="15" hidden="1" x14ac:dyDescent="0.2">
      <c r="A187" s="24" t="s">
        <v>19</v>
      </c>
      <c r="B187" s="33" t="s">
        <v>12</v>
      </c>
      <c r="C187" s="18">
        <f>I184</f>
        <v>-283650.9851912951</v>
      </c>
      <c r="D187" s="34">
        <v>-210717.72</v>
      </c>
      <c r="E187" s="34">
        <f>25.28+278.24</f>
        <v>303.52</v>
      </c>
      <c r="F187" s="34">
        <v>0</v>
      </c>
      <c r="G187" s="34">
        <v>171159.36</v>
      </c>
      <c r="H187" s="35">
        <v>-1827.56</v>
      </c>
      <c r="I187" s="26">
        <f>C187+D187+E187+F187+G187+H187+K187</f>
        <v>-324733.38519129512</v>
      </c>
      <c r="J187" s="18"/>
      <c r="K187" s="19"/>
      <c r="N187" s="3"/>
    </row>
    <row r="188" spans="1:15" ht="15" hidden="1" x14ac:dyDescent="0.2">
      <c r="A188" s="24"/>
      <c r="B188" s="33" t="s">
        <v>13</v>
      </c>
      <c r="C188" s="18">
        <f>I187</f>
        <v>-324733.38519129512</v>
      </c>
      <c r="D188" s="34">
        <v>-207556.79</v>
      </c>
      <c r="E188" s="34">
        <f>37.51+69.56</f>
        <v>107.07</v>
      </c>
      <c r="F188" s="34">
        <v>0</v>
      </c>
      <c r="G188" s="34">
        <v>169585.2</v>
      </c>
      <c r="H188" s="35">
        <v>-2070.9299999999998</v>
      </c>
      <c r="I188" s="26">
        <f>C188+D188+E188+F188+G188+H188</f>
        <v>-364668.83519129513</v>
      </c>
      <c r="J188" s="18"/>
      <c r="K188" s="19"/>
    </row>
    <row r="189" spans="1:15" ht="15" hidden="1" x14ac:dyDescent="0.2">
      <c r="A189" s="24"/>
      <c r="B189" s="33" t="s">
        <v>14</v>
      </c>
      <c r="C189" s="18">
        <f>I188</f>
        <v>-364668.83519129513</v>
      </c>
      <c r="D189" s="34">
        <v>-207649.09</v>
      </c>
      <c r="E189" s="34">
        <f>5.66</f>
        <v>5.66</v>
      </c>
      <c r="F189" s="34">
        <v>0</v>
      </c>
      <c r="G189" s="34">
        <v>174584.43</v>
      </c>
      <c r="H189" s="35">
        <v>-2297.1</v>
      </c>
      <c r="I189" s="26">
        <f>C189+D189+E189+F189+G189+H189+K189</f>
        <v>-400024.93519129505</v>
      </c>
      <c r="J189" s="18"/>
      <c r="K189" s="19">
        <v>0</v>
      </c>
      <c r="N189" s="3"/>
      <c r="O189" s="3" t="s">
        <v>19</v>
      </c>
    </row>
    <row r="190" spans="1:15" ht="15.75" hidden="1" x14ac:dyDescent="0.25">
      <c r="A190" s="24"/>
      <c r="B190" s="36" t="s">
        <v>57</v>
      </c>
      <c r="C190" s="18"/>
      <c r="D190" s="31">
        <f>SUM(D187:D189)</f>
        <v>-625923.6</v>
      </c>
      <c r="E190" s="31">
        <f>SUM(E187:E189)</f>
        <v>416.25</v>
      </c>
      <c r="F190" s="31">
        <f>SUM(F187:F189)</f>
        <v>0</v>
      </c>
      <c r="G190" s="31">
        <f>SUM(G187:G189)</f>
        <v>515328.99</v>
      </c>
      <c r="H190" s="31">
        <f>SUM(H187:H189)</f>
        <v>-6195.59</v>
      </c>
      <c r="I190" s="26"/>
      <c r="J190" s="18"/>
      <c r="K190" s="19"/>
      <c r="N190" t="s">
        <v>19</v>
      </c>
    </row>
    <row r="191" spans="1:15" ht="15.75" x14ac:dyDescent="0.25">
      <c r="A191" s="24"/>
      <c r="B191" s="21">
        <v>2008</v>
      </c>
      <c r="C191" s="37">
        <f>I162</f>
        <v>-147542.47519129814</v>
      </c>
      <c r="D191" s="31">
        <f>D175+D180+D185+D190</f>
        <v>-2496743.5299999998</v>
      </c>
      <c r="E191" s="31">
        <f>E175+E180+E185+E190</f>
        <v>2900.63</v>
      </c>
      <c r="F191" s="31">
        <f>F175+F180+F185+F190</f>
        <v>19178.099999999999</v>
      </c>
      <c r="G191" s="31">
        <f>G175+G180+G185+G190</f>
        <v>2239903.37</v>
      </c>
      <c r="H191" s="31">
        <f>H175+H180+H185+H190</f>
        <v>-17721.03</v>
      </c>
      <c r="I191" s="32">
        <f>SUM(C191:H191)</f>
        <v>-400024.93519129767</v>
      </c>
      <c r="J191" s="18"/>
      <c r="K191" s="19"/>
    </row>
    <row r="192" spans="1:15" ht="15" hidden="1" x14ac:dyDescent="0.2">
      <c r="A192" s="24">
        <v>2009</v>
      </c>
      <c r="B192" s="33" t="s">
        <v>15</v>
      </c>
      <c r="C192" s="18">
        <f>I189</f>
        <v>-400024.93519129505</v>
      </c>
      <c r="D192" s="34">
        <v>-206031.38</v>
      </c>
      <c r="E192" s="34">
        <v>21.58</v>
      </c>
      <c r="F192" s="34">
        <v>0</v>
      </c>
      <c r="G192" s="34">
        <v>184430.48</v>
      </c>
      <c r="H192" s="35">
        <v>-2475.5700000000002</v>
      </c>
      <c r="I192" s="26">
        <f>C192+D192+E192+F192+G192+H192+K192</f>
        <v>-424079.82519129507</v>
      </c>
      <c r="J192" s="18"/>
      <c r="K192" s="19"/>
      <c r="N192" s="3"/>
    </row>
    <row r="193" spans="1:15" ht="15" hidden="1" x14ac:dyDescent="0.2">
      <c r="A193" s="24"/>
      <c r="B193" s="33" t="s">
        <v>16</v>
      </c>
      <c r="C193" s="18">
        <f>I192</f>
        <v>-424079.82519129507</v>
      </c>
      <c r="D193" s="34">
        <v>-205742.29</v>
      </c>
      <c r="E193" s="34">
        <v>33.71</v>
      </c>
      <c r="F193" s="34">
        <v>0</v>
      </c>
      <c r="G193" s="34">
        <v>205507.28</v>
      </c>
      <c r="H193" s="35">
        <v>-2556.11</v>
      </c>
      <c r="I193" s="26">
        <f>C193+D193+E193+F193+G193+H193</f>
        <v>-426837.23519129504</v>
      </c>
      <c r="J193" s="18"/>
      <c r="K193" s="19"/>
    </row>
    <row r="194" spans="1:15" ht="15" hidden="1" x14ac:dyDescent="0.2">
      <c r="A194" s="24"/>
      <c r="B194" s="33" t="s">
        <v>17</v>
      </c>
      <c r="C194" s="18">
        <f>I193</f>
        <v>-426837.23519129504</v>
      </c>
      <c r="D194" s="34">
        <v>-206650.57</v>
      </c>
      <c r="E194" s="34">
        <v>20.63</v>
      </c>
      <c r="F194" s="34">
        <v>0</v>
      </c>
      <c r="G194" s="34">
        <v>220698.81</v>
      </c>
      <c r="H194" s="35">
        <v>-2529.73</v>
      </c>
      <c r="I194" s="26">
        <f>C194+D194+E194+F194+G194+H194+K194</f>
        <v>-415298.09519129497</v>
      </c>
      <c r="J194" s="18"/>
      <c r="K194" s="19">
        <v>0</v>
      </c>
      <c r="N194" s="3"/>
      <c r="O194" s="3" t="s">
        <v>19</v>
      </c>
    </row>
    <row r="195" spans="1:15" ht="15.75" hidden="1" x14ac:dyDescent="0.25">
      <c r="A195" s="24"/>
      <c r="B195" s="36" t="s">
        <v>58</v>
      </c>
      <c r="C195" s="18"/>
      <c r="D195" s="31">
        <f>SUM(D192:D194)</f>
        <v>-618424.24</v>
      </c>
      <c r="E195" s="31">
        <f>SUM(E192:E194)</f>
        <v>75.92</v>
      </c>
      <c r="F195" s="31">
        <f>SUM(F192:F194)</f>
        <v>0</v>
      </c>
      <c r="G195" s="31">
        <f>SUM(G192:G194)</f>
        <v>610636.57000000007</v>
      </c>
      <c r="H195" s="31">
        <f>SUM(H192:H194)</f>
        <v>-7561.41</v>
      </c>
      <c r="I195" s="26"/>
      <c r="J195" s="18"/>
      <c r="K195" s="19"/>
      <c r="N195" t="s">
        <v>19</v>
      </c>
    </row>
    <row r="196" spans="1:15" ht="15.75" hidden="1" x14ac:dyDescent="0.25">
      <c r="A196" s="24"/>
      <c r="B196" s="36"/>
      <c r="C196" s="18"/>
      <c r="D196" s="31"/>
      <c r="E196" s="31"/>
      <c r="F196" s="31"/>
      <c r="G196" s="31"/>
      <c r="H196" s="31"/>
      <c r="I196" s="26"/>
      <c r="J196" s="18"/>
      <c r="K196" s="19"/>
    </row>
    <row r="197" spans="1:15" ht="15" hidden="1" x14ac:dyDescent="0.2">
      <c r="A197" s="24" t="s">
        <v>19</v>
      </c>
      <c r="B197" s="33" t="s">
        <v>20</v>
      </c>
      <c r="C197" s="18">
        <f>I194</f>
        <v>-415298.09519129497</v>
      </c>
      <c r="D197" s="34">
        <v>-206906.03</v>
      </c>
      <c r="E197" s="34">
        <f>981.92+14.46</f>
        <v>996.38</v>
      </c>
      <c r="F197" s="34">
        <v>0</v>
      </c>
      <c r="G197" s="34">
        <v>233031.34</v>
      </c>
      <c r="H197" s="35">
        <v>-2420.87</v>
      </c>
      <c r="I197" s="26">
        <f>C197+D197+E197+F197+G197+H197+K197</f>
        <v>-390597.27519129496</v>
      </c>
      <c r="J197" s="18"/>
      <c r="K197" s="19"/>
      <c r="N197" s="3"/>
    </row>
    <row r="198" spans="1:15" ht="15" hidden="1" x14ac:dyDescent="0.2">
      <c r="A198" s="24"/>
      <c r="B198" s="33" t="s">
        <v>21</v>
      </c>
      <c r="C198" s="18">
        <f>I197</f>
        <v>-390597.27519129496</v>
      </c>
      <c r="D198" s="34">
        <v>-207590.64</v>
      </c>
      <c r="E198" s="34">
        <f>68.37+27.81</f>
        <v>96.18</v>
      </c>
      <c r="F198" s="34">
        <v>0</v>
      </c>
      <c r="G198" s="34">
        <v>241060.83</v>
      </c>
      <c r="H198" s="35">
        <v>-2252.6</v>
      </c>
      <c r="I198" s="26">
        <f>C198+D198+E198+F198+G198+H198</f>
        <v>-359283.50519129494</v>
      </c>
      <c r="J198" s="18"/>
      <c r="K198" s="19"/>
    </row>
    <row r="199" spans="1:15" ht="15" hidden="1" x14ac:dyDescent="0.2">
      <c r="A199" s="24"/>
      <c r="B199" s="33" t="s">
        <v>22</v>
      </c>
      <c r="C199" s="18">
        <f>I198</f>
        <v>-359283.50519129494</v>
      </c>
      <c r="D199" s="34">
        <v>-206922</v>
      </c>
      <c r="E199" s="34">
        <f>68.37+7.1</f>
        <v>75.47</v>
      </c>
      <c r="F199" s="34">
        <v>0</v>
      </c>
      <c r="G199" s="34">
        <v>239979.39</v>
      </c>
      <c r="H199" s="35">
        <v>-2065.21</v>
      </c>
      <c r="I199" s="26">
        <f>C199+D199+E199+F199+G199+H199+K199</f>
        <v>-328215.85519129498</v>
      </c>
      <c r="J199" s="18"/>
      <c r="K199" s="19">
        <v>0</v>
      </c>
      <c r="N199" s="3"/>
      <c r="O199" s="3" t="s">
        <v>19</v>
      </c>
    </row>
    <row r="200" spans="1:15" ht="15.75" hidden="1" x14ac:dyDescent="0.25">
      <c r="A200" s="24"/>
      <c r="B200" s="36" t="s">
        <v>59</v>
      </c>
      <c r="C200" s="18"/>
      <c r="D200" s="31">
        <f>SUM(D197:D199)</f>
        <v>-621418.67000000004</v>
      </c>
      <c r="E200" s="31">
        <f>SUM(E197:E199)</f>
        <v>1168.03</v>
      </c>
      <c r="F200" s="31">
        <f>SUM(F197:F199)</f>
        <v>0</v>
      </c>
      <c r="G200" s="31">
        <f>SUM(G197:G199)</f>
        <v>714071.56</v>
      </c>
      <c r="H200" s="31">
        <f>SUM(H197:H199)</f>
        <v>-6738.6799999999994</v>
      </c>
      <c r="I200" s="26"/>
      <c r="J200" s="18"/>
      <c r="K200" s="19"/>
      <c r="N200" t="s">
        <v>19</v>
      </c>
    </row>
    <row r="201" spans="1:15" ht="15.75" hidden="1" x14ac:dyDescent="0.25">
      <c r="A201" s="24"/>
      <c r="B201" s="36"/>
      <c r="C201" s="18"/>
      <c r="D201" s="31"/>
      <c r="E201" s="31"/>
      <c r="F201" s="31"/>
      <c r="G201" s="31"/>
      <c r="H201" s="31"/>
      <c r="I201" s="26"/>
      <c r="J201" s="18"/>
      <c r="K201" s="19"/>
    </row>
    <row r="202" spans="1:15" ht="15" hidden="1" x14ac:dyDescent="0.2">
      <c r="A202" s="24" t="s">
        <v>19</v>
      </c>
      <c r="B202" s="33" t="s">
        <v>24</v>
      </c>
      <c r="C202" s="18">
        <f>I199</f>
        <v>-328215.85519129498</v>
      </c>
      <c r="D202" s="34">
        <v>-210241.91</v>
      </c>
      <c r="E202" s="34">
        <f>27.55+1570.86</f>
        <v>1598.4099999999999</v>
      </c>
      <c r="F202" s="34">
        <v>0</v>
      </c>
      <c r="G202" s="34">
        <v>226134.94</v>
      </c>
      <c r="H202" s="35">
        <v>-1925.13</v>
      </c>
      <c r="I202" s="26">
        <f>C202+D202+E202+F202+G202+H202+K202</f>
        <v>-312649.54519129492</v>
      </c>
      <c r="J202" s="18"/>
      <c r="K202" s="19"/>
      <c r="N202" s="3"/>
    </row>
    <row r="203" spans="1:15" ht="15" hidden="1" x14ac:dyDescent="0.2">
      <c r="A203" s="24"/>
      <c r="B203" s="33" t="s">
        <v>25</v>
      </c>
      <c r="C203" s="18">
        <f>I202</f>
        <v>-312649.54519129492</v>
      </c>
      <c r="D203" s="34">
        <v>-207234.42</v>
      </c>
      <c r="E203" s="34">
        <f>15.61+410.22</f>
        <v>425.83000000000004</v>
      </c>
      <c r="F203" s="34">
        <v>15858.8</v>
      </c>
      <c r="G203" s="34">
        <v>203282.36</v>
      </c>
      <c r="H203" s="35">
        <v>-1846.87</v>
      </c>
      <c r="I203" s="26">
        <f>C203+D203+E203+F203+G203+H203</f>
        <v>-302163.84519129491</v>
      </c>
      <c r="J203" s="18"/>
      <c r="K203" s="19"/>
    </row>
    <row r="204" spans="1:15" ht="15" hidden="1" x14ac:dyDescent="0.2">
      <c r="A204" s="24"/>
      <c r="B204" s="33" t="s">
        <v>11</v>
      </c>
      <c r="C204" s="18">
        <f>I203</f>
        <v>-302163.84519129491</v>
      </c>
      <c r="D204" s="34">
        <v>-209314.55</v>
      </c>
      <c r="E204" s="34">
        <f>20.74+341.85</f>
        <v>362.59000000000003</v>
      </c>
      <c r="F204" s="34">
        <v>0</v>
      </c>
      <c r="G204" s="34">
        <v>198526.4</v>
      </c>
      <c r="H204" s="35">
        <v>-1852.25</v>
      </c>
      <c r="I204" s="26">
        <f>C204+D204+E204+F204+G204+H204+K204</f>
        <v>-314441.65519129485</v>
      </c>
      <c r="J204" s="18"/>
      <c r="K204" s="19">
        <v>0</v>
      </c>
      <c r="N204" s="3"/>
      <c r="O204" s="3" t="s">
        <v>19</v>
      </c>
    </row>
    <row r="205" spans="1:15" ht="15.75" hidden="1" x14ac:dyDescent="0.25">
      <c r="A205" s="24"/>
      <c r="B205" s="36" t="s">
        <v>60</v>
      </c>
      <c r="C205" s="18"/>
      <c r="D205" s="31">
        <f>SUM(D202:D204)</f>
        <v>-626790.88</v>
      </c>
      <c r="E205" s="31">
        <f>SUM(E202:E204)</f>
        <v>2386.83</v>
      </c>
      <c r="F205" s="31">
        <f>SUM(F202:F204)</f>
        <v>15858.8</v>
      </c>
      <c r="G205" s="31">
        <f>SUM(G202:G204)</f>
        <v>627943.69999999995</v>
      </c>
      <c r="H205" s="31">
        <f>SUM(H202:H204)</f>
        <v>-5624.25</v>
      </c>
      <c r="I205" s="26"/>
      <c r="J205" s="18"/>
      <c r="K205" s="19"/>
      <c r="N205" t="s">
        <v>19</v>
      </c>
    </row>
    <row r="206" spans="1:15" ht="15.75" hidden="1" x14ac:dyDescent="0.25">
      <c r="A206" s="24"/>
      <c r="B206" s="36"/>
      <c r="C206" s="18"/>
      <c r="D206" s="31"/>
      <c r="E206" s="31"/>
      <c r="F206" s="31"/>
      <c r="G206" s="31"/>
      <c r="H206" s="31"/>
      <c r="I206" s="26"/>
      <c r="J206" s="18"/>
      <c r="K206" s="19"/>
    </row>
    <row r="207" spans="1:15" ht="15" hidden="1" x14ac:dyDescent="0.2">
      <c r="A207" s="24" t="s">
        <v>19</v>
      </c>
      <c r="B207" s="33" t="s">
        <v>12</v>
      </c>
      <c r="C207" s="18">
        <f>I204</f>
        <v>-314441.65519129485</v>
      </c>
      <c r="D207" s="34">
        <v>-207370.78</v>
      </c>
      <c r="E207" s="34">
        <f>-39.02+136.74</f>
        <v>97.72</v>
      </c>
      <c r="F207" s="34">
        <v>0</v>
      </c>
      <c r="G207" s="34">
        <v>196045.02</v>
      </c>
      <c r="H207" s="35">
        <v>-1928.66</v>
      </c>
      <c r="I207" s="26">
        <f>C207+D207+E207+F207+G207+H207+K207</f>
        <v>-327598.35519129486</v>
      </c>
      <c r="J207" s="18"/>
      <c r="K207" s="19"/>
      <c r="N207" s="3"/>
    </row>
    <row r="208" spans="1:15" ht="15" hidden="1" x14ac:dyDescent="0.2">
      <c r="A208" s="24"/>
      <c r="B208" s="33" t="s">
        <v>13</v>
      </c>
      <c r="C208" s="18">
        <f>I207</f>
        <v>-327598.35519129486</v>
      </c>
      <c r="D208" s="34">
        <v>-253638.78</v>
      </c>
      <c r="E208" s="34">
        <f>16.06+205.11</f>
        <v>221.17000000000002</v>
      </c>
      <c r="F208" s="34">
        <v>0</v>
      </c>
      <c r="G208" s="34">
        <v>222198.85</v>
      </c>
      <c r="H208" s="35">
        <v>-2068.17</v>
      </c>
      <c r="I208" s="26">
        <f>C208+D208+E208+F208+G208+H208</f>
        <v>-360885.2851912948</v>
      </c>
      <c r="J208" s="18"/>
      <c r="K208" s="19"/>
    </row>
    <row r="209" spans="1:15" ht="15" hidden="1" x14ac:dyDescent="0.2">
      <c r="A209" s="24"/>
      <c r="B209" s="33" t="s">
        <v>14</v>
      </c>
      <c r="C209" s="18">
        <f>I208</f>
        <v>-360885.2851912948</v>
      </c>
      <c r="D209" s="34">
        <v>-325873.21000000002</v>
      </c>
      <c r="E209" s="34">
        <f>11.17+205.08</f>
        <v>216.25</v>
      </c>
      <c r="F209" s="34">
        <v>0</v>
      </c>
      <c r="G209" s="34">
        <v>275014.53000000003</v>
      </c>
      <c r="H209" s="35">
        <v>-2327.2800000000002</v>
      </c>
      <c r="I209" s="26">
        <f>C209+D209+E209+F209+G209+H209+K209</f>
        <v>-413854.99519129482</v>
      </c>
      <c r="J209" s="18"/>
      <c r="K209" s="19">
        <v>0</v>
      </c>
      <c r="N209" s="3"/>
      <c r="O209" s="3" t="s">
        <v>19</v>
      </c>
    </row>
    <row r="210" spans="1:15" ht="15.75" hidden="1" x14ac:dyDescent="0.25">
      <c r="A210" s="24"/>
      <c r="B210" s="36" t="s">
        <v>61</v>
      </c>
      <c r="C210" s="18"/>
      <c r="D210" s="31">
        <f>SUM(D207:D209)</f>
        <v>-786882.77</v>
      </c>
      <c r="E210" s="31">
        <f>SUM(E207:E209)</f>
        <v>535.14</v>
      </c>
      <c r="F210" s="31">
        <f>SUM(F207:F209)</f>
        <v>0</v>
      </c>
      <c r="G210" s="31">
        <f>SUM(G207:G209)</f>
        <v>693258.4</v>
      </c>
      <c r="H210" s="31">
        <f>SUM(H207:H209)</f>
        <v>-6324.1100000000006</v>
      </c>
      <c r="I210" s="26"/>
      <c r="J210" s="18"/>
      <c r="K210" s="19"/>
      <c r="N210" t="s">
        <v>19</v>
      </c>
    </row>
    <row r="211" spans="1:15" ht="15.75" x14ac:dyDescent="0.25">
      <c r="A211" s="24"/>
      <c r="B211" s="21">
        <v>2009</v>
      </c>
      <c r="C211" s="37">
        <f>I191</f>
        <v>-400024.93519129767</v>
      </c>
      <c r="D211" s="31">
        <f>D195+D200+D205+D210</f>
        <v>-2653516.56</v>
      </c>
      <c r="E211" s="31">
        <f>E195+E200+E205+E210</f>
        <v>4165.92</v>
      </c>
      <c r="F211" s="31">
        <f>F195+F200+F205+F210</f>
        <v>15858.8</v>
      </c>
      <c r="G211" s="31">
        <f>G195+G200+G205+G210</f>
        <v>2645910.23</v>
      </c>
      <c r="H211" s="31">
        <f>H195+H200+H205+H210</f>
        <v>-26248.45</v>
      </c>
      <c r="I211" s="32">
        <f>SUM(C211:H211)</f>
        <v>-413854.99519129778</v>
      </c>
      <c r="J211" s="18"/>
      <c r="K211" s="19"/>
    </row>
    <row r="212" spans="1:15" ht="15" hidden="1" x14ac:dyDescent="0.2">
      <c r="A212" s="24">
        <v>2010</v>
      </c>
      <c r="B212" s="33" t="s">
        <v>15</v>
      </c>
      <c r="C212" s="18">
        <f>I209</f>
        <v>-413854.99519129482</v>
      </c>
      <c r="D212" s="34">
        <v>-327195.88</v>
      </c>
      <c r="E212" s="34">
        <v>16.7</v>
      </c>
      <c r="F212" s="34">
        <v>0</v>
      </c>
      <c r="G212" s="34">
        <v>288919.01</v>
      </c>
      <c r="H212" s="35">
        <v>-2609.17</v>
      </c>
      <c r="I212" s="26">
        <f>C212+D212+E212+F212+G212+H212+K212</f>
        <v>-454724.33519129484</v>
      </c>
      <c r="J212" s="18"/>
      <c r="K212" s="19"/>
      <c r="N212" s="3"/>
    </row>
    <row r="213" spans="1:15" ht="15" hidden="1" x14ac:dyDescent="0.2">
      <c r="A213" s="24"/>
      <c r="B213" s="33" t="s">
        <v>16</v>
      </c>
      <c r="C213" s="18">
        <f>I212</f>
        <v>-454724.33519129484</v>
      </c>
      <c r="D213" s="34">
        <v>-324679.90000000002</v>
      </c>
      <c r="E213" s="34">
        <f>10+71.4</f>
        <v>81.400000000000006</v>
      </c>
      <c r="F213" s="34">
        <v>0</v>
      </c>
      <c r="G213" s="34">
        <v>309991.2</v>
      </c>
      <c r="H213" s="35">
        <f>-2784.18</f>
        <v>-2784.18</v>
      </c>
      <c r="I213" s="26">
        <f>C213+D213+E213+F213+G213+H213</f>
        <v>-472115.81519129488</v>
      </c>
      <c r="J213" s="18"/>
      <c r="K213" s="19"/>
    </row>
    <row r="214" spans="1:15" ht="15" hidden="1" x14ac:dyDescent="0.2">
      <c r="A214" s="24"/>
      <c r="B214" s="33" t="s">
        <v>17</v>
      </c>
      <c r="C214" s="18">
        <f>I213</f>
        <v>-472115.81519129488</v>
      </c>
      <c r="D214" s="34">
        <v>-326704.7</v>
      </c>
      <c r="E214" s="34">
        <f>8.57+71.4</f>
        <v>79.97</v>
      </c>
      <c r="F214" s="34">
        <v>0</v>
      </c>
      <c r="G214" s="34">
        <v>335732.04</v>
      </c>
      <c r="H214" s="35">
        <v>-2817.53</v>
      </c>
      <c r="I214" s="26">
        <f>C214+D214+E214+F214+G214+H214+K214</f>
        <v>-465826.03519129503</v>
      </c>
      <c r="J214" s="18"/>
      <c r="K214" s="19">
        <v>0</v>
      </c>
      <c r="N214" s="3"/>
      <c r="O214" s="3" t="s">
        <v>19</v>
      </c>
    </row>
    <row r="215" spans="1:15" ht="15.75" hidden="1" x14ac:dyDescent="0.25">
      <c r="A215" s="24"/>
      <c r="B215" s="36" t="s">
        <v>62</v>
      </c>
      <c r="C215" s="18"/>
      <c r="D215" s="31">
        <f>SUM(D212:D214)</f>
        <v>-978580.47999999998</v>
      </c>
      <c r="E215" s="31">
        <f>SUM(E212:E214)</f>
        <v>178.07</v>
      </c>
      <c r="F215" s="31">
        <f>SUM(F212:F214)</f>
        <v>0</v>
      </c>
      <c r="G215" s="31">
        <f>SUM(G212:G214)</f>
        <v>934642.25</v>
      </c>
      <c r="H215" s="31">
        <f>SUM(H212:H214)</f>
        <v>-8210.880000000001</v>
      </c>
      <c r="I215" s="26"/>
      <c r="J215" s="18"/>
      <c r="K215" s="19"/>
      <c r="N215" t="s">
        <v>19</v>
      </c>
    </row>
    <row r="216" spans="1:15" ht="15.75" hidden="1" x14ac:dyDescent="0.25">
      <c r="A216" s="24"/>
      <c r="B216" s="36"/>
      <c r="C216" s="18"/>
      <c r="D216" s="31"/>
      <c r="E216" s="31"/>
      <c r="F216" s="31"/>
      <c r="G216" s="31"/>
      <c r="H216" s="31"/>
      <c r="I216" s="26"/>
      <c r="J216" s="18"/>
      <c r="K216" s="19"/>
    </row>
    <row r="217" spans="1:15" ht="15" hidden="1" x14ac:dyDescent="0.2">
      <c r="A217" s="24" t="s">
        <v>19</v>
      </c>
      <c r="B217" s="33" t="s">
        <v>20</v>
      </c>
      <c r="C217" s="18">
        <f>I214</f>
        <v>-465826.03519129503</v>
      </c>
      <c r="D217" s="34">
        <v>-323708.73</v>
      </c>
      <c r="E217" s="34">
        <f>0.55+505.12</f>
        <v>505.67</v>
      </c>
      <c r="F217" s="34">
        <v>0</v>
      </c>
      <c r="G217" s="34">
        <v>362317.63</v>
      </c>
      <c r="H217" s="35">
        <v>-2689.22</v>
      </c>
      <c r="I217" s="26">
        <f>C217+D217+E217+F217+G217+H217+K217</f>
        <v>-429400.68519129488</v>
      </c>
      <c r="J217" s="18"/>
      <c r="K217" s="19"/>
      <c r="N217" s="3"/>
    </row>
    <row r="218" spans="1:15" ht="15" hidden="1" x14ac:dyDescent="0.2">
      <c r="A218" s="24"/>
      <c r="B218" s="33" t="s">
        <v>21</v>
      </c>
      <c r="C218" s="18">
        <f>I217</f>
        <v>-429400.68519129488</v>
      </c>
      <c r="D218" s="34">
        <v>-326937.18</v>
      </c>
      <c r="E218" s="34">
        <f>8.37+349.16</f>
        <v>357.53000000000003</v>
      </c>
      <c r="F218" s="34">
        <v>0</v>
      </c>
      <c r="G218" s="34">
        <v>382497.02</v>
      </c>
      <c r="H218" s="35">
        <v>-2419.09</v>
      </c>
      <c r="I218" s="26">
        <f>C218+D218+E218+F218+G218+H218</f>
        <v>-375902.40519129479</v>
      </c>
      <c r="J218" s="18"/>
      <c r="K218" s="19"/>
    </row>
    <row r="219" spans="1:15" ht="15" hidden="1" x14ac:dyDescent="0.2">
      <c r="A219" s="24"/>
      <c r="B219" s="33" t="s">
        <v>22</v>
      </c>
      <c r="C219" s="18">
        <f>I218</f>
        <v>-375902.40519129479</v>
      </c>
      <c r="D219" s="34">
        <v>-325764.82</v>
      </c>
      <c r="E219" s="34">
        <f>7.88+1376.16</f>
        <v>1384.0400000000002</v>
      </c>
      <c r="F219" s="34">
        <v>0</v>
      </c>
      <c r="G219" s="34">
        <v>391979.74</v>
      </c>
      <c r="H219" s="35">
        <v>-2061.5100000000002</v>
      </c>
      <c r="I219" s="26">
        <f>C219+D219+E219+F219+G219+H219+K219</f>
        <v>-310364.95519129478</v>
      </c>
      <c r="J219" s="18"/>
      <c r="K219" s="19">
        <v>0</v>
      </c>
      <c r="N219" s="3"/>
      <c r="O219" s="3" t="s">
        <v>19</v>
      </c>
    </row>
    <row r="220" spans="1:15" ht="15.75" hidden="1" x14ac:dyDescent="0.25">
      <c r="A220" s="24"/>
      <c r="B220" s="36" t="s">
        <v>63</v>
      </c>
      <c r="C220" s="18"/>
      <c r="D220" s="31">
        <f>SUM(D217:D219)</f>
        <v>-976410.73</v>
      </c>
      <c r="E220" s="31">
        <f>SUM(E217:E219)</f>
        <v>2247.2400000000002</v>
      </c>
      <c r="F220" s="31">
        <f>SUM(F217:F219)</f>
        <v>0</v>
      </c>
      <c r="G220" s="31">
        <f>SUM(G217:G219)</f>
        <v>1136794.3900000001</v>
      </c>
      <c r="H220" s="31">
        <f>SUM(H217:H219)</f>
        <v>-7169.82</v>
      </c>
      <c r="I220" s="26"/>
      <c r="J220" s="18"/>
      <c r="K220" s="19"/>
      <c r="N220" t="s">
        <v>19</v>
      </c>
    </row>
    <row r="221" spans="1:15" ht="15.75" hidden="1" x14ac:dyDescent="0.25">
      <c r="A221" s="24"/>
      <c r="B221" s="36"/>
      <c r="C221" s="18"/>
      <c r="D221" s="31"/>
      <c r="E221" s="31"/>
      <c r="F221" s="31"/>
      <c r="G221" s="31"/>
      <c r="H221" s="31"/>
      <c r="I221" s="26"/>
      <c r="J221" s="18"/>
      <c r="K221" s="19"/>
    </row>
    <row r="222" spans="1:15" ht="15" hidden="1" x14ac:dyDescent="0.2">
      <c r="A222" s="24" t="s">
        <v>19</v>
      </c>
      <c r="B222" s="33" t="s">
        <v>24</v>
      </c>
      <c r="C222" s="18">
        <f>I219</f>
        <v>-310364.95519129478</v>
      </c>
      <c r="D222" s="34">
        <v>-328174.11</v>
      </c>
      <c r="E222" s="34">
        <f>1.62+72.16</f>
        <v>73.78</v>
      </c>
      <c r="F222" s="34">
        <v>0</v>
      </c>
      <c r="G222" s="34">
        <f>387138.28</f>
        <v>387138.28</v>
      </c>
      <c r="H222" s="35">
        <v>-1692.38</v>
      </c>
      <c r="I222" s="26">
        <f>C222+D222+E222+F222+G222+H222+K222</f>
        <v>-253019.38519129471</v>
      </c>
      <c r="J222" s="18"/>
      <c r="K222" s="19"/>
      <c r="N222" s="3"/>
    </row>
    <row r="223" spans="1:15" ht="15" hidden="1" x14ac:dyDescent="0.2">
      <c r="A223" s="24"/>
      <c r="B223" s="33" t="s">
        <v>25</v>
      </c>
      <c r="C223" s="18">
        <f>I222</f>
        <v>-253019.38519129471</v>
      </c>
      <c r="D223" s="34">
        <v>-329796.43</v>
      </c>
      <c r="E223" s="34">
        <f>-0.83+72.16</f>
        <v>71.33</v>
      </c>
      <c r="F223" s="34">
        <f>20110.1</f>
        <v>20110.099999999999</v>
      </c>
      <c r="G223" s="34">
        <f>369664.42</f>
        <v>369664.42</v>
      </c>
      <c r="H223" s="35">
        <v>-1343.77</v>
      </c>
      <c r="I223" s="26">
        <f>C223+D223+E223+F223+G223+H223</f>
        <v>-194313.73519129484</v>
      </c>
      <c r="J223" s="18"/>
      <c r="K223" s="19"/>
    </row>
    <row r="224" spans="1:15" ht="15" hidden="1" x14ac:dyDescent="0.2">
      <c r="A224" s="24"/>
      <c r="B224" s="33" t="s">
        <v>11</v>
      </c>
      <c r="C224" s="18">
        <f>I223</f>
        <v>-194313.73519129484</v>
      </c>
      <c r="D224" s="34">
        <v>-330065.36</v>
      </c>
      <c r="E224" s="34">
        <f>6.59+72.16</f>
        <v>78.75</v>
      </c>
      <c r="F224" s="34">
        <v>0</v>
      </c>
      <c r="G224" s="34">
        <f>336247.33</f>
        <v>336247.33</v>
      </c>
      <c r="H224" s="35">
        <v>-1152.07</v>
      </c>
      <c r="I224" s="26">
        <f>C224+D224+E224+F224+G224+H224+K224</f>
        <v>-189205.08519129478</v>
      </c>
      <c r="J224" s="18"/>
      <c r="K224" s="19">
        <v>0</v>
      </c>
      <c r="N224" s="3"/>
      <c r="O224" s="3" t="s">
        <v>19</v>
      </c>
    </row>
    <row r="225" spans="1:15" ht="15.75" hidden="1" x14ac:dyDescent="0.25">
      <c r="A225" s="24"/>
      <c r="B225" s="36" t="s">
        <v>64</v>
      </c>
      <c r="C225" s="18"/>
      <c r="D225" s="31">
        <f>SUM(D222:D224)</f>
        <v>-988035.9</v>
      </c>
      <c r="E225" s="31">
        <f>SUM(E222:E224)</f>
        <v>223.86</v>
      </c>
      <c r="F225" s="31">
        <f>SUM(F222:F224)</f>
        <v>20110.099999999999</v>
      </c>
      <c r="G225" s="31">
        <f>SUM(G222:G224)</f>
        <v>1093050.03</v>
      </c>
      <c r="H225" s="31">
        <f>SUM(H222:H224)</f>
        <v>-4188.22</v>
      </c>
      <c r="I225" s="26"/>
      <c r="J225" s="18"/>
      <c r="K225" s="19"/>
      <c r="N225" t="s">
        <v>19</v>
      </c>
    </row>
    <row r="226" spans="1:15" ht="15.75" hidden="1" x14ac:dyDescent="0.25">
      <c r="A226" s="82" t="s">
        <v>3</v>
      </c>
      <c r="B226" s="33"/>
      <c r="C226" s="18"/>
      <c r="D226" s="18"/>
      <c r="E226" s="18"/>
      <c r="F226" s="18"/>
      <c r="G226" s="18"/>
      <c r="H226" s="18"/>
      <c r="I226" s="18"/>
      <c r="J226" s="18"/>
      <c r="K226" s="19"/>
    </row>
    <row r="227" spans="1:15" ht="15" hidden="1" customHeight="1" x14ac:dyDescent="0.25">
      <c r="A227" s="82"/>
      <c r="B227" s="33"/>
      <c r="C227" s="20" t="s">
        <v>4</v>
      </c>
      <c r="D227" s="18"/>
      <c r="E227" s="20" t="s">
        <v>5</v>
      </c>
      <c r="F227" s="20" t="s">
        <v>5</v>
      </c>
      <c r="G227" s="20" t="s">
        <v>6</v>
      </c>
      <c r="H227" s="18"/>
      <c r="I227" s="20" t="s">
        <v>7</v>
      </c>
      <c r="J227" s="18"/>
      <c r="K227" s="19"/>
    </row>
    <row r="228" spans="1:15" ht="15" hidden="1" customHeight="1" x14ac:dyDescent="0.25">
      <c r="A228" s="21" t="s">
        <v>8</v>
      </c>
      <c r="B228" s="36" t="s">
        <v>32</v>
      </c>
      <c r="C228" s="20" t="s">
        <v>10</v>
      </c>
      <c r="D228" s="22" t="s">
        <v>150</v>
      </c>
      <c r="E228" s="23" t="s">
        <v>151</v>
      </c>
      <c r="F228" s="23" t="s">
        <v>156</v>
      </c>
      <c r="G228" s="23" t="s">
        <v>153</v>
      </c>
      <c r="H228" s="23" t="s">
        <v>154</v>
      </c>
      <c r="I228" s="23" t="s">
        <v>155</v>
      </c>
      <c r="J228" s="18"/>
      <c r="K228" s="19"/>
    </row>
    <row r="229" spans="1:15" ht="15" hidden="1" x14ac:dyDescent="0.2">
      <c r="A229" s="24">
        <v>2010</v>
      </c>
      <c r="B229" s="33" t="s">
        <v>12</v>
      </c>
      <c r="C229" s="18">
        <f>I224</f>
        <v>-189205.08519129478</v>
      </c>
      <c r="D229" s="34">
        <v>-331864.28999999998</v>
      </c>
      <c r="E229" s="34">
        <v>2.5299999999999998</v>
      </c>
      <c r="F229" s="34">
        <v>0</v>
      </c>
      <c r="G229" s="34">
        <v>333378.93</v>
      </c>
      <c r="H229" s="35">
        <v>-1135.58</v>
      </c>
      <c r="I229" s="26">
        <f>C229+D229+E229+F229+G229+H229+K229</f>
        <v>-188823.49519129473</v>
      </c>
      <c r="J229" s="18"/>
      <c r="K229" s="19"/>
      <c r="N229" s="3"/>
    </row>
    <row r="230" spans="1:15" ht="15" hidden="1" x14ac:dyDescent="0.2">
      <c r="A230" s="24"/>
      <c r="B230" s="33" t="s">
        <v>13</v>
      </c>
      <c r="C230" s="18">
        <f>I229</f>
        <v>-188823.49519129473</v>
      </c>
      <c r="D230" s="34">
        <v>-329629.07</v>
      </c>
      <c r="E230" s="34">
        <f>2.57+72.16</f>
        <v>74.72999999999999</v>
      </c>
      <c r="F230" s="34">
        <v>0</v>
      </c>
      <c r="G230" s="34">
        <v>326538.14</v>
      </c>
      <c r="H230" s="35">
        <v>-1146.94</v>
      </c>
      <c r="I230" s="26">
        <f>C230+D230+E230+F230+G230+H230</f>
        <v>-192986.63519129477</v>
      </c>
      <c r="J230" s="18"/>
      <c r="K230" s="19"/>
    </row>
    <row r="231" spans="1:15" ht="15" hidden="1" x14ac:dyDescent="0.2">
      <c r="A231" s="24"/>
      <c r="B231" s="33" t="s">
        <v>14</v>
      </c>
      <c r="C231" s="18">
        <f>I230</f>
        <v>-192986.63519129477</v>
      </c>
      <c r="D231" s="34">
        <v>-327004.63</v>
      </c>
      <c r="E231" s="34">
        <f>4.8+72.16</f>
        <v>76.959999999999994</v>
      </c>
      <c r="F231" s="34">
        <v>0</v>
      </c>
      <c r="G231" s="34">
        <v>317742.88</v>
      </c>
      <c r="H231" s="35">
        <v>-1190.6099999999999</v>
      </c>
      <c r="I231" s="26">
        <f>C231+D231+E231+F231+G231+H231+K231</f>
        <v>-203362.03519129474</v>
      </c>
      <c r="J231" s="18"/>
      <c r="K231" s="19">
        <v>0</v>
      </c>
      <c r="N231" s="3"/>
      <c r="O231" s="3" t="s">
        <v>19</v>
      </c>
    </row>
    <row r="232" spans="1:15" ht="15.75" hidden="1" x14ac:dyDescent="0.25">
      <c r="A232" s="24"/>
      <c r="B232" s="36" t="s">
        <v>65</v>
      </c>
      <c r="C232" s="18"/>
      <c r="D232" s="31">
        <f>SUM(D229:D231)</f>
        <v>-988497.99</v>
      </c>
      <c r="E232" s="31">
        <f>SUM(E229:E231)</f>
        <v>154.21999999999997</v>
      </c>
      <c r="F232" s="31">
        <f>SUM(F229:F231)</f>
        <v>0</v>
      </c>
      <c r="G232" s="31">
        <f>SUM(G229:G231)</f>
        <v>977659.95000000007</v>
      </c>
      <c r="H232" s="31">
        <f>SUM(H229:H231)</f>
        <v>-3473.13</v>
      </c>
      <c r="I232" s="26"/>
      <c r="J232" s="18"/>
      <c r="K232" s="19"/>
      <c r="N232" t="s">
        <v>19</v>
      </c>
    </row>
    <row r="233" spans="1:15" ht="15.75" x14ac:dyDescent="0.25">
      <c r="A233" s="24"/>
      <c r="B233" s="21">
        <v>2010</v>
      </c>
      <c r="C233" s="37">
        <f>I211</f>
        <v>-413854.99519129778</v>
      </c>
      <c r="D233" s="31">
        <f>D215+D220+D225+D232</f>
        <v>-3931525.0999999996</v>
      </c>
      <c r="E233" s="31">
        <f>E215+E220+E225+E232</f>
        <v>2803.3900000000003</v>
      </c>
      <c r="F233" s="31">
        <f>F215+F220+F225+F232</f>
        <v>20110.099999999999</v>
      </c>
      <c r="G233" s="31">
        <f>G215+G220+G225+G232</f>
        <v>4142146.62</v>
      </c>
      <c r="H233" s="31">
        <f>H215+H220+H225+H232</f>
        <v>-23042.050000000003</v>
      </c>
      <c r="I233" s="32">
        <f>SUM(C233:H233)</f>
        <v>-203362.03519129771</v>
      </c>
      <c r="J233" s="18"/>
      <c r="K233" s="19"/>
    </row>
    <row r="234" spans="1:15" ht="15" hidden="1" x14ac:dyDescent="0.2">
      <c r="A234" s="24">
        <v>2011</v>
      </c>
      <c r="B234" s="33" t="s">
        <v>15</v>
      </c>
      <c r="C234" s="18">
        <f>I231</f>
        <v>-203362.03519129474</v>
      </c>
      <c r="D234" s="34">
        <v>-329201.68</v>
      </c>
      <c r="E234" s="34">
        <v>-4.58</v>
      </c>
      <c r="F234" s="34">
        <v>0</v>
      </c>
      <c r="G234" s="34">
        <v>312804.27</v>
      </c>
      <c r="H234" s="35">
        <v>-1274.8800000000001</v>
      </c>
      <c r="I234" s="26">
        <f>C234+D234+E234+F234+G234+H234+K234</f>
        <v>-221038.90519129462</v>
      </c>
      <c r="J234" s="18"/>
      <c r="K234" s="19"/>
      <c r="N234" s="3"/>
    </row>
    <row r="235" spans="1:15" ht="15" hidden="1" x14ac:dyDescent="0.2">
      <c r="A235" s="24"/>
      <c r="B235" s="33" t="s">
        <v>16</v>
      </c>
      <c r="C235" s="18">
        <f>I234</f>
        <v>-221038.90519129462</v>
      </c>
      <c r="D235" s="34">
        <v>-328921.36</v>
      </c>
      <c r="E235" s="34">
        <f>-2.36+565.04</f>
        <v>562.67999999999995</v>
      </c>
      <c r="F235" s="34">
        <v>0</v>
      </c>
      <c r="G235" s="34">
        <v>307682.03999999998</v>
      </c>
      <c r="H235" s="35">
        <v>-1394.28</v>
      </c>
      <c r="I235" s="26">
        <f>C235+D235+E235+F235+G235+H235</f>
        <v>-243109.82519129457</v>
      </c>
      <c r="J235" s="18"/>
      <c r="K235" s="19"/>
    </row>
    <row r="236" spans="1:15" ht="15" hidden="1" x14ac:dyDescent="0.2">
      <c r="A236" s="24"/>
      <c r="B236" s="33" t="s">
        <v>17</v>
      </c>
      <c r="C236" s="18">
        <f>I235</f>
        <v>-243109.82519129457</v>
      </c>
      <c r="D236" s="34">
        <v>-327970.58</v>
      </c>
      <c r="E236" s="34">
        <f>7.01+475.16</f>
        <v>482.17</v>
      </c>
      <c r="F236" s="34">
        <v>0</v>
      </c>
      <c r="G236" s="34">
        <v>306473.95</v>
      </c>
      <c r="H236" s="35">
        <v>-1528.3</v>
      </c>
      <c r="I236" s="26">
        <f>C236+D236+E236+F236+G236+H236+K236</f>
        <v>-265652.58519129455</v>
      </c>
      <c r="J236" s="18"/>
      <c r="K236" s="19">
        <v>0</v>
      </c>
      <c r="N236" s="3"/>
      <c r="O236" s="3" t="s">
        <v>19</v>
      </c>
    </row>
    <row r="237" spans="1:15" ht="15" hidden="1" x14ac:dyDescent="0.2">
      <c r="A237" s="24"/>
      <c r="B237" s="33"/>
      <c r="C237" s="18"/>
      <c r="D237" s="34"/>
      <c r="E237" s="34"/>
      <c r="F237" s="34"/>
      <c r="G237" s="34"/>
      <c r="H237" s="35"/>
      <c r="I237" s="26"/>
      <c r="J237" s="18"/>
      <c r="K237" s="19"/>
      <c r="N237" s="3"/>
      <c r="O237" s="3"/>
    </row>
    <row r="238" spans="1:15" ht="15.75" hidden="1" x14ac:dyDescent="0.25">
      <c r="A238" s="24"/>
      <c r="B238" s="36" t="s">
        <v>66</v>
      </c>
      <c r="C238" s="18"/>
      <c r="D238" s="31">
        <f>SUM(D234:D236)</f>
        <v>-986093.62000000011</v>
      </c>
      <c r="E238" s="31">
        <f>SUM(E234:E236)</f>
        <v>1040.27</v>
      </c>
      <c r="F238" s="31">
        <f>SUM(F234:F236)</f>
        <v>0</v>
      </c>
      <c r="G238" s="31">
        <f>SUM(G234:G236)</f>
        <v>926960.26</v>
      </c>
      <c r="H238" s="31">
        <f>SUM(H234:H236)</f>
        <v>-4197.46</v>
      </c>
      <c r="I238" s="26"/>
      <c r="J238" s="18"/>
      <c r="K238" s="19"/>
      <c r="N238" t="s">
        <v>19</v>
      </c>
    </row>
    <row r="239" spans="1:15" ht="15.75" hidden="1" x14ac:dyDescent="0.25">
      <c r="A239" s="24"/>
      <c r="B239" s="36"/>
      <c r="C239" s="18"/>
      <c r="D239" s="31"/>
      <c r="E239" s="31"/>
      <c r="F239" s="31"/>
      <c r="G239" s="31"/>
      <c r="H239" s="31"/>
      <c r="I239" s="26"/>
      <c r="J239" s="18"/>
      <c r="K239" s="19"/>
    </row>
    <row r="240" spans="1:15" ht="15" hidden="1" x14ac:dyDescent="0.2">
      <c r="A240" s="24" t="s">
        <v>19</v>
      </c>
      <c r="B240" s="33" t="s">
        <v>20</v>
      </c>
      <c r="C240" s="18">
        <f>I236</f>
        <v>-265652.58519129455</v>
      </c>
      <c r="D240" s="34">
        <v>-325293.75</v>
      </c>
      <c r="E240" s="34">
        <f>0.26+950.25</f>
        <v>950.51</v>
      </c>
      <c r="F240" s="34">
        <v>0</v>
      </c>
      <c r="G240" s="34">
        <v>390496.97</v>
      </c>
      <c r="H240" s="35">
        <v>-1401.5</v>
      </c>
      <c r="I240" s="26">
        <f>C240+D240+E240+F240+G240+H240+K240</f>
        <v>-200900.35519129457</v>
      </c>
      <c r="J240" s="18"/>
      <c r="K240" s="19"/>
      <c r="N240" s="3"/>
    </row>
    <row r="241" spans="1:15" ht="15" hidden="1" x14ac:dyDescent="0.2">
      <c r="A241" s="24"/>
      <c r="B241" s="33" t="s">
        <v>21</v>
      </c>
      <c r="C241" s="18">
        <f>I240</f>
        <v>-200900.35519129457</v>
      </c>
      <c r="D241" s="34">
        <v>-326157.73</v>
      </c>
      <c r="E241" s="34">
        <f>3.09+330.72</f>
        <v>333.81</v>
      </c>
      <c r="F241" s="34">
        <v>0</v>
      </c>
      <c r="G241" s="34">
        <v>427668.8</v>
      </c>
      <c r="H241" s="35">
        <v>-903.77</v>
      </c>
      <c r="I241" s="26">
        <f>C241+D241+E241+F241+G241+H241</f>
        <v>-99959.245191294511</v>
      </c>
      <c r="J241" s="18"/>
      <c r="K241" s="19"/>
    </row>
    <row r="242" spans="1:15" ht="15" hidden="1" x14ac:dyDescent="0.2">
      <c r="A242" s="24"/>
      <c r="B242" s="33" t="s">
        <v>22</v>
      </c>
      <c r="C242" s="18">
        <f>I241</f>
        <v>-99959.245191294511</v>
      </c>
      <c r="D242" s="34">
        <v>-329344.94</v>
      </c>
      <c r="E242" s="34">
        <f>3.8+484.32</f>
        <v>488.12</v>
      </c>
      <c r="F242" s="34">
        <v>0</v>
      </c>
      <c r="G242" s="34">
        <v>421819.35</v>
      </c>
      <c r="H242" s="35">
        <v>-322.26</v>
      </c>
      <c r="I242" s="26">
        <f>C242+D242+E242+F242+G242+H242+K242</f>
        <v>-7318.9751912945558</v>
      </c>
      <c r="J242" s="18"/>
      <c r="K242" s="19">
        <v>0</v>
      </c>
      <c r="N242" s="3"/>
      <c r="O242" s="3" t="s">
        <v>19</v>
      </c>
    </row>
    <row r="243" spans="1:15" ht="15.75" hidden="1" x14ac:dyDescent="0.25">
      <c r="A243" s="24"/>
      <c r="B243" s="36" t="s">
        <v>67</v>
      </c>
      <c r="C243" s="18"/>
      <c r="D243" s="31">
        <f>SUM(D240:D242)</f>
        <v>-980796.41999999993</v>
      </c>
      <c r="E243" s="31">
        <f>SUM(E240:E242)</f>
        <v>1772.44</v>
      </c>
      <c r="F243" s="31">
        <f>SUM(F240:F242)</f>
        <v>0</v>
      </c>
      <c r="G243" s="31">
        <f>SUM(G240:G242)</f>
        <v>1239985.1200000001</v>
      </c>
      <c r="H243" s="31">
        <f>SUM(H240:H242)</f>
        <v>-2627.5299999999997</v>
      </c>
      <c r="I243" s="26"/>
      <c r="J243" s="18"/>
      <c r="K243" s="19"/>
      <c r="N243" t="s">
        <v>19</v>
      </c>
    </row>
    <row r="244" spans="1:15" ht="15.75" hidden="1" x14ac:dyDescent="0.25">
      <c r="A244" s="24"/>
      <c r="B244" s="36"/>
      <c r="C244" s="18"/>
      <c r="D244" s="31"/>
      <c r="E244" s="31"/>
      <c r="F244" s="31"/>
      <c r="G244" s="31"/>
      <c r="H244" s="31"/>
      <c r="I244" s="26"/>
      <c r="J244" s="18"/>
      <c r="K244" s="19"/>
    </row>
    <row r="245" spans="1:15" ht="15" hidden="1" x14ac:dyDescent="0.2">
      <c r="A245" s="24" t="s">
        <v>19</v>
      </c>
      <c r="B245" s="33" t="s">
        <v>24</v>
      </c>
      <c r="C245" s="18">
        <f>I242</f>
        <v>-7318.9751912945558</v>
      </c>
      <c r="D245" s="34">
        <v>-329520.02</v>
      </c>
      <c r="E245" s="34">
        <f>4.29+161.44</f>
        <v>165.73</v>
      </c>
      <c r="F245" s="34">
        <v>0</v>
      </c>
      <c r="G245" s="34">
        <v>370949.45</v>
      </c>
      <c r="H245" s="35">
        <v>81.22</v>
      </c>
      <c r="I245" s="26">
        <f>C245+D245+E245+F245+G245+H245+K245</f>
        <v>34357.404808705411</v>
      </c>
      <c r="J245" s="18"/>
      <c r="K245" s="19"/>
      <c r="N245" s="3"/>
    </row>
    <row r="246" spans="1:15" ht="15" hidden="1" x14ac:dyDescent="0.2">
      <c r="A246" s="24"/>
      <c r="B246" s="33" t="s">
        <v>25</v>
      </c>
      <c r="C246" s="18">
        <f>I245</f>
        <v>34357.404808705411</v>
      </c>
      <c r="D246" s="34">
        <v>-331104.5</v>
      </c>
      <c r="E246" s="34">
        <f>11.9+565.04</f>
        <v>576.93999999999994</v>
      </c>
      <c r="F246" s="34">
        <f>29451.87</f>
        <v>29451.87</v>
      </c>
      <c r="G246" s="34">
        <v>330605.3</v>
      </c>
      <c r="H246" s="35">
        <v>296.01</v>
      </c>
      <c r="I246" s="26">
        <f>C246+D246+E246+F246+G246+H246</f>
        <v>64183.024808705428</v>
      </c>
      <c r="J246" s="18"/>
      <c r="K246" s="19"/>
    </row>
    <row r="247" spans="1:15" ht="15" hidden="1" x14ac:dyDescent="0.2">
      <c r="A247" s="24"/>
      <c r="B247" s="33" t="s">
        <v>11</v>
      </c>
      <c r="C247" s="18">
        <f>I246</f>
        <v>64183.024808705428</v>
      </c>
      <c r="D247" s="34">
        <v>-334649.63</v>
      </c>
      <c r="E247" s="34">
        <f>6.1+322.88</f>
        <v>328.98</v>
      </c>
      <c r="F247" s="34">
        <v>0</v>
      </c>
      <c r="G247" s="34">
        <v>327383.75</v>
      </c>
      <c r="H247" s="35">
        <v>365.87</v>
      </c>
      <c r="I247" s="26">
        <f>C247+D247+E247+F247+G247+H247+K247</f>
        <v>57611.994808705414</v>
      </c>
      <c r="J247" s="18"/>
      <c r="K247" s="19">
        <v>0</v>
      </c>
      <c r="N247" s="3"/>
      <c r="O247" s="3" t="s">
        <v>19</v>
      </c>
    </row>
    <row r="248" spans="1:15" ht="15.75" hidden="1" x14ac:dyDescent="0.25">
      <c r="A248" s="24"/>
      <c r="B248" s="36" t="s">
        <v>68</v>
      </c>
      <c r="C248" s="18"/>
      <c r="D248" s="31">
        <f>SUM(D245:D247)</f>
        <v>-995274.15</v>
      </c>
      <c r="E248" s="31">
        <f>SUM(E245:E247)</f>
        <v>1071.6500000000001</v>
      </c>
      <c r="F248" s="31">
        <f>SUM(F245:F247)</f>
        <v>29451.87</v>
      </c>
      <c r="G248" s="31">
        <f>SUM(G245:G247)</f>
        <v>1028938.5</v>
      </c>
      <c r="H248" s="31">
        <f>SUM(H245:H247)</f>
        <v>743.1</v>
      </c>
      <c r="I248" s="26"/>
      <c r="J248" s="18"/>
      <c r="K248" s="19"/>
      <c r="N248" t="s">
        <v>19</v>
      </c>
    </row>
    <row r="249" spans="1:15" ht="15.75" hidden="1" x14ac:dyDescent="0.25">
      <c r="A249" s="24"/>
      <c r="B249" s="36"/>
      <c r="C249" s="18"/>
      <c r="D249" s="31"/>
      <c r="E249" s="31"/>
      <c r="F249" s="31"/>
      <c r="G249" s="31"/>
      <c r="H249" s="31"/>
      <c r="I249" s="26"/>
      <c r="J249" s="18"/>
      <c r="K249" s="19"/>
    </row>
    <row r="250" spans="1:15" ht="15" hidden="1" x14ac:dyDescent="0.2">
      <c r="A250" s="24" t="s">
        <v>19</v>
      </c>
      <c r="B250" s="33" t="s">
        <v>12</v>
      </c>
      <c r="C250" s="18">
        <f>I247</f>
        <v>57611.994808705414</v>
      </c>
      <c r="D250" s="34">
        <v>-342465.14</v>
      </c>
      <c r="E250" s="34">
        <f>3.74+19</f>
        <v>22.740000000000002</v>
      </c>
      <c r="F250" s="34">
        <v>0</v>
      </c>
      <c r="G250" s="34">
        <v>321418.69</v>
      </c>
      <c r="H250" s="35">
        <v>283.83</v>
      </c>
      <c r="I250" s="26">
        <f>C250+D250+E250+F250+G250+H250+K250</f>
        <v>36872.114808705388</v>
      </c>
      <c r="J250" s="18"/>
      <c r="K250" s="19"/>
      <c r="N250" s="3"/>
    </row>
    <row r="251" spans="1:15" ht="15" hidden="1" x14ac:dyDescent="0.2">
      <c r="A251" s="24"/>
      <c r="B251" s="33" t="s">
        <v>13</v>
      </c>
      <c r="C251" s="18">
        <f>I250</f>
        <v>36872.114808705388</v>
      </c>
      <c r="D251" s="34">
        <f>-371021.01</f>
        <v>-371021.01</v>
      </c>
      <c r="E251" s="34">
        <f>1233.66</f>
        <v>1233.6600000000001</v>
      </c>
      <c r="F251" s="34">
        <v>0</v>
      </c>
      <c r="G251" s="34">
        <v>319093.14</v>
      </c>
      <c r="H251" s="35">
        <v>69.45</v>
      </c>
      <c r="I251" s="26">
        <f>C251+D251+E251+F251+G251+H251</f>
        <v>-13752.645191294618</v>
      </c>
      <c r="J251" s="18"/>
      <c r="K251" s="19"/>
    </row>
    <row r="252" spans="1:15" ht="15" hidden="1" x14ac:dyDescent="0.2">
      <c r="A252" s="24"/>
      <c r="B252" s="33" t="s">
        <v>14</v>
      </c>
      <c r="C252" s="18">
        <f>I251</f>
        <v>-13752.645191294618</v>
      </c>
      <c r="D252" s="34">
        <f>-372841.26</f>
        <v>-372841.26</v>
      </c>
      <c r="E252" s="34">
        <f>-1227.01+242.16</f>
        <v>-984.85</v>
      </c>
      <c r="F252" s="34">
        <v>0</v>
      </c>
      <c r="G252" s="34">
        <v>327262.90000000002</v>
      </c>
      <c r="H252" s="35">
        <v>-223.17</v>
      </c>
      <c r="I252" s="26">
        <f>C252+D252+E252+F252+G252+H252+K252</f>
        <v>-60539.025191294568</v>
      </c>
      <c r="J252" s="18"/>
      <c r="K252" s="19">
        <v>0</v>
      </c>
      <c r="N252" s="3"/>
      <c r="O252" s="3" t="s">
        <v>19</v>
      </c>
    </row>
    <row r="253" spans="1:15" ht="15.75" hidden="1" x14ac:dyDescent="0.25">
      <c r="A253" s="24"/>
      <c r="B253" s="36" t="s">
        <v>69</v>
      </c>
      <c r="C253" s="18"/>
      <c r="D253" s="31">
        <f>SUM(D250:D252)</f>
        <v>-1086327.4100000001</v>
      </c>
      <c r="E253" s="31">
        <f>SUM(E250:E252)</f>
        <v>271.55000000000007</v>
      </c>
      <c r="F253" s="31">
        <f>SUM(F250:F252)</f>
        <v>0</v>
      </c>
      <c r="G253" s="31">
        <f>SUM(G250:G252)</f>
        <v>967774.7300000001</v>
      </c>
      <c r="H253" s="31">
        <f>SUM(H250:H252)</f>
        <v>130.10999999999999</v>
      </c>
      <c r="I253" s="26"/>
      <c r="J253" s="18"/>
      <c r="K253" s="19"/>
      <c r="N253" t="s">
        <v>19</v>
      </c>
    </row>
    <row r="254" spans="1:15" ht="15.75" x14ac:dyDescent="0.25">
      <c r="A254" s="24"/>
      <c r="B254" s="21">
        <v>2011</v>
      </c>
      <c r="C254" s="37">
        <f>I233</f>
        <v>-203362.03519129771</v>
      </c>
      <c r="D254" s="31">
        <f>D238+D243+D248+D253</f>
        <v>-4048491.6</v>
      </c>
      <c r="E254" s="31">
        <f>E238+E243+E248+E253</f>
        <v>4155.91</v>
      </c>
      <c r="F254" s="31">
        <f>F238+F243+F248+F253</f>
        <v>29451.87</v>
      </c>
      <c r="G254" s="31">
        <f>G238+G243+G248+G253</f>
        <v>4163658.61</v>
      </c>
      <c r="H254" s="31">
        <f>H238+H243+H248+H253</f>
        <v>-5951.78</v>
      </c>
      <c r="I254" s="32">
        <f>SUM(C254:H254)</f>
        <v>-60539.025191297958</v>
      </c>
      <c r="J254" s="18"/>
      <c r="K254" s="19"/>
    </row>
    <row r="255" spans="1:15" ht="15" hidden="1" x14ac:dyDescent="0.2">
      <c r="A255" s="24">
        <v>2012</v>
      </c>
      <c r="B255" s="33" t="s">
        <v>15</v>
      </c>
      <c r="C255" s="18">
        <f>I252</f>
        <v>-60539.025191294568</v>
      </c>
      <c r="D255" s="34">
        <v>-369128.45</v>
      </c>
      <c r="E255" s="34">
        <v>4.46</v>
      </c>
      <c r="F255" s="34">
        <v>0</v>
      </c>
      <c r="G255" s="34">
        <v>339748.88</v>
      </c>
      <c r="H255" s="35">
        <v>-453.32</v>
      </c>
      <c r="I255" s="26">
        <f>C255+D255+E255+F255+G255+H255+K255</f>
        <v>-90367.455191294546</v>
      </c>
      <c r="J255" s="18"/>
      <c r="K255" s="19"/>
      <c r="N255" s="3"/>
    </row>
    <row r="256" spans="1:15" ht="15" hidden="1" x14ac:dyDescent="0.2">
      <c r="A256" s="24"/>
      <c r="B256" s="33" t="s">
        <v>16</v>
      </c>
      <c r="C256" s="18">
        <f>I255</f>
        <v>-90367.455191294546</v>
      </c>
      <c r="D256" s="34">
        <v>-367259.77</v>
      </c>
      <c r="E256" s="34">
        <v>3.92</v>
      </c>
      <c r="F256" s="34">
        <v>0</v>
      </c>
      <c r="G256" s="34">
        <v>358112.48</v>
      </c>
      <c r="H256" s="35">
        <v>-572.1</v>
      </c>
      <c r="I256" s="26">
        <f>C256+D256+E256+F256+G256+H256</f>
        <v>-100082.92519129461</v>
      </c>
      <c r="J256" s="18"/>
      <c r="K256" s="19"/>
    </row>
    <row r="257" spans="1:15" ht="15" hidden="1" x14ac:dyDescent="0.2">
      <c r="A257" s="24"/>
      <c r="B257" s="33" t="s">
        <v>17</v>
      </c>
      <c r="C257" s="18">
        <f>I256</f>
        <v>-100082.92519129461</v>
      </c>
      <c r="D257" s="34">
        <v>-364949.85</v>
      </c>
      <c r="E257" s="34">
        <f>4.84+67.11</f>
        <v>71.95</v>
      </c>
      <c r="F257" s="34">
        <v>0</v>
      </c>
      <c r="G257" s="34">
        <v>373398.3</v>
      </c>
      <c r="H257" s="35">
        <v>-577.42999999999995</v>
      </c>
      <c r="I257" s="26">
        <f>C257+D257+E257+F257+G257+H257+K257</f>
        <v>-92139.955191294604</v>
      </c>
      <c r="J257" s="18"/>
      <c r="K257" s="19">
        <v>0</v>
      </c>
      <c r="N257" s="3"/>
      <c r="O257" s="3" t="s">
        <v>19</v>
      </c>
    </row>
    <row r="258" spans="1:15" ht="15.75" hidden="1" x14ac:dyDescent="0.25">
      <c r="A258" s="24"/>
      <c r="B258" s="36" t="s">
        <v>70</v>
      </c>
      <c r="C258" s="18"/>
      <c r="D258" s="31">
        <f>SUM(D255:D257)</f>
        <v>-1101338.0699999998</v>
      </c>
      <c r="E258" s="31">
        <f>SUM(E255:E257)</f>
        <v>80.33</v>
      </c>
      <c r="F258" s="31">
        <f>SUM(F255:F257)</f>
        <v>0</v>
      </c>
      <c r="G258" s="31">
        <f>SUM(G255:G257)</f>
        <v>1071259.6599999999</v>
      </c>
      <c r="H258" s="31">
        <f>SUM(H255:H257)</f>
        <v>-1602.85</v>
      </c>
      <c r="I258" s="26"/>
      <c r="J258" s="18"/>
      <c r="K258" s="19"/>
      <c r="N258" t="s">
        <v>19</v>
      </c>
    </row>
    <row r="259" spans="1:15" ht="15.75" hidden="1" x14ac:dyDescent="0.25">
      <c r="A259" s="24"/>
      <c r="B259" s="36"/>
      <c r="C259" s="18"/>
      <c r="D259" s="31"/>
      <c r="E259" s="31"/>
      <c r="F259" s="31"/>
      <c r="G259" s="31"/>
      <c r="H259" s="31"/>
      <c r="I259" s="26"/>
      <c r="J259" s="18"/>
      <c r="K259" s="19"/>
    </row>
    <row r="260" spans="1:15" ht="15" hidden="1" x14ac:dyDescent="0.2">
      <c r="A260" s="24" t="s">
        <v>19</v>
      </c>
      <c r="B260" s="33" t="s">
        <v>20</v>
      </c>
      <c r="C260" s="18">
        <f>I257</f>
        <v>-92139.955191294604</v>
      </c>
      <c r="D260" s="34">
        <v>-367810.53</v>
      </c>
      <c r="E260" s="34">
        <v>649.25</v>
      </c>
      <c r="F260" s="34">
        <v>0</v>
      </c>
      <c r="G260" s="34">
        <v>382605.71</v>
      </c>
      <c r="H260" s="35">
        <v>-508.7</v>
      </c>
      <c r="I260" s="26">
        <f>C260+D260+E260+F260+G260+H260+K260</f>
        <v>-77204.225191294609</v>
      </c>
      <c r="J260" s="18"/>
      <c r="K260" s="19"/>
      <c r="N260" s="3"/>
    </row>
    <row r="261" spans="1:15" ht="15" hidden="1" x14ac:dyDescent="0.2">
      <c r="A261" s="24"/>
      <c r="B261" s="33" t="s">
        <v>21</v>
      </c>
      <c r="C261" s="18">
        <f>I260</f>
        <v>-77204.225191294609</v>
      </c>
      <c r="D261" s="34">
        <v>-372690.67</v>
      </c>
      <c r="E261" s="34">
        <v>132.83000000000001</v>
      </c>
      <c r="F261" s="34">
        <v>0</v>
      </c>
      <c r="G261" s="34">
        <v>389502.41</v>
      </c>
      <c r="H261" s="35">
        <v>-414.18</v>
      </c>
      <c r="I261" s="26">
        <f>C261+D261+E261+F261+G261+H261</f>
        <v>-60673.835191294616</v>
      </c>
      <c r="J261" s="18"/>
      <c r="K261" s="19"/>
    </row>
    <row r="262" spans="1:15" ht="15" hidden="1" x14ac:dyDescent="0.2">
      <c r="A262" s="24"/>
      <c r="B262" s="33" t="s">
        <v>22</v>
      </c>
      <c r="C262" s="18">
        <f>I261</f>
        <v>-60673.835191294616</v>
      </c>
      <c r="D262" s="34">
        <v>-370193.53</v>
      </c>
      <c r="E262" s="34">
        <v>1202.1099999999999</v>
      </c>
      <c r="F262" s="34">
        <v>0</v>
      </c>
      <c r="G262" s="34">
        <v>388432.49</v>
      </c>
      <c r="H262" s="35">
        <v>-307.04000000000002</v>
      </c>
      <c r="I262" s="26">
        <f>C262+D262+E262+F262+G262+H262+K262</f>
        <v>-41539.805191294661</v>
      </c>
      <c r="J262" s="18"/>
      <c r="K262" s="19">
        <v>0</v>
      </c>
      <c r="N262" s="3"/>
      <c r="O262" s="3" t="s">
        <v>19</v>
      </c>
    </row>
    <row r="263" spans="1:15" ht="15.75" hidden="1" x14ac:dyDescent="0.25">
      <c r="A263" s="24"/>
      <c r="B263" s="36" t="s">
        <v>71</v>
      </c>
      <c r="C263" s="18"/>
      <c r="D263" s="31">
        <f>SUM(D260:D262)</f>
        <v>-1110694.73</v>
      </c>
      <c r="E263" s="31">
        <f>SUM(E260:E262)</f>
        <v>1984.19</v>
      </c>
      <c r="F263" s="31">
        <f>SUM(F260:F262)</f>
        <v>0</v>
      </c>
      <c r="G263" s="31">
        <f>SUM(G260:G262)</f>
        <v>1160540.6099999999</v>
      </c>
      <c r="H263" s="31">
        <f>SUM(H260:H262)</f>
        <v>-1229.92</v>
      </c>
      <c r="I263" s="26"/>
      <c r="J263" s="18"/>
      <c r="K263" s="19"/>
      <c r="N263" t="s">
        <v>19</v>
      </c>
    </row>
    <row r="264" spans="1:15" ht="15.75" hidden="1" x14ac:dyDescent="0.25">
      <c r="A264" s="24"/>
      <c r="B264" s="36"/>
      <c r="C264" s="18"/>
      <c r="D264" s="31"/>
      <c r="E264" s="31"/>
      <c r="F264" s="31"/>
      <c r="G264" s="31"/>
      <c r="H264" s="31"/>
      <c r="I264" s="26"/>
      <c r="J264" s="18"/>
      <c r="K264" s="19"/>
    </row>
    <row r="265" spans="1:15" ht="15" hidden="1" x14ac:dyDescent="0.2">
      <c r="A265" s="24" t="s">
        <v>19</v>
      </c>
      <c r="B265" s="33" t="s">
        <v>24</v>
      </c>
      <c r="C265" s="18">
        <f>I262</f>
        <v>-41539.805191294661</v>
      </c>
      <c r="D265" s="34">
        <v>-373210.86</v>
      </c>
      <c r="E265" s="34">
        <f>6.01+107.86</f>
        <v>113.87</v>
      </c>
      <c r="F265" s="34">
        <v>0</v>
      </c>
      <c r="G265" s="34">
        <v>384022.97</v>
      </c>
      <c r="H265" s="35">
        <v>-217.4</v>
      </c>
      <c r="I265" s="26">
        <f>C265+D265+E265+F265+G265+H265+K265</f>
        <v>-30831.225191294659</v>
      </c>
      <c r="J265" s="18"/>
      <c r="K265" s="19"/>
      <c r="N265" s="3"/>
    </row>
    <row r="266" spans="1:15" ht="15" hidden="1" x14ac:dyDescent="0.2">
      <c r="A266" s="24"/>
      <c r="B266" s="33" t="s">
        <v>25</v>
      </c>
      <c r="C266" s="18">
        <f>I265</f>
        <v>-30831.225191294659</v>
      </c>
      <c r="D266" s="34">
        <v>-376559.14</v>
      </c>
      <c r="E266" s="34">
        <f>5.27+1294.32</f>
        <v>1299.5899999999999</v>
      </c>
      <c r="F266" s="34">
        <v>28560.38</v>
      </c>
      <c r="G266" s="34">
        <v>315695.82</v>
      </c>
      <c r="H266" s="35">
        <v>-279.2</v>
      </c>
      <c r="I266" s="26">
        <f>C266+D266+E266+F266+G266+H266</f>
        <v>-62113.775191294655</v>
      </c>
      <c r="J266" s="18"/>
      <c r="K266" s="19"/>
    </row>
    <row r="267" spans="1:15" ht="15" hidden="1" x14ac:dyDescent="0.2">
      <c r="A267" s="24"/>
      <c r="B267" s="33" t="s">
        <v>11</v>
      </c>
      <c r="C267" s="18">
        <f>I266</f>
        <v>-62113.775191294655</v>
      </c>
      <c r="D267" s="34">
        <v>-375673.95</v>
      </c>
      <c r="E267" s="34">
        <f>4.37+215.72</f>
        <v>220.09</v>
      </c>
      <c r="F267" s="34">
        <v>0</v>
      </c>
      <c r="G267" s="34">
        <v>283689.61</v>
      </c>
      <c r="H267" s="35">
        <v>-650.78</v>
      </c>
      <c r="I267" s="26">
        <f>C267+D267+E267+F267+G267+H267+K267</f>
        <v>-154528.80519129467</v>
      </c>
      <c r="J267" s="18"/>
      <c r="K267" s="19">
        <v>0</v>
      </c>
      <c r="N267" s="3"/>
      <c r="O267" s="3" t="s">
        <v>19</v>
      </c>
    </row>
    <row r="268" spans="1:15" ht="15.75" hidden="1" x14ac:dyDescent="0.25">
      <c r="A268" s="24"/>
      <c r="B268" s="36" t="s">
        <v>72</v>
      </c>
      <c r="C268" s="18"/>
      <c r="D268" s="31">
        <f>SUM(D265:D267)</f>
        <v>-1125443.95</v>
      </c>
      <c r="E268" s="31">
        <f>SUM(E265:E267)</f>
        <v>1633.55</v>
      </c>
      <c r="F268" s="31">
        <f>SUM(F265:F267)</f>
        <v>28560.38</v>
      </c>
      <c r="G268" s="31">
        <f>SUM(G265:G267)</f>
        <v>983408.4</v>
      </c>
      <c r="H268" s="31">
        <f>SUM(H265:H267)</f>
        <v>-1147.3800000000001</v>
      </c>
      <c r="I268" s="26"/>
      <c r="J268" s="18"/>
      <c r="K268" s="19"/>
      <c r="N268" t="s">
        <v>19</v>
      </c>
    </row>
    <row r="269" spans="1:15" ht="15.75" hidden="1" x14ac:dyDescent="0.25">
      <c r="A269" s="24"/>
      <c r="B269" s="36"/>
      <c r="C269" s="18"/>
      <c r="D269" s="31"/>
      <c r="E269" s="31"/>
      <c r="F269" s="31"/>
      <c r="G269" s="31"/>
      <c r="H269" s="31"/>
      <c r="I269" s="26"/>
      <c r="J269" s="18"/>
      <c r="K269" s="19"/>
    </row>
    <row r="270" spans="1:15" ht="15" hidden="1" x14ac:dyDescent="0.2">
      <c r="A270" s="24" t="s">
        <v>19</v>
      </c>
      <c r="B270" s="33" t="s">
        <v>12</v>
      </c>
      <c r="C270" s="18">
        <f>I267</f>
        <v>-154528.80519129467</v>
      </c>
      <c r="D270" s="34">
        <v>-378398.43</v>
      </c>
      <c r="E270" s="34">
        <f>3.33+107.86</f>
        <v>111.19</v>
      </c>
      <c r="F270" s="34">
        <v>0</v>
      </c>
      <c r="G270" s="34">
        <v>278826.40999999997</v>
      </c>
      <c r="H270" s="35">
        <v>-914.05998457116505</v>
      </c>
      <c r="I270" s="26">
        <f>C270+D270+E270+F270+G270+H270+K270</f>
        <v>-254903.69517586593</v>
      </c>
      <c r="J270" s="18"/>
      <c r="K270" s="19"/>
      <c r="N270" s="3"/>
    </row>
    <row r="271" spans="1:15" ht="15" hidden="1" x14ac:dyDescent="0.2">
      <c r="A271" s="24"/>
      <c r="B271" s="33" t="s">
        <v>13</v>
      </c>
      <c r="C271" s="18">
        <f>I270</f>
        <v>-254903.69517586593</v>
      </c>
      <c r="D271" s="34">
        <v>-377183.38</v>
      </c>
      <c r="E271" s="34">
        <f>4.74+323.58</f>
        <v>328.32</v>
      </c>
      <c r="F271" s="34">
        <v>0</v>
      </c>
      <c r="G271" s="34">
        <v>277189.14</v>
      </c>
      <c r="H271" s="35">
        <v>-1363.6965061271214</v>
      </c>
      <c r="I271" s="26">
        <f>C271+D271+E271+F271+G271+H271</f>
        <v>-355933.31168199307</v>
      </c>
      <c r="J271" s="18"/>
      <c r="K271" s="19"/>
    </row>
    <row r="272" spans="1:15" ht="15" hidden="1" x14ac:dyDescent="0.2">
      <c r="A272" s="24"/>
      <c r="B272" s="33" t="s">
        <v>14</v>
      </c>
      <c r="C272" s="18">
        <f>I271</f>
        <v>-355933.31168199307</v>
      </c>
      <c r="D272" s="34">
        <v>-373721.95</v>
      </c>
      <c r="E272" s="34">
        <f>4.86+323.58</f>
        <v>328.44</v>
      </c>
      <c r="F272" s="34">
        <v>0</v>
      </c>
      <c r="G272" s="34">
        <v>281914.87</v>
      </c>
      <c r="H272" s="35">
        <v>-1797.4850009920403</v>
      </c>
      <c r="I272" s="26">
        <f>C272+D272+E272+F272+G272+H272+K272</f>
        <v>-449209.43668298511</v>
      </c>
      <c r="J272" s="18"/>
      <c r="K272" s="19">
        <v>0</v>
      </c>
      <c r="N272" s="3"/>
      <c r="O272" s="3" t="s">
        <v>19</v>
      </c>
    </row>
    <row r="273" spans="1:15" ht="15.75" hidden="1" x14ac:dyDescent="0.25">
      <c r="A273" s="24"/>
      <c r="B273" s="36" t="s">
        <v>73</v>
      </c>
      <c r="C273" s="18"/>
      <c r="D273" s="31">
        <f>SUM(D270:D272)</f>
        <v>-1129303.76</v>
      </c>
      <c r="E273" s="31">
        <f>SUM(E270:E272)</f>
        <v>767.95</v>
      </c>
      <c r="F273" s="31">
        <f>SUM(F270:F272)</f>
        <v>0</v>
      </c>
      <c r="G273" s="31">
        <f>SUM(G270:G272)</f>
        <v>837930.42</v>
      </c>
      <c r="H273" s="31">
        <f>SUM(H270:H272)</f>
        <v>-4075.2414916903272</v>
      </c>
      <c r="I273" s="26"/>
      <c r="J273" s="18"/>
      <c r="K273" s="19"/>
      <c r="N273" t="s">
        <v>19</v>
      </c>
    </row>
    <row r="274" spans="1:15" ht="15.75" x14ac:dyDescent="0.25">
      <c r="A274" s="24"/>
      <c r="B274" s="21">
        <v>2012</v>
      </c>
      <c r="C274" s="37">
        <f>I254</f>
        <v>-60539.025191297958</v>
      </c>
      <c r="D274" s="31">
        <f>D258+D263+D268+D273</f>
        <v>-4466780.51</v>
      </c>
      <c r="E274" s="31">
        <f>E258+E263+E268+E273</f>
        <v>4466.0199999999995</v>
      </c>
      <c r="F274" s="31">
        <f>F258+F263+F268+F273</f>
        <v>28560.38</v>
      </c>
      <c r="G274" s="31">
        <f>G258+G263+G268+G273</f>
        <v>4053139.0899999994</v>
      </c>
      <c r="H274" s="31">
        <f>H258+H263+H268+H273</f>
        <v>-8055.3914916903268</v>
      </c>
      <c r="I274" s="32">
        <f>SUM(C274:H274)</f>
        <v>-449209.43668298901</v>
      </c>
      <c r="J274" s="18"/>
      <c r="K274" s="19"/>
    </row>
    <row r="275" spans="1:15" ht="15" hidden="1" x14ac:dyDescent="0.2">
      <c r="A275" s="24">
        <v>2013</v>
      </c>
      <c r="B275" s="33" t="s">
        <v>15</v>
      </c>
      <c r="C275" s="18">
        <f>I272</f>
        <v>-449209.43668298511</v>
      </c>
      <c r="D275" s="34">
        <v>-372827.15</v>
      </c>
      <c r="E275" s="34">
        <f>2.84+106.39</f>
        <v>109.23</v>
      </c>
      <c r="F275" s="34">
        <v>0</v>
      </c>
      <c r="G275" s="34">
        <v>288062.31</v>
      </c>
      <c r="H275" s="35">
        <v>-2199.6291307464799</v>
      </c>
      <c r="I275" s="26">
        <f>C275+D275+E275+F275+G275+H275+K275</f>
        <v>-536064.6758137315</v>
      </c>
      <c r="J275" s="18"/>
      <c r="K275" s="19"/>
      <c r="N275" s="3"/>
    </row>
    <row r="276" spans="1:15" ht="15" hidden="1" x14ac:dyDescent="0.2">
      <c r="A276" s="24"/>
      <c r="B276" s="33" t="s">
        <v>16</v>
      </c>
      <c r="C276" s="18">
        <f>I275</f>
        <v>-536064.6758137315</v>
      </c>
      <c r="D276" s="34">
        <v>-377464.56</v>
      </c>
      <c r="E276" s="34">
        <f>1.18+425.56</f>
        <v>426.74</v>
      </c>
      <c r="F276" s="34">
        <v>0</v>
      </c>
      <c r="G276" s="34">
        <v>305068.84999999998</v>
      </c>
      <c r="H276" s="35">
        <v>-2559.9200136065697</v>
      </c>
      <c r="I276" s="26">
        <f>C276+D276+E276+F276+G276+H276</f>
        <v>-610593.56582733814</v>
      </c>
      <c r="J276" s="18"/>
      <c r="K276" s="19"/>
    </row>
    <row r="277" spans="1:15" ht="15" hidden="1" x14ac:dyDescent="0.2">
      <c r="A277" s="24"/>
      <c r="B277" s="33" t="s">
        <v>17</v>
      </c>
      <c r="C277" s="18">
        <f>I276</f>
        <v>-610593.56582733814</v>
      </c>
      <c r="D277" s="34">
        <v>-375836.07</v>
      </c>
      <c r="E277" s="34">
        <f>4.57+394.28</f>
        <v>398.84999999999997</v>
      </c>
      <c r="F277" s="34">
        <v>0</v>
      </c>
      <c r="G277" s="34">
        <v>322921.02</v>
      </c>
      <c r="H277" s="35">
        <v>-2849.9112235424591</v>
      </c>
      <c r="I277" s="26">
        <f>C277+D277+E277+F277+G277+H277+K277</f>
        <v>-665959.67705088051</v>
      </c>
      <c r="J277" s="18"/>
      <c r="K277" s="19">
        <v>0</v>
      </c>
      <c r="N277" s="3"/>
      <c r="O277" s="3" t="s">
        <v>19</v>
      </c>
    </row>
    <row r="278" spans="1:15" ht="15.75" hidden="1" x14ac:dyDescent="0.25">
      <c r="A278" s="24"/>
      <c r="B278" s="36" t="s">
        <v>74</v>
      </c>
      <c r="C278" s="18"/>
      <c r="D278" s="31">
        <f>SUM(D275:D277)</f>
        <v>-1126127.78</v>
      </c>
      <c r="E278" s="31">
        <f>SUM(E275:E277)</f>
        <v>934.81999999999994</v>
      </c>
      <c r="F278" s="31">
        <f>SUM(F275:F277)</f>
        <v>0</v>
      </c>
      <c r="G278" s="31">
        <f>SUM(G275:G277)</f>
        <v>916052.17999999993</v>
      </c>
      <c r="H278" s="31">
        <f>SUM(H275:H277)</f>
        <v>-7609.4603678955091</v>
      </c>
      <c r="I278" s="26"/>
      <c r="J278" s="18"/>
      <c r="K278" s="19"/>
      <c r="N278" t="s">
        <v>19</v>
      </c>
    </row>
    <row r="279" spans="1:15" ht="15" hidden="1" x14ac:dyDescent="0.2">
      <c r="A279" s="24"/>
      <c r="B279" s="33"/>
      <c r="C279" s="18"/>
      <c r="D279" s="34"/>
      <c r="E279" s="34"/>
      <c r="F279" s="34"/>
      <c r="G279" s="34"/>
      <c r="H279" s="35"/>
      <c r="I279" s="26"/>
      <c r="J279" s="18"/>
      <c r="K279" s="19"/>
      <c r="N279" s="3"/>
      <c r="O279" s="3"/>
    </row>
    <row r="280" spans="1:15" ht="15" hidden="1" x14ac:dyDescent="0.2">
      <c r="A280" s="24" t="s">
        <v>19</v>
      </c>
      <c r="B280" s="33" t="s">
        <v>20</v>
      </c>
      <c r="C280" s="18">
        <f>I277</f>
        <v>-665959.67705088051</v>
      </c>
      <c r="D280" s="34">
        <v>-373072.8</v>
      </c>
      <c r="E280" s="34">
        <f>4.89+106.39</f>
        <v>111.28</v>
      </c>
      <c r="F280" s="34">
        <v>0</v>
      </c>
      <c r="G280" s="34">
        <v>339078.21</v>
      </c>
      <c r="H280" s="35">
        <v>-3055.9834798928114</v>
      </c>
      <c r="I280" s="26">
        <f>C280+D280+E280+F280+G280+H280+K280</f>
        <v>-702898.97053077328</v>
      </c>
      <c r="J280" s="18"/>
      <c r="K280" s="19"/>
      <c r="N280" s="3"/>
    </row>
    <row r="281" spans="1:15" ht="15" hidden="1" x14ac:dyDescent="0.2">
      <c r="A281" s="24"/>
      <c r="B281" s="33" t="s">
        <v>21</v>
      </c>
      <c r="C281" s="18">
        <f>I280</f>
        <v>-702898.97053077328</v>
      </c>
      <c r="D281" s="34">
        <v>-374188.65</v>
      </c>
      <c r="E281" s="34">
        <f>6.19+855.72</f>
        <v>861.91000000000008</v>
      </c>
      <c r="F281" s="34">
        <v>0</v>
      </c>
      <c r="G281" s="34">
        <v>346515.23</v>
      </c>
      <c r="H281" s="35">
        <v>-3205.4636657153319</v>
      </c>
      <c r="I281" s="26">
        <f>C281+D281+E281+F281+G281+H281</f>
        <v>-732915.94419648882</v>
      </c>
      <c r="J281" s="18"/>
      <c r="K281" s="19"/>
    </row>
    <row r="282" spans="1:15" ht="15" hidden="1" x14ac:dyDescent="0.2">
      <c r="A282" s="24"/>
      <c r="B282" s="33" t="s">
        <v>22</v>
      </c>
      <c r="C282" s="18">
        <f>I281</f>
        <v>-732915.94419648882</v>
      </c>
      <c r="D282" s="34">
        <v>-378722.82</v>
      </c>
      <c r="E282" s="34">
        <f>-7.19+519.48</f>
        <v>512.29</v>
      </c>
      <c r="F282" s="34">
        <v>0</v>
      </c>
      <c r="G282" s="34">
        <v>345240.43</v>
      </c>
      <c r="H282" s="35">
        <v>-3353.569467994409</v>
      </c>
      <c r="I282" s="26">
        <f>C282+D282+E282+F282+G282+H282+K282</f>
        <v>-769239.61366448319</v>
      </c>
      <c r="J282" s="18"/>
      <c r="K282" s="19">
        <v>0</v>
      </c>
      <c r="N282" s="3"/>
      <c r="O282" s="3" t="s">
        <v>19</v>
      </c>
    </row>
    <row r="283" spans="1:15" ht="15.75" hidden="1" x14ac:dyDescent="0.25">
      <c r="A283" s="24"/>
      <c r="B283" s="36" t="s">
        <v>75</v>
      </c>
      <c r="C283" s="18"/>
      <c r="D283" s="31">
        <f>SUM(D280:D282)</f>
        <v>-1125984.27</v>
      </c>
      <c r="E283" s="31">
        <f>SUM(E280:E282)</f>
        <v>1485.48</v>
      </c>
      <c r="F283" s="31">
        <f>SUM(F280:F282)</f>
        <v>0</v>
      </c>
      <c r="G283" s="31">
        <f>SUM(G280:G282)</f>
        <v>1030833.8699999999</v>
      </c>
      <c r="H283" s="31">
        <f>SUM(H280:H282)</f>
        <v>-9615.0166136025509</v>
      </c>
      <c r="I283" s="26"/>
      <c r="J283" s="18"/>
      <c r="K283" s="19"/>
      <c r="N283" t="s">
        <v>19</v>
      </c>
    </row>
    <row r="284" spans="1:15" ht="15.75" hidden="1" x14ac:dyDescent="0.25">
      <c r="A284" s="82" t="s">
        <v>3</v>
      </c>
      <c r="B284" s="33"/>
      <c r="C284" s="18"/>
      <c r="D284" s="18"/>
      <c r="E284" s="18"/>
      <c r="F284" s="18"/>
      <c r="G284" s="18"/>
      <c r="H284" s="18"/>
      <c r="I284" s="18"/>
      <c r="J284" s="18"/>
      <c r="K284" s="19"/>
    </row>
    <row r="285" spans="1:15" ht="15" hidden="1" customHeight="1" x14ac:dyDescent="0.25">
      <c r="A285" s="82"/>
      <c r="B285" s="33"/>
      <c r="C285" s="20" t="s">
        <v>4</v>
      </c>
      <c r="D285" s="18"/>
      <c r="E285" s="20" t="s">
        <v>5</v>
      </c>
      <c r="F285" s="20" t="s">
        <v>5</v>
      </c>
      <c r="G285" s="20" t="s">
        <v>6</v>
      </c>
      <c r="H285" s="18"/>
      <c r="I285" s="20" t="s">
        <v>7</v>
      </c>
      <c r="J285" s="18"/>
      <c r="K285" s="19"/>
    </row>
    <row r="286" spans="1:15" ht="15" hidden="1" customHeight="1" x14ac:dyDescent="0.25">
      <c r="A286" s="21" t="s">
        <v>8</v>
      </c>
      <c r="B286" s="36" t="s">
        <v>32</v>
      </c>
      <c r="C286" s="20" t="s">
        <v>10</v>
      </c>
      <c r="D286" s="22" t="s">
        <v>150</v>
      </c>
      <c r="E286" s="23" t="s">
        <v>151</v>
      </c>
      <c r="F286" s="23" t="s">
        <v>156</v>
      </c>
      <c r="G286" s="23" t="s">
        <v>153</v>
      </c>
      <c r="H286" s="23" t="s">
        <v>154</v>
      </c>
      <c r="I286" s="23" t="s">
        <v>155</v>
      </c>
      <c r="J286" s="18"/>
      <c r="K286" s="19"/>
    </row>
    <row r="287" spans="1:15" ht="15" hidden="1" x14ac:dyDescent="0.2">
      <c r="A287" s="24"/>
      <c r="B287" s="33"/>
      <c r="C287" s="18"/>
      <c r="D287" s="34"/>
      <c r="E287" s="34"/>
      <c r="F287" s="34"/>
      <c r="G287" s="34"/>
      <c r="H287" s="35"/>
      <c r="I287" s="26"/>
      <c r="J287" s="18"/>
      <c r="K287" s="19"/>
      <c r="N287" s="3"/>
      <c r="O287" s="3"/>
    </row>
    <row r="288" spans="1:15" ht="15" hidden="1" x14ac:dyDescent="0.2">
      <c r="A288" s="24">
        <v>2013</v>
      </c>
      <c r="B288" s="33" t="s">
        <v>24</v>
      </c>
      <c r="C288" s="18">
        <f>I282</f>
        <v>-769239.61366448319</v>
      </c>
      <c r="D288" s="34">
        <v>-379572.01</v>
      </c>
      <c r="E288" s="34">
        <v>1.67</v>
      </c>
      <c r="F288" s="34">
        <v>0</v>
      </c>
      <c r="G288" s="34">
        <v>339658.67</v>
      </c>
      <c r="H288" s="35">
        <v>-3531.6496517386836</v>
      </c>
      <c r="I288" s="26">
        <f>C288+D288+E288+F288+G288+H288+K288</f>
        <v>-812682.93331622204</v>
      </c>
      <c r="J288" s="18"/>
      <c r="K288" s="19"/>
      <c r="N288" s="3"/>
    </row>
    <row r="289" spans="1:15" ht="15" hidden="1" x14ac:dyDescent="0.2">
      <c r="A289" s="24"/>
      <c r="B289" s="33" t="s">
        <v>25</v>
      </c>
      <c r="C289" s="18">
        <f>I288</f>
        <v>-812682.93331622204</v>
      </c>
      <c r="D289" s="34">
        <v>-382508.51</v>
      </c>
      <c r="E289" s="34">
        <f>-0.79+744.73</f>
        <v>743.94</v>
      </c>
      <c r="F289" s="34">
        <v>13545.59</v>
      </c>
      <c r="G289" s="34">
        <v>288872.78999999998</v>
      </c>
      <c r="H289" s="35">
        <v>-3814.293245680215</v>
      </c>
      <c r="I289" s="26">
        <f>C289+D289+E289+F289+G289+H289</f>
        <v>-895843.41656190227</v>
      </c>
      <c r="J289" s="18"/>
      <c r="K289" s="19"/>
    </row>
    <row r="290" spans="1:15" ht="15" hidden="1" x14ac:dyDescent="0.2">
      <c r="A290" s="24"/>
      <c r="B290" s="33" t="s">
        <v>11</v>
      </c>
      <c r="C290" s="18">
        <f>I289</f>
        <v>-895843.41656190227</v>
      </c>
      <c r="D290" s="34">
        <v>-380830.79</v>
      </c>
      <c r="E290" s="34">
        <f>2.63+674.03</f>
        <v>676.66</v>
      </c>
      <c r="F290" s="34">
        <v>0</v>
      </c>
      <c r="G290" s="34">
        <v>251362.82</v>
      </c>
      <c r="H290" s="35">
        <v>-4297.0698642046336</v>
      </c>
      <c r="I290" s="26">
        <f>C290+D290+E290+F290+G290+H290+K290</f>
        <v>-1028931.7964261069</v>
      </c>
      <c r="J290" s="18"/>
      <c r="K290" s="19">
        <v>0</v>
      </c>
      <c r="N290" s="3"/>
      <c r="O290" s="3" t="s">
        <v>19</v>
      </c>
    </row>
    <row r="291" spans="1:15" ht="15.75" hidden="1" x14ac:dyDescent="0.25">
      <c r="A291" s="24"/>
      <c r="B291" s="36" t="s">
        <v>76</v>
      </c>
      <c r="C291" s="18"/>
      <c r="D291" s="31">
        <f>SUM(D288:D290)</f>
        <v>-1142911.31</v>
      </c>
      <c r="E291" s="31">
        <f>SUM(E288:E290)</f>
        <v>1422.27</v>
      </c>
      <c r="F291" s="31">
        <f>SUM(F288:F290)</f>
        <v>13545.59</v>
      </c>
      <c r="G291" s="31">
        <f>SUM(G288:G290)</f>
        <v>879894.28</v>
      </c>
      <c r="H291" s="31">
        <f>SUM(H288:H290)</f>
        <v>-11643.012761623533</v>
      </c>
      <c r="I291" s="26"/>
      <c r="J291" s="18"/>
      <c r="K291" s="19"/>
      <c r="N291" t="s">
        <v>19</v>
      </c>
    </row>
    <row r="292" spans="1:15" ht="15" hidden="1" x14ac:dyDescent="0.2">
      <c r="A292" s="24"/>
      <c r="B292" s="33"/>
      <c r="C292" s="18"/>
      <c r="D292" s="34"/>
      <c r="E292" s="34"/>
      <c r="F292" s="34"/>
      <c r="G292" s="34"/>
      <c r="H292" s="35"/>
      <c r="I292" s="26"/>
      <c r="J292" s="18"/>
      <c r="K292" s="19"/>
      <c r="N292" s="3"/>
      <c r="O292" s="3"/>
    </row>
    <row r="293" spans="1:15" ht="15" hidden="1" x14ac:dyDescent="0.2">
      <c r="A293" s="24" t="s">
        <v>19</v>
      </c>
      <c r="B293" s="33" t="s">
        <v>12</v>
      </c>
      <c r="C293" s="18">
        <f>I290</f>
        <v>-1028931.7964261069</v>
      </c>
      <c r="D293" s="34">
        <f>-382916.74</f>
        <v>-382916.74</v>
      </c>
      <c r="E293" s="34">
        <f>-0.73+212.78</f>
        <v>212.05</v>
      </c>
      <c r="F293" s="34">
        <v>0</v>
      </c>
      <c r="G293" s="34">
        <v>250253.3</v>
      </c>
      <c r="H293" s="35">
        <v>-4900.8297930969502</v>
      </c>
      <c r="I293" s="26">
        <f>C293+D293+E293+F293+G293+H293+K293</f>
        <v>-1166284.0162192038</v>
      </c>
      <c r="J293" s="18"/>
      <c r="K293" s="19"/>
      <c r="N293" s="3"/>
    </row>
    <row r="294" spans="1:15" ht="15" hidden="1" x14ac:dyDescent="0.2">
      <c r="A294" s="24"/>
      <c r="B294" s="33" t="s">
        <v>13</v>
      </c>
      <c r="C294" s="18">
        <f>I293</f>
        <v>-1166284.0162192038</v>
      </c>
      <c r="D294" s="34">
        <v>-383310.88</v>
      </c>
      <c r="E294" s="34">
        <f>1.18+106.39</f>
        <v>107.57000000000001</v>
      </c>
      <c r="F294" s="34">
        <v>0</v>
      </c>
      <c r="G294" s="34">
        <v>250278.47</v>
      </c>
      <c r="H294" s="35">
        <v>-5516.5402762960584</v>
      </c>
      <c r="I294" s="26">
        <f>C294+D294+E294+F294+G294+H294</f>
        <v>-1304725.3964954996</v>
      </c>
      <c r="J294" s="18"/>
      <c r="K294" s="19"/>
    </row>
    <row r="295" spans="1:15" ht="15" hidden="1" x14ac:dyDescent="0.2">
      <c r="A295" s="24"/>
      <c r="B295" s="33" t="s">
        <v>14</v>
      </c>
      <c r="C295" s="18">
        <f>I294</f>
        <v>-1304725.3964954996</v>
      </c>
      <c r="D295" s="34">
        <v>-380618.86</v>
      </c>
      <c r="E295" s="34">
        <f>0.23+3033.09</f>
        <v>3033.32</v>
      </c>
      <c r="F295" s="34">
        <v>0</v>
      </c>
      <c r="G295" s="34">
        <v>257425.48</v>
      </c>
      <c r="H295" s="35">
        <v>-6107.504302532484</v>
      </c>
      <c r="I295" s="26">
        <f>C295+D295+E295+F295+G295+H295+K295</f>
        <v>-1430992.9607980319</v>
      </c>
      <c r="J295" s="18"/>
      <c r="K295" s="19">
        <v>0</v>
      </c>
      <c r="N295" s="3"/>
      <c r="O295" s="3" t="s">
        <v>19</v>
      </c>
    </row>
    <row r="296" spans="1:15" ht="15.75" hidden="1" x14ac:dyDescent="0.25">
      <c r="A296" s="24"/>
      <c r="B296" s="36" t="s">
        <v>77</v>
      </c>
      <c r="C296" s="18"/>
      <c r="D296" s="31">
        <f>SUM(D293:D295)</f>
        <v>-1146846.48</v>
      </c>
      <c r="E296" s="31">
        <f>SUM(E293:E295)</f>
        <v>3352.94</v>
      </c>
      <c r="F296" s="31">
        <f>SUM(F293:F295)</f>
        <v>0</v>
      </c>
      <c r="G296" s="31">
        <f>SUM(G293:G295)</f>
        <v>757957.25</v>
      </c>
      <c r="H296" s="31">
        <f>SUM(H293:H295)</f>
        <v>-16524.874371925493</v>
      </c>
      <c r="I296" s="26"/>
      <c r="J296" s="18"/>
      <c r="K296" s="19"/>
      <c r="N296" t="s">
        <v>19</v>
      </c>
    </row>
    <row r="297" spans="1:15" ht="15.75" x14ac:dyDescent="0.25">
      <c r="A297" s="24"/>
      <c r="B297" s="21">
        <v>2013</v>
      </c>
      <c r="C297" s="37">
        <f>I274</f>
        <v>-449209.43668298901</v>
      </c>
      <c r="D297" s="31">
        <f>D278+D283+D291+D296</f>
        <v>-4541869.84</v>
      </c>
      <c r="E297" s="31">
        <f>E278+E283+E291+E296</f>
        <v>7195.51</v>
      </c>
      <c r="F297" s="31">
        <f>F278+F283+F291+F296</f>
        <v>13545.59</v>
      </c>
      <c r="G297" s="31">
        <f>G278+G283+G291+G296</f>
        <v>3584737.58</v>
      </c>
      <c r="H297" s="31">
        <f>H278+H283+H291+H296</f>
        <v>-45392.364115047087</v>
      </c>
      <c r="I297" s="32">
        <f>SUM(C297:H297)</f>
        <v>-1430992.9607980361</v>
      </c>
      <c r="J297" s="18"/>
      <c r="K297" s="19"/>
      <c r="N297" s="3"/>
      <c r="O297" s="3"/>
    </row>
    <row r="298" spans="1:15" ht="15" hidden="1" x14ac:dyDescent="0.2">
      <c r="A298" s="24">
        <v>2014</v>
      </c>
      <c r="B298" s="33" t="s">
        <v>15</v>
      </c>
      <c r="C298" s="18">
        <f>I295</f>
        <v>-1430992.9607980319</v>
      </c>
      <c r="D298" s="34">
        <v>-383758.91</v>
      </c>
      <c r="E298" s="34">
        <f>1057.8</f>
        <v>1057.8</v>
      </c>
      <c r="F298" s="34">
        <v>0</v>
      </c>
      <c r="G298" s="34">
        <v>276241.68</v>
      </c>
      <c r="H298" s="35">
        <v>-6641.8964484113167</v>
      </c>
      <c r="I298" s="26">
        <f>C298+D298+E298+F298+G298+H298+K298</f>
        <v>-1544094.2872464431</v>
      </c>
      <c r="J298" s="18"/>
      <c r="K298" s="19"/>
      <c r="N298" s="3"/>
    </row>
    <row r="299" spans="1:15" ht="15" hidden="1" x14ac:dyDescent="0.2">
      <c r="A299" s="24"/>
      <c r="B299" s="33" t="s">
        <v>16</v>
      </c>
      <c r="C299" s="18">
        <f>I298</f>
        <v>-1544094.2872464431</v>
      </c>
      <c r="D299" s="34">
        <v>-378286.98</v>
      </c>
      <c r="E299" s="34">
        <f>1.57+105.78</f>
        <v>107.35</v>
      </c>
      <c r="F299" s="34">
        <v>0</v>
      </c>
      <c r="G299" s="34">
        <v>286337.27</v>
      </c>
      <c r="H299" s="35">
        <v>-7115.3191901429554</v>
      </c>
      <c r="I299" s="26">
        <f>C299+D299+E299+F299+G299+H299</f>
        <v>-1643051.9664365859</v>
      </c>
      <c r="J299" s="18"/>
      <c r="K299" s="19"/>
    </row>
    <row r="300" spans="1:15" ht="15" hidden="1" x14ac:dyDescent="0.2">
      <c r="A300" s="24"/>
      <c r="B300" s="33" t="s">
        <v>17</v>
      </c>
      <c r="C300" s="18">
        <f>I299</f>
        <v>-1643051.9664365859</v>
      </c>
      <c r="D300" s="34">
        <v>-374499.02</v>
      </c>
      <c r="E300" s="34">
        <f>2.45+634.68</f>
        <v>637.13</v>
      </c>
      <c r="F300" s="34">
        <v>0</v>
      </c>
      <c r="G300" s="34">
        <v>306299.28000000003</v>
      </c>
      <c r="H300" s="35">
        <v>-7503.8288638938448</v>
      </c>
      <c r="I300" s="26">
        <f>C300+D300+E300+F300+G300+H300+K300</f>
        <v>-1718118.4053004798</v>
      </c>
      <c r="J300" s="18"/>
      <c r="K300" s="19">
        <v>0</v>
      </c>
      <c r="N300" s="3"/>
      <c r="O300" s="3" t="s">
        <v>19</v>
      </c>
    </row>
    <row r="301" spans="1:15" ht="15" hidden="1" x14ac:dyDescent="0.2">
      <c r="A301" s="24"/>
      <c r="B301" s="33"/>
      <c r="C301" s="18"/>
      <c r="D301" s="34"/>
      <c r="E301" s="34"/>
      <c r="F301" s="34"/>
      <c r="G301" s="34"/>
      <c r="H301" s="35"/>
      <c r="I301" s="26"/>
      <c r="J301" s="18"/>
      <c r="K301" s="19"/>
      <c r="N301" s="3"/>
      <c r="O301" s="3"/>
    </row>
    <row r="302" spans="1:15" ht="15.75" hidden="1" x14ac:dyDescent="0.25">
      <c r="A302" s="24"/>
      <c r="B302" s="36" t="s">
        <v>78</v>
      </c>
      <c r="C302" s="18"/>
      <c r="D302" s="31">
        <f>SUM(D298:D300)</f>
        <v>-1136544.9099999999</v>
      </c>
      <c r="E302" s="31">
        <f>SUM(E298:E300)</f>
        <v>1802.2799999999997</v>
      </c>
      <c r="F302" s="31">
        <f>SUM(F298:F300)</f>
        <v>0</v>
      </c>
      <c r="G302" s="31">
        <f>SUM(G298:G300)</f>
        <v>868878.23</v>
      </c>
      <c r="H302" s="31">
        <f>SUM(H298:H300)</f>
        <v>-21261.044502448116</v>
      </c>
      <c r="I302" s="26"/>
      <c r="J302" s="18"/>
      <c r="K302" s="19"/>
      <c r="N302" t="s">
        <v>19</v>
      </c>
    </row>
    <row r="303" spans="1:15" ht="15.75" hidden="1" x14ac:dyDescent="0.25">
      <c r="A303" s="24"/>
      <c r="B303" s="36"/>
      <c r="C303" s="18"/>
      <c r="D303" s="31"/>
      <c r="E303" s="31"/>
      <c r="F303" s="31"/>
      <c r="G303" s="31"/>
      <c r="H303" s="31"/>
      <c r="I303" s="26"/>
      <c r="J303" s="18"/>
      <c r="K303" s="19"/>
    </row>
    <row r="304" spans="1:15" ht="15" hidden="1" x14ac:dyDescent="0.2">
      <c r="A304" s="24" t="s">
        <v>19</v>
      </c>
      <c r="B304" s="33" t="s">
        <v>20</v>
      </c>
      <c r="C304" s="18">
        <f>I300</f>
        <v>-1718118.4053004798</v>
      </c>
      <c r="D304" s="34">
        <v>-382687.42</v>
      </c>
      <c r="E304" s="34">
        <f>0.82+530.15</f>
        <v>530.97</v>
      </c>
      <c r="F304" s="34">
        <v>0</v>
      </c>
      <c r="G304" s="34">
        <v>326484.73</v>
      </c>
      <c r="H304" s="35">
        <v>-7813.1453114347705</v>
      </c>
      <c r="I304" s="26">
        <f>C304+D304+E304+F304+G304+H304+K304</f>
        <v>-1781603.2706119143</v>
      </c>
      <c r="J304" s="18"/>
      <c r="K304" s="19"/>
      <c r="N304" s="3"/>
    </row>
    <row r="305" spans="1:15" ht="15" hidden="1" x14ac:dyDescent="0.2">
      <c r="A305" s="24"/>
      <c r="B305" s="33" t="s">
        <v>21</v>
      </c>
      <c r="C305" s="18">
        <f>I304</f>
        <v>-1781603.2706119143</v>
      </c>
      <c r="D305" s="34">
        <v>-381843.96</v>
      </c>
      <c r="E305" s="34">
        <f>1.81+846.24</f>
        <v>848.05</v>
      </c>
      <c r="F305" s="34">
        <v>0</v>
      </c>
      <c r="G305" s="34">
        <v>333300.62</v>
      </c>
      <c r="H305" s="35">
        <v>-8079.3928215784426</v>
      </c>
      <c r="I305" s="26">
        <f>C305+D305+E305+F305+G305+H305</f>
        <v>-1837377.9534334929</v>
      </c>
      <c r="J305" s="18"/>
      <c r="K305" s="19"/>
    </row>
    <row r="306" spans="1:15" ht="15" hidden="1" x14ac:dyDescent="0.2">
      <c r="A306" s="24"/>
      <c r="B306" s="33" t="s">
        <v>22</v>
      </c>
      <c r="C306" s="18">
        <f>I305</f>
        <v>-1837377.9534334929</v>
      </c>
      <c r="D306" s="34">
        <v>-384905.07</v>
      </c>
      <c r="E306" s="34">
        <f>3.63+751.91</f>
        <v>755.54</v>
      </c>
      <c r="F306" s="34">
        <v>0</v>
      </c>
      <c r="G306" s="34">
        <v>333614.74</v>
      </c>
      <c r="H306" s="35">
        <v>-8335.3379532050058</v>
      </c>
      <c r="I306" s="26">
        <f>C306+D306+E306+F306+G306+H306+K306</f>
        <v>-1896248.0813866979</v>
      </c>
      <c r="J306" s="18"/>
      <c r="K306" s="19">
        <v>0</v>
      </c>
      <c r="N306" s="3"/>
      <c r="O306" s="3" t="s">
        <v>19</v>
      </c>
    </row>
    <row r="307" spans="1:15" ht="15.75" hidden="1" x14ac:dyDescent="0.25">
      <c r="A307" s="24"/>
      <c r="B307" s="36" t="s">
        <v>79</v>
      </c>
      <c r="C307" s="18"/>
      <c r="D307" s="31">
        <f>SUM(D304:D306)</f>
        <v>-1149436.45</v>
      </c>
      <c r="E307" s="31">
        <f>SUM(E304:E306)</f>
        <v>2134.56</v>
      </c>
      <c r="F307" s="31">
        <f>SUM(F304:F306)</f>
        <v>0</v>
      </c>
      <c r="G307" s="31">
        <f>SUM(G304:G306)</f>
        <v>993400.09</v>
      </c>
      <c r="H307" s="31">
        <f>SUM(H304:H306)</f>
        <v>-24227.876086218217</v>
      </c>
      <c r="I307" s="26"/>
      <c r="J307" s="18"/>
      <c r="K307" s="19"/>
      <c r="N307" t="s">
        <v>19</v>
      </c>
    </row>
    <row r="308" spans="1:15" ht="15.75" hidden="1" x14ac:dyDescent="0.25">
      <c r="A308" s="24"/>
      <c r="B308" s="36"/>
      <c r="C308" s="18"/>
      <c r="D308" s="31"/>
      <c r="E308" s="31"/>
      <c r="F308" s="31"/>
      <c r="G308" s="31"/>
      <c r="H308" s="31"/>
      <c r="I308" s="26"/>
      <c r="J308" s="18"/>
      <c r="K308" s="19"/>
    </row>
    <row r="309" spans="1:15" ht="15" hidden="1" x14ac:dyDescent="0.2">
      <c r="A309" s="24" t="s">
        <v>19</v>
      </c>
      <c r="B309" s="33" t="s">
        <v>24</v>
      </c>
      <c r="C309" s="18">
        <f>I306</f>
        <v>-1896248.0813866979</v>
      </c>
      <c r="D309" s="34">
        <v>-386103.09</v>
      </c>
      <c r="E309" s="34">
        <f>3.15+634.68</f>
        <v>637.82999999999993</v>
      </c>
      <c r="F309" s="34">
        <v>0</v>
      </c>
      <c r="G309" s="34">
        <v>312838.03999999998</v>
      </c>
      <c r="H309" s="35">
        <v>-8648.2099999999991</v>
      </c>
      <c r="I309" s="26">
        <f>C309+D309+E309+F309+G309+H309+K309</f>
        <v>-1977523.5113866976</v>
      </c>
      <c r="J309" s="18"/>
      <c r="K309" s="19"/>
      <c r="N309" s="3"/>
    </row>
    <row r="310" spans="1:15" ht="15" hidden="1" x14ac:dyDescent="0.2">
      <c r="A310" s="24"/>
      <c r="B310" s="33" t="s">
        <v>25</v>
      </c>
      <c r="C310" s="18">
        <f>I309</f>
        <v>-1977523.5113866976</v>
      </c>
      <c r="D310" s="34">
        <v>-388419.47</v>
      </c>
      <c r="E310" s="34">
        <f>0.46+596.93</f>
        <v>597.39</v>
      </c>
      <c r="F310" s="34">
        <v>14358.15</v>
      </c>
      <c r="G310" s="34">
        <v>273890.06</v>
      </c>
      <c r="H310" s="35">
        <v>-9072.2099999999991</v>
      </c>
      <c r="I310" s="26">
        <f>C310+D310+E310+F310+G310+H310</f>
        <v>-2086169.5913866977</v>
      </c>
      <c r="J310" s="18"/>
      <c r="K310" s="19"/>
    </row>
    <row r="311" spans="1:15" ht="15" hidden="1" x14ac:dyDescent="0.2">
      <c r="A311" s="24"/>
      <c r="B311" s="33" t="s">
        <v>11</v>
      </c>
      <c r="C311" s="18">
        <f>I310</f>
        <v>-2086169.5913866977</v>
      </c>
      <c r="D311" s="34">
        <v>-387022.47</v>
      </c>
      <c r="E311" s="34">
        <f>1.32+211.56</f>
        <v>212.88</v>
      </c>
      <c r="F311" s="34">
        <v>0</v>
      </c>
      <c r="G311" s="34">
        <v>286930.77</v>
      </c>
      <c r="H311" s="35">
        <v>-9559.09</v>
      </c>
      <c r="I311" s="26">
        <f>C311+D311+E311+F311+G311+H311+K311</f>
        <v>-2195607.5013866979</v>
      </c>
      <c r="J311" s="18"/>
      <c r="K311" s="19">
        <v>0</v>
      </c>
      <c r="N311" s="3"/>
      <c r="O311" s="3" t="s">
        <v>19</v>
      </c>
    </row>
    <row r="312" spans="1:15" ht="15.75" hidden="1" x14ac:dyDescent="0.25">
      <c r="A312" s="24"/>
      <c r="B312" s="36" t="s">
        <v>80</v>
      </c>
      <c r="C312" s="18"/>
      <c r="D312" s="31">
        <f>SUM(D309:D311)</f>
        <v>-1161545.03</v>
      </c>
      <c r="E312" s="31">
        <f>SUM(E309:E311)</f>
        <v>1448.1</v>
      </c>
      <c r="F312" s="31">
        <f>SUM(F309:F311)</f>
        <v>14358.15</v>
      </c>
      <c r="G312" s="31">
        <f>SUM(G309:G311)</f>
        <v>873658.87</v>
      </c>
      <c r="H312" s="31">
        <f>SUM(H309:H311)</f>
        <v>-27279.51</v>
      </c>
      <c r="I312" s="26"/>
      <c r="J312" s="18"/>
      <c r="K312" s="19"/>
      <c r="N312" t="s">
        <v>19</v>
      </c>
    </row>
    <row r="313" spans="1:15" ht="15.75" hidden="1" x14ac:dyDescent="0.25">
      <c r="A313" s="24"/>
      <c r="B313" s="36"/>
      <c r="C313" s="18"/>
      <c r="D313" s="31"/>
      <c r="E313" s="31"/>
      <c r="F313" s="31"/>
      <c r="G313" s="31"/>
      <c r="H313" s="31"/>
      <c r="I313" s="26"/>
      <c r="J313" s="18"/>
      <c r="K313" s="19"/>
    </row>
    <row r="314" spans="1:15" ht="15" hidden="1" x14ac:dyDescent="0.2">
      <c r="A314" s="24" t="s">
        <v>19</v>
      </c>
      <c r="B314" s="33" t="s">
        <v>12</v>
      </c>
      <c r="C314" s="18">
        <f>I311</f>
        <v>-2195607.5013866979</v>
      </c>
      <c r="D314" s="34">
        <v>-385660.18</v>
      </c>
      <c r="E314" s="34">
        <f>9.09+634.68</f>
        <v>643.77</v>
      </c>
      <c r="F314" s="34">
        <v>0</v>
      </c>
      <c r="G314" s="34">
        <v>303343.62</v>
      </c>
      <c r="H314" s="35">
        <v>-14108.16</v>
      </c>
      <c r="I314" s="26">
        <f>C314+D314+E314+F314+G314+H314+K314</f>
        <v>-2291388.4513866981</v>
      </c>
      <c r="J314" s="18"/>
      <c r="K314" s="19"/>
      <c r="N314" s="3"/>
    </row>
    <row r="315" spans="1:15" ht="15" hidden="1" x14ac:dyDescent="0.2">
      <c r="A315" s="24"/>
      <c r="B315" s="33" t="s">
        <v>13</v>
      </c>
      <c r="C315" s="18">
        <f>I314</f>
        <v>-2291388.4513866981</v>
      </c>
      <c r="D315" s="34">
        <v>-387025.28</v>
      </c>
      <c r="E315" s="34">
        <f>1.28-10619.88+528.9</f>
        <v>-10089.699999999999</v>
      </c>
      <c r="F315" s="34">
        <v>0</v>
      </c>
      <c r="G315" s="34">
        <v>301739.37</v>
      </c>
      <c r="H315" s="35">
        <v>-14755.59</v>
      </c>
      <c r="I315" s="26">
        <f>C315+D315+E315+F315+G315+H315</f>
        <v>-2401519.6513866978</v>
      </c>
      <c r="J315" s="18"/>
      <c r="K315" s="19"/>
    </row>
    <row r="316" spans="1:15" ht="15" hidden="1" x14ac:dyDescent="0.2">
      <c r="A316" s="24"/>
      <c r="B316" s="33" t="s">
        <v>14</v>
      </c>
      <c r="C316" s="18">
        <f>I315</f>
        <v>-2401519.6513866978</v>
      </c>
      <c r="D316" s="34">
        <v>-389598.66</v>
      </c>
      <c r="E316" s="34">
        <f>1.29</f>
        <v>1.29</v>
      </c>
      <c r="F316" s="34">
        <v>0</v>
      </c>
      <c r="G316" s="34">
        <v>309821.21999999997</v>
      </c>
      <c r="H316" s="35">
        <v>-15401.13</v>
      </c>
      <c r="I316" s="26">
        <f>C316+D316+E316+F316+G316+H316+K316</f>
        <v>-2496696.931386698</v>
      </c>
      <c r="J316" s="18"/>
      <c r="K316" s="19">
        <v>0</v>
      </c>
      <c r="N316" s="3"/>
      <c r="O316" s="3" t="s">
        <v>19</v>
      </c>
    </row>
    <row r="317" spans="1:15" ht="15.75" hidden="1" x14ac:dyDescent="0.25">
      <c r="A317" s="24"/>
      <c r="B317" s="36" t="s">
        <v>81</v>
      </c>
      <c r="C317" s="18"/>
      <c r="D317" s="31">
        <f>SUM(D314:D316)</f>
        <v>-1162284.1199999999</v>
      </c>
      <c r="E317" s="31">
        <f>SUM(E314:E316)</f>
        <v>-9444.6399999999976</v>
      </c>
      <c r="F317" s="31">
        <f>SUM(F314:F316)</f>
        <v>0</v>
      </c>
      <c r="G317" s="31">
        <f>SUM(G314:G316)</f>
        <v>914904.21</v>
      </c>
      <c r="H317" s="31">
        <f>SUM(H314:H316)</f>
        <v>-44264.88</v>
      </c>
      <c r="I317" s="26"/>
      <c r="J317" s="18"/>
      <c r="K317" s="19"/>
      <c r="N317" t="s">
        <v>19</v>
      </c>
    </row>
    <row r="318" spans="1:15" ht="15.75" x14ac:dyDescent="0.25">
      <c r="A318" s="24"/>
      <c r="B318" s="21">
        <v>2014</v>
      </c>
      <c r="C318" s="37">
        <f>I297</f>
        <v>-1430992.9607980361</v>
      </c>
      <c r="D318" s="31">
        <f>D302+D307+D312+D317</f>
        <v>-4609810.51</v>
      </c>
      <c r="E318" s="31">
        <f>E302+E307+E312+E317</f>
        <v>-4059.699999999998</v>
      </c>
      <c r="F318" s="31">
        <f>F302+F307+F312+F317</f>
        <v>14358.15</v>
      </c>
      <c r="G318" s="31">
        <f>G302+G307+G312+G317</f>
        <v>3650841.4</v>
      </c>
      <c r="H318" s="31">
        <f>H302+H307+H312+H317</f>
        <v>-117033.31058866633</v>
      </c>
      <c r="I318" s="32">
        <f>SUM(C318:H318)</f>
        <v>-2496696.9313867022</v>
      </c>
      <c r="J318" s="18"/>
      <c r="K318" s="19"/>
    </row>
    <row r="319" spans="1:15" ht="15" hidden="1" x14ac:dyDescent="0.2">
      <c r="A319" s="24">
        <v>2015</v>
      </c>
      <c r="B319" s="33" t="s">
        <v>15</v>
      </c>
      <c r="C319" s="18">
        <f>I316</f>
        <v>-2496696.931386698</v>
      </c>
      <c r="D319" s="34">
        <v>-5402.26</v>
      </c>
      <c r="E319" s="34">
        <f>1.18+440.12</f>
        <v>441.3</v>
      </c>
      <c r="F319" s="34">
        <v>0</v>
      </c>
      <c r="G319" s="34">
        <v>325487.92</v>
      </c>
      <c r="H319" s="35">
        <v>-14738.92</v>
      </c>
      <c r="I319" s="26">
        <f>C319+D319+E319+F319+G319+H319+K319</f>
        <v>-2190908.891386698</v>
      </c>
      <c r="J319" s="18"/>
      <c r="K319" s="19"/>
      <c r="N319" s="3"/>
    </row>
    <row r="320" spans="1:15" ht="15" hidden="1" x14ac:dyDescent="0.2">
      <c r="A320" s="24"/>
      <c r="B320" s="33" t="s">
        <v>16</v>
      </c>
      <c r="C320" s="18">
        <f>I319</f>
        <v>-2190908.891386698</v>
      </c>
      <c r="D320" s="34">
        <v>588217.99</v>
      </c>
      <c r="E320" s="34">
        <f>220.06</f>
        <v>220.06</v>
      </c>
      <c r="F320" s="34">
        <v>0</v>
      </c>
      <c r="G320" s="34">
        <v>342404.93</v>
      </c>
      <c r="H320" s="35">
        <v>-10884.89</v>
      </c>
      <c r="I320" s="26">
        <f>C320+D320+E320+F320+G320+H320</f>
        <v>-1270950.8013866979</v>
      </c>
      <c r="J320" s="18"/>
      <c r="K320" s="19"/>
    </row>
    <row r="321" spans="1:15" ht="15" hidden="1" x14ac:dyDescent="0.2">
      <c r="A321" s="24"/>
      <c r="B321" s="33" t="s">
        <v>17</v>
      </c>
      <c r="C321" s="18">
        <f>I320</f>
        <v>-1270950.8013866979</v>
      </c>
      <c r="D321" s="34">
        <v>-311817.57</v>
      </c>
      <c r="E321" s="34">
        <f>0.01+440.12</f>
        <v>440.13</v>
      </c>
      <c r="F321" s="34">
        <v>0</v>
      </c>
      <c r="G321" s="34">
        <v>354962.84</v>
      </c>
      <c r="H321" s="35">
        <v>-7880.06</v>
      </c>
      <c r="I321" s="26">
        <f>C321+D321+E321+F321+G321+H321+K321</f>
        <v>-1235245.4613866981</v>
      </c>
      <c r="J321" s="18"/>
      <c r="K321" s="19">
        <v>0</v>
      </c>
      <c r="N321" s="3"/>
      <c r="O321" s="3" t="s">
        <v>19</v>
      </c>
    </row>
    <row r="322" spans="1:15" ht="15.75" hidden="1" x14ac:dyDescent="0.25">
      <c r="A322" s="24"/>
      <c r="B322" s="36" t="s">
        <v>82</v>
      </c>
      <c r="C322" s="18"/>
      <c r="D322" s="31">
        <f>SUM(D319:D321)</f>
        <v>270998.15999999997</v>
      </c>
      <c r="E322" s="31">
        <f>SUM(E319:E321)</f>
        <v>1101.49</v>
      </c>
      <c r="F322" s="31">
        <f>SUM(F319:F321)</f>
        <v>0</v>
      </c>
      <c r="G322" s="31">
        <f>SUM(G319:G321)</f>
        <v>1022855.69</v>
      </c>
      <c r="H322" s="31">
        <f>SUM(H319:H321)</f>
        <v>-33503.869999999995</v>
      </c>
      <c r="I322" s="26"/>
      <c r="J322" s="18"/>
      <c r="K322" s="19"/>
      <c r="N322" t="s">
        <v>19</v>
      </c>
    </row>
    <row r="323" spans="1:15" ht="15.75" hidden="1" x14ac:dyDescent="0.25">
      <c r="A323" s="24"/>
      <c r="B323" s="36"/>
      <c r="C323" s="18"/>
      <c r="D323" s="31"/>
      <c r="E323" s="31"/>
      <c r="F323" s="31"/>
      <c r="G323" s="31"/>
      <c r="H323" s="31"/>
      <c r="I323" s="26"/>
      <c r="J323" s="18"/>
      <c r="K323" s="19"/>
    </row>
    <row r="324" spans="1:15" ht="15" hidden="1" x14ac:dyDescent="0.2">
      <c r="A324" s="24" t="s">
        <v>19</v>
      </c>
      <c r="B324" s="33" t="s">
        <v>20</v>
      </c>
      <c r="C324" s="18">
        <f>I321</f>
        <v>-1235245.4613866981</v>
      </c>
      <c r="D324" s="34">
        <v>-315615.37</v>
      </c>
      <c r="E324" s="34">
        <v>440.12</v>
      </c>
      <c r="F324" s="34">
        <v>0</v>
      </c>
      <c r="G324" s="34">
        <v>361253.3</v>
      </c>
      <c r="H324" s="35">
        <v>-7646.96</v>
      </c>
      <c r="I324" s="26">
        <f>C324+D324+E324+F324+G324+H324+K324</f>
        <v>-1196814.3713866977</v>
      </c>
      <c r="J324" s="18"/>
      <c r="K324" s="19"/>
      <c r="N324" s="3"/>
    </row>
    <row r="325" spans="1:15" ht="15" hidden="1" x14ac:dyDescent="0.2">
      <c r="A325" s="24"/>
      <c r="B325" s="33" t="s">
        <v>21</v>
      </c>
      <c r="C325" s="18">
        <f>I324</f>
        <v>-1196814.3713866977</v>
      </c>
      <c r="D325" s="34">
        <v>-318265.43</v>
      </c>
      <c r="E325" s="34">
        <f>3.03+426.31</f>
        <v>429.34</v>
      </c>
      <c r="F325" s="34">
        <v>0</v>
      </c>
      <c r="G325" s="34">
        <v>370383.15</v>
      </c>
      <c r="H325" s="35">
        <v>-7384.12</v>
      </c>
      <c r="I325" s="26">
        <f>C325+D325+E325+F325+G325+H325</f>
        <v>-1151651.4313866976</v>
      </c>
      <c r="J325" s="18"/>
      <c r="K325" s="19"/>
    </row>
    <row r="326" spans="1:15" ht="15" hidden="1" x14ac:dyDescent="0.2">
      <c r="A326" s="24"/>
      <c r="B326" s="33" t="s">
        <v>22</v>
      </c>
      <c r="C326" s="18">
        <f>I325</f>
        <v>-1151651.4313866976</v>
      </c>
      <c r="D326" s="34">
        <v>-318903.49</v>
      </c>
      <c r="E326" s="34">
        <v>550.15</v>
      </c>
      <c r="F326" s="34">
        <v>0</v>
      </c>
      <c r="G326" s="34">
        <v>367368.86</v>
      </c>
      <c r="H326" s="35">
        <v>-7110.36</v>
      </c>
      <c r="I326" s="26">
        <f>C326+D326+E326+F326+G326+H326+K326</f>
        <v>-1109746.2713866977</v>
      </c>
      <c r="J326" s="18"/>
      <c r="K326" s="19">
        <v>0</v>
      </c>
      <c r="N326" s="3"/>
      <c r="O326" s="3" t="s">
        <v>19</v>
      </c>
    </row>
    <row r="327" spans="1:15" ht="15.75" hidden="1" x14ac:dyDescent="0.25">
      <c r="A327" s="24"/>
      <c r="B327" s="36" t="s">
        <v>83</v>
      </c>
      <c r="C327" s="18"/>
      <c r="D327" s="31">
        <f>SUM(D324:D326)</f>
        <v>-952784.29</v>
      </c>
      <c r="E327" s="31">
        <f>SUM(E324:E326)</f>
        <v>1419.6100000000001</v>
      </c>
      <c r="F327" s="31">
        <f>SUM(F324:F326)</f>
        <v>0</v>
      </c>
      <c r="G327" s="31">
        <f>SUM(G324:G326)</f>
        <v>1099005.31</v>
      </c>
      <c r="H327" s="31">
        <f>SUM(H324:H326)</f>
        <v>-22141.439999999999</v>
      </c>
      <c r="I327" s="26"/>
      <c r="J327" s="18"/>
      <c r="K327" s="19"/>
      <c r="N327" t="s">
        <v>19</v>
      </c>
    </row>
    <row r="328" spans="1:15" ht="15.75" hidden="1" x14ac:dyDescent="0.25">
      <c r="A328" s="24"/>
      <c r="B328" s="36"/>
      <c r="C328" s="18"/>
      <c r="D328" s="31"/>
      <c r="E328" s="31"/>
      <c r="F328" s="31"/>
      <c r="G328" s="31"/>
      <c r="H328" s="31"/>
      <c r="I328" s="26"/>
      <c r="J328" s="18"/>
      <c r="K328" s="19"/>
    </row>
    <row r="329" spans="1:15" ht="15" hidden="1" x14ac:dyDescent="0.2">
      <c r="A329" s="24" t="s">
        <v>19</v>
      </c>
      <c r="B329" s="33" t="s">
        <v>24</v>
      </c>
      <c r="C329" s="18">
        <f>I326</f>
        <v>-1109746.2713866977</v>
      </c>
      <c r="D329" s="34">
        <v>-323956.90000000002</v>
      </c>
      <c r="E329" s="34">
        <f>1.18-34953.27+221.2</f>
        <v>-34730.89</v>
      </c>
      <c r="F329" s="34">
        <v>0</v>
      </c>
      <c r="G329" s="34">
        <v>360834.59</v>
      </c>
      <c r="H329" s="35">
        <v>-6993.84</v>
      </c>
      <c r="I329" s="26">
        <f>C329+D329+E329+F329+G329+H329+K329</f>
        <v>-1114593.3113866977</v>
      </c>
      <c r="J329" s="18"/>
      <c r="K329" s="19"/>
      <c r="N329" s="3"/>
    </row>
    <row r="330" spans="1:15" ht="15" hidden="1" x14ac:dyDescent="0.2">
      <c r="A330" s="24"/>
      <c r="B330" s="33" t="s">
        <v>25</v>
      </c>
      <c r="C330" s="18">
        <f>I329</f>
        <v>-1114593.3113866977</v>
      </c>
      <c r="D330" s="34">
        <v>-320540.44</v>
      </c>
      <c r="E330" s="34">
        <f>880.24</f>
        <v>880.24</v>
      </c>
      <c r="F330" s="34">
        <v>13049.7</v>
      </c>
      <c r="G330" s="34">
        <v>336366.04</v>
      </c>
      <c r="H330" s="35">
        <v>-6937.34</v>
      </c>
      <c r="I330" s="26">
        <f>C330+D330+E330+F330+G330+H330</f>
        <v>-1091775.1113866977</v>
      </c>
      <c r="J330" s="18"/>
      <c r="K330" s="19"/>
    </row>
    <row r="331" spans="1:15" ht="15" hidden="1" x14ac:dyDescent="0.2">
      <c r="A331" s="24"/>
      <c r="B331" s="33" t="s">
        <v>11</v>
      </c>
      <c r="C331" s="18">
        <f>I330</f>
        <v>-1091775.1113866977</v>
      </c>
      <c r="D331" s="34">
        <v>-325191.36</v>
      </c>
      <c r="E331" s="34">
        <f>3.85+110.03</f>
        <v>113.88</v>
      </c>
      <c r="F331" s="34">
        <v>0</v>
      </c>
      <c r="G331" s="34">
        <v>289574.38</v>
      </c>
      <c r="H331" s="35">
        <v>-6999.23</v>
      </c>
      <c r="I331" s="26">
        <f>C331+D331+E331+F331+G331+H331+K331</f>
        <v>-1134277.4413866978</v>
      </c>
      <c r="J331" s="18"/>
      <c r="K331" s="19">
        <v>0</v>
      </c>
      <c r="N331" s="3"/>
      <c r="O331" s="3" t="s">
        <v>19</v>
      </c>
    </row>
    <row r="332" spans="1:15" ht="15.75" hidden="1" x14ac:dyDescent="0.25">
      <c r="A332" s="24"/>
      <c r="B332" s="36" t="s">
        <v>84</v>
      </c>
      <c r="C332" s="18"/>
      <c r="D332" s="31">
        <f>SUM(D329:D331)</f>
        <v>-969688.70000000007</v>
      </c>
      <c r="E332" s="31">
        <f>SUM(E329:E331)</f>
        <v>-33736.770000000004</v>
      </c>
      <c r="F332" s="31">
        <f>SUM(F329:F331)</f>
        <v>13049.7</v>
      </c>
      <c r="G332" s="31">
        <f>SUM(G329:G331)</f>
        <v>986775.01</v>
      </c>
      <c r="H332" s="31">
        <f>SUM(H329:H331)</f>
        <v>-20930.41</v>
      </c>
      <c r="I332" s="26"/>
      <c r="J332" s="18"/>
      <c r="K332" s="19"/>
      <c r="N332" t="s">
        <v>19</v>
      </c>
    </row>
    <row r="333" spans="1:15" ht="15.75" hidden="1" x14ac:dyDescent="0.25">
      <c r="A333" s="24"/>
      <c r="B333" s="36"/>
      <c r="C333" s="18"/>
      <c r="D333" s="31"/>
      <c r="E333" s="31"/>
      <c r="F333" s="31"/>
      <c r="G333" s="31"/>
      <c r="H333" s="31"/>
      <c r="I333" s="26"/>
      <c r="J333" s="18"/>
      <c r="K333" s="19"/>
    </row>
    <row r="334" spans="1:15" ht="15" hidden="1" x14ac:dyDescent="0.2">
      <c r="A334" s="24" t="s">
        <v>19</v>
      </c>
      <c r="B334" s="33" t="s">
        <v>12</v>
      </c>
      <c r="C334" s="18">
        <f>I331</f>
        <v>-1134277.4413866978</v>
      </c>
      <c r="D334" s="34">
        <v>-323101.71000000002</v>
      </c>
      <c r="E334" s="34">
        <v>1.1599999999999999</v>
      </c>
      <c r="F334" s="34">
        <v>0</v>
      </c>
      <c r="G334" s="34">
        <v>285775.57</v>
      </c>
      <c r="H334" s="35">
        <v>-7273.09</v>
      </c>
      <c r="I334" s="26">
        <f>C334+D334+E334+F334+G334+H334+K334</f>
        <v>-1178875.5113866979</v>
      </c>
      <c r="J334" s="18"/>
      <c r="K334" s="19"/>
      <c r="N334" s="3"/>
    </row>
    <row r="335" spans="1:15" ht="15" hidden="1" x14ac:dyDescent="0.2">
      <c r="A335" s="24"/>
      <c r="B335" s="33" t="s">
        <v>13</v>
      </c>
      <c r="C335" s="18">
        <f>I334</f>
        <v>-1178875.5113866979</v>
      </c>
      <c r="D335" s="34">
        <v>-323117.86</v>
      </c>
      <c r="E335" s="34">
        <v>0</v>
      </c>
      <c r="F335" s="34">
        <v>0</v>
      </c>
      <c r="G335" s="34">
        <v>284068.46000000002</v>
      </c>
      <c r="H335" s="35">
        <v>-7559.87</v>
      </c>
      <c r="I335" s="26">
        <f>C335+D335+E335+F335+G335+H335</f>
        <v>-1225484.7813866981</v>
      </c>
      <c r="J335" s="18"/>
      <c r="K335" s="19"/>
    </row>
    <row r="336" spans="1:15" ht="15" hidden="1" x14ac:dyDescent="0.2">
      <c r="A336" s="24"/>
      <c r="B336" s="33" t="s">
        <v>14</v>
      </c>
      <c r="C336" s="18">
        <f>I335</f>
        <v>-1225484.7813866981</v>
      </c>
      <c r="D336" s="34">
        <v>-321877.69</v>
      </c>
      <c r="E336" s="34">
        <f>3.34+110.03</f>
        <v>113.37</v>
      </c>
      <c r="F336" s="34">
        <v>0</v>
      </c>
      <c r="G336" s="34">
        <v>290129.31</v>
      </c>
      <c r="H336" s="35">
        <v>-7830.51</v>
      </c>
      <c r="I336" s="26">
        <f>C336+D336+E336+F336+G336+H336+K336</f>
        <v>-1264950.3013866979</v>
      </c>
      <c r="J336" s="18"/>
      <c r="K336" s="19">
        <v>0</v>
      </c>
      <c r="N336" s="3"/>
      <c r="O336" s="3" t="s">
        <v>19</v>
      </c>
    </row>
    <row r="337" spans="1:15" ht="15.75" hidden="1" x14ac:dyDescent="0.25">
      <c r="A337" s="24"/>
      <c r="B337" s="36" t="s">
        <v>85</v>
      </c>
      <c r="C337" s="18"/>
      <c r="D337" s="31">
        <f>SUM(D334:D336)</f>
        <v>-968097.26</v>
      </c>
      <c r="E337" s="31">
        <f>SUM(E334:E336)</f>
        <v>114.53</v>
      </c>
      <c r="F337" s="31">
        <f>SUM(F334:F336)</f>
        <v>0</v>
      </c>
      <c r="G337" s="31">
        <f>SUM(G334:G336)</f>
        <v>859973.34000000008</v>
      </c>
      <c r="H337" s="31">
        <f>SUM(H334:H336)</f>
        <v>-22663.47</v>
      </c>
      <c r="I337" s="26"/>
      <c r="J337" s="18"/>
      <c r="K337" s="19"/>
      <c r="N337" t="s">
        <v>19</v>
      </c>
    </row>
    <row r="338" spans="1:15" ht="15.75" x14ac:dyDescent="0.25">
      <c r="A338" s="24"/>
      <c r="B338" s="21">
        <v>2015</v>
      </c>
      <c r="C338" s="37">
        <f>I318</f>
        <v>-2496696.9313867022</v>
      </c>
      <c r="D338" s="31">
        <f>D322+D327+D332+D337</f>
        <v>-2619572.09</v>
      </c>
      <c r="E338" s="31">
        <f>E322+E327+E332+E337</f>
        <v>-31101.140000000007</v>
      </c>
      <c r="F338" s="31">
        <f>F322+F327+F332+F337</f>
        <v>13049.7</v>
      </c>
      <c r="G338" s="31">
        <f>G322+G327+G332+G337</f>
        <v>3968609.3499999996</v>
      </c>
      <c r="H338" s="31">
        <f>H322+H327+H332+H337</f>
        <v>-99239.19</v>
      </c>
      <c r="I338" s="32">
        <f>SUM(C338:H338)</f>
        <v>-1264950.3013867014</v>
      </c>
      <c r="J338" s="18"/>
      <c r="K338" s="19"/>
    </row>
    <row r="339" spans="1:15" ht="15" hidden="1" x14ac:dyDescent="0.2">
      <c r="A339" s="24">
        <v>2016</v>
      </c>
      <c r="B339" s="17" t="s">
        <v>15</v>
      </c>
      <c r="C339" s="18">
        <f>I336</f>
        <v>-1264950.3013866979</v>
      </c>
      <c r="D339" s="34">
        <v>-324251.23</v>
      </c>
      <c r="E339" s="34">
        <f>1.18+188.26</f>
        <v>189.44</v>
      </c>
      <c r="F339" s="34">
        <v>0</v>
      </c>
      <c r="G339" s="34">
        <v>299746.84000000003</v>
      </c>
      <c r="H339" s="35">
        <v>-8056.38</v>
      </c>
      <c r="I339" s="26">
        <f>C339+D339+E339+F339+G339+H339+K339</f>
        <v>-1297321.6313866978</v>
      </c>
      <c r="J339" s="18"/>
      <c r="K339" s="19"/>
      <c r="N339" s="3"/>
    </row>
    <row r="340" spans="1:15" ht="15" hidden="1" x14ac:dyDescent="0.2">
      <c r="A340" s="24"/>
      <c r="B340" s="17" t="s">
        <v>16</v>
      </c>
      <c r="C340" s="18">
        <f>I339</f>
        <v>-1297321.6313866978</v>
      </c>
      <c r="D340" s="34">
        <v>-323219.28000000003</v>
      </c>
      <c r="E340" s="34">
        <f>188.26</f>
        <v>188.26</v>
      </c>
      <c r="F340" s="34">
        <v>0</v>
      </c>
      <c r="G340" s="34">
        <v>312837.59999999998</v>
      </c>
      <c r="H340" s="35">
        <v>-8216.0499999999993</v>
      </c>
      <c r="I340" s="26">
        <f>C340+D340+E340+F340+G340+H340</f>
        <v>-1315731.1013866977</v>
      </c>
      <c r="J340" s="18"/>
      <c r="K340" s="19"/>
    </row>
    <row r="341" spans="1:15" ht="15" hidden="1" x14ac:dyDescent="0.2">
      <c r="A341" s="24"/>
      <c r="B341" s="17" t="s">
        <v>17</v>
      </c>
      <c r="C341" s="18">
        <f>I340</f>
        <v>-1315731.1013866977</v>
      </c>
      <c r="D341" s="34">
        <v>-317037.78000000003</v>
      </c>
      <c r="E341" s="34">
        <f>290.36</f>
        <v>290.36</v>
      </c>
      <c r="F341" s="34">
        <v>0</v>
      </c>
      <c r="G341" s="34">
        <v>320493.64</v>
      </c>
      <c r="H341" s="35">
        <v>-4872.22</v>
      </c>
      <c r="I341" s="26">
        <f>C341+D341+E341+F341+G341+H341+K341</f>
        <v>-1316857.1013866977</v>
      </c>
      <c r="J341" s="18"/>
      <c r="K341" s="19">
        <v>0</v>
      </c>
      <c r="N341" s="3"/>
      <c r="O341" s="3" t="s">
        <v>19</v>
      </c>
    </row>
    <row r="342" spans="1:15" ht="15.75" hidden="1" x14ac:dyDescent="0.25">
      <c r="A342" s="24"/>
      <c r="B342" s="36" t="s">
        <v>86</v>
      </c>
      <c r="C342" s="18"/>
      <c r="D342" s="31">
        <f>SUM(D339:D341)</f>
        <v>-964508.29</v>
      </c>
      <c r="E342" s="31">
        <f>SUM(E339:E341)</f>
        <v>668.06</v>
      </c>
      <c r="F342" s="31">
        <f>SUM(F339:F341)</f>
        <v>0</v>
      </c>
      <c r="G342" s="31">
        <f>SUM(G339:G341)</f>
        <v>933078.08</v>
      </c>
      <c r="H342" s="31">
        <f>SUM(H339:H341)</f>
        <v>-21144.65</v>
      </c>
      <c r="I342" s="26"/>
      <c r="J342" s="18"/>
      <c r="K342" s="19"/>
      <c r="N342" t="s">
        <v>19</v>
      </c>
    </row>
    <row r="343" spans="1:15" ht="15.75" hidden="1" x14ac:dyDescent="0.25">
      <c r="A343" s="24"/>
      <c r="B343" s="16"/>
      <c r="C343" s="18"/>
      <c r="D343" s="31"/>
      <c r="E343" s="31"/>
      <c r="F343" s="31"/>
      <c r="G343" s="31"/>
      <c r="H343" s="31"/>
      <c r="I343" s="26"/>
      <c r="J343" s="18"/>
      <c r="K343" s="19"/>
    </row>
    <row r="344" spans="1:15" ht="15" hidden="1" x14ac:dyDescent="0.2">
      <c r="A344" s="24" t="s">
        <v>19</v>
      </c>
      <c r="B344" s="17" t="s">
        <v>20</v>
      </c>
      <c r="C344" s="18">
        <f>I341</f>
        <v>-1316857.1013866977</v>
      </c>
      <c r="D344" s="34">
        <v>-317385.86</v>
      </c>
      <c r="E344" s="34">
        <f>2.59+94.13</f>
        <v>96.72</v>
      </c>
      <c r="F344" s="34">
        <v>0</v>
      </c>
      <c r="G344" s="34">
        <v>332904.11</v>
      </c>
      <c r="H344" s="35">
        <v>-4854.3900000000003</v>
      </c>
      <c r="I344" s="26">
        <f>C344+D344+E344+F344+G344+H344+K344</f>
        <v>-1306096.5213866977</v>
      </c>
      <c r="J344" s="18"/>
      <c r="K344" s="19"/>
      <c r="N344" s="3"/>
    </row>
    <row r="345" spans="1:15" ht="15" hidden="1" x14ac:dyDescent="0.2">
      <c r="A345" s="24"/>
      <c r="B345" s="17" t="s">
        <v>21</v>
      </c>
      <c r="C345" s="18">
        <f>I344</f>
        <v>-1306096.5213866977</v>
      </c>
      <c r="D345" s="34">
        <v>-322881.68</v>
      </c>
      <c r="E345" s="34">
        <f>0.39+426.36</f>
        <v>426.75</v>
      </c>
      <c r="F345" s="34">
        <v>0</v>
      </c>
      <c r="G345" s="34">
        <v>339096.79</v>
      </c>
      <c r="H345" s="35">
        <v>-4812.58</v>
      </c>
      <c r="I345" s="26">
        <f>C345+D345+E345+F345+G345+H345</f>
        <v>-1294267.2413866976</v>
      </c>
      <c r="J345" s="18"/>
      <c r="K345" s="19"/>
    </row>
    <row r="346" spans="1:15" ht="15" hidden="1" x14ac:dyDescent="0.2">
      <c r="A346" s="24"/>
      <c r="B346" s="17" t="s">
        <v>22</v>
      </c>
      <c r="C346" s="18">
        <f>I345</f>
        <v>-1294267.2413866976</v>
      </c>
      <c r="D346" s="34">
        <v>-322433.09000000003</v>
      </c>
      <c r="E346" s="34">
        <f>1.18+376.52-39850.53</f>
        <v>-39472.83</v>
      </c>
      <c r="F346" s="34">
        <v>0</v>
      </c>
      <c r="G346" s="34">
        <v>334113.65000000002</v>
      </c>
      <c r="H346" s="35">
        <v>-4777.21</v>
      </c>
      <c r="I346" s="26">
        <f>C346+D346+E346+F346+G346+H346+K346</f>
        <v>-1326836.7213866976</v>
      </c>
      <c r="J346" s="18"/>
      <c r="K346" s="19">
        <v>0</v>
      </c>
      <c r="N346" s="3"/>
      <c r="O346" s="3" t="s">
        <v>19</v>
      </c>
    </row>
    <row r="347" spans="1:15" ht="15.75" hidden="1" x14ac:dyDescent="0.25">
      <c r="A347" s="24"/>
      <c r="B347" s="36" t="s">
        <v>87</v>
      </c>
      <c r="C347" s="18"/>
      <c r="D347" s="31">
        <f>SUM(D344:D346)</f>
        <v>-962700.63000000012</v>
      </c>
      <c r="E347" s="31">
        <f>SUM(E344:E346)</f>
        <v>-38949.360000000001</v>
      </c>
      <c r="F347" s="31">
        <f>SUM(F344:F346)</f>
        <v>0</v>
      </c>
      <c r="G347" s="31">
        <f>SUM(G344:G346)</f>
        <v>1006114.5499999999</v>
      </c>
      <c r="H347" s="31">
        <f>SUM(H344:H346)</f>
        <v>-14444.18</v>
      </c>
      <c r="I347" s="26"/>
      <c r="J347" s="18"/>
      <c r="K347" s="19"/>
      <c r="N347" t="s">
        <v>19</v>
      </c>
    </row>
    <row r="348" spans="1:15" ht="15.75" hidden="1" x14ac:dyDescent="0.25">
      <c r="A348" s="24"/>
      <c r="B348" s="16"/>
      <c r="C348" s="18"/>
      <c r="D348" s="31"/>
      <c r="E348" s="31"/>
      <c r="F348" s="31"/>
      <c r="G348" s="31"/>
      <c r="H348" s="31"/>
      <c r="I348" s="26"/>
      <c r="J348" s="18"/>
      <c r="K348" s="19"/>
    </row>
    <row r="349" spans="1:15" ht="15" hidden="1" x14ac:dyDescent="0.2">
      <c r="A349" s="24" t="s">
        <v>19</v>
      </c>
      <c r="B349" s="17" t="s">
        <v>24</v>
      </c>
      <c r="C349" s="18">
        <f>I346</f>
        <v>-1326836.7213866976</v>
      </c>
      <c r="D349" s="34">
        <v>-324749.68</v>
      </c>
      <c r="E349" s="34">
        <f>0.84+600.37</f>
        <v>601.21</v>
      </c>
      <c r="F349" s="34">
        <v>0</v>
      </c>
      <c r="G349" s="34">
        <v>335783.08</v>
      </c>
      <c r="H349" s="35">
        <f>-4898.78</f>
        <v>-4898.78</v>
      </c>
      <c r="I349" s="26">
        <f>C349+D349+E349+F349+G349+H349+K349</f>
        <v>-1320100.8913866975</v>
      </c>
      <c r="J349" s="18"/>
      <c r="K349" s="19"/>
      <c r="N349" s="3"/>
    </row>
    <row r="350" spans="1:15" ht="15" hidden="1" x14ac:dyDescent="0.2">
      <c r="A350" s="24"/>
      <c r="B350" s="17" t="s">
        <v>25</v>
      </c>
      <c r="C350" s="18">
        <f>I349</f>
        <v>-1320100.8913866975</v>
      </c>
      <c r="D350" s="34">
        <v>-326298.65000000002</v>
      </c>
      <c r="E350" s="34">
        <f>470.65</f>
        <v>470.65</v>
      </c>
      <c r="F350" s="34">
        <v>0</v>
      </c>
      <c r="G350" s="34">
        <v>305612.76</v>
      </c>
      <c r="H350" s="35">
        <f>-4932.85</f>
        <v>-4932.8500000000004</v>
      </c>
      <c r="I350" s="26">
        <f>C350+D350+E350+F350+G350+H350</f>
        <v>-1345248.9813866976</v>
      </c>
      <c r="J350" s="18"/>
      <c r="K350" s="19"/>
    </row>
    <row r="351" spans="1:15" ht="15" hidden="1" x14ac:dyDescent="0.2">
      <c r="A351" s="24"/>
      <c r="B351" s="17" t="s">
        <v>11</v>
      </c>
      <c r="C351" s="18">
        <f>I350</f>
        <v>-1345248.9813866976</v>
      </c>
      <c r="D351" s="34">
        <v>-326815.12</v>
      </c>
      <c r="E351" s="34">
        <f>1.32+282.39</f>
        <v>283.70999999999998</v>
      </c>
      <c r="F351" s="34">
        <v>0</v>
      </c>
      <c r="G351" s="34">
        <v>266665.83</v>
      </c>
      <c r="H351" s="35">
        <f>-5099.63</f>
        <v>-5099.63</v>
      </c>
      <c r="I351" s="26">
        <f>C351+D351+E351+F351+G351+H351+K351</f>
        <v>-1410214.1913866973</v>
      </c>
      <c r="J351" s="18"/>
      <c r="K351" s="19">
        <v>0</v>
      </c>
      <c r="N351" s="3"/>
      <c r="O351" s="3" t="s">
        <v>19</v>
      </c>
    </row>
    <row r="352" spans="1:15" ht="15.75" hidden="1" x14ac:dyDescent="0.25">
      <c r="A352" s="24"/>
      <c r="B352" s="36" t="s">
        <v>88</v>
      </c>
      <c r="C352" s="18"/>
      <c r="D352" s="31">
        <f>SUM(D349:D351)</f>
        <v>-977863.45000000007</v>
      </c>
      <c r="E352" s="31">
        <f>SUM(E349:E351)</f>
        <v>1355.5700000000002</v>
      </c>
      <c r="F352" s="31">
        <f>SUM(F349:F351)</f>
        <v>0</v>
      </c>
      <c r="G352" s="31">
        <f>SUM(G349:G351)</f>
        <v>908061.67000000016</v>
      </c>
      <c r="H352" s="31">
        <f>SUM(H349:H351)</f>
        <v>-14931.260000000002</v>
      </c>
      <c r="I352" s="26"/>
      <c r="J352" s="18"/>
      <c r="K352" s="19"/>
      <c r="N352" t="s">
        <v>19</v>
      </c>
    </row>
    <row r="353" spans="1:15" ht="15.75" hidden="1" x14ac:dyDescent="0.25">
      <c r="A353" s="24"/>
      <c r="B353" s="16"/>
      <c r="C353" s="18"/>
      <c r="D353" s="31"/>
      <c r="E353" s="31"/>
      <c r="F353" s="31"/>
      <c r="G353" s="31"/>
      <c r="H353" s="31"/>
      <c r="I353" s="26"/>
      <c r="J353" s="18"/>
      <c r="K353" s="19"/>
    </row>
    <row r="354" spans="1:15" ht="15" hidden="1" x14ac:dyDescent="0.2">
      <c r="A354" s="24" t="s">
        <v>19</v>
      </c>
      <c r="B354" s="17" t="s">
        <v>12</v>
      </c>
      <c r="C354" s="18">
        <f>I351</f>
        <v>-1410214.1913866973</v>
      </c>
      <c r="D354" s="34">
        <v>-329035.01</v>
      </c>
      <c r="E354" s="34">
        <v>291.52</v>
      </c>
      <c r="F354" s="34">
        <v>21905.07</v>
      </c>
      <c r="G354" s="34">
        <v>262765.59000000003</v>
      </c>
      <c r="H354" s="35">
        <f>-5311.26</f>
        <v>-5311.26</v>
      </c>
      <c r="I354" s="26">
        <f>C354+D354+E354+F354+G354+H354+K354</f>
        <v>-1459598.2813866972</v>
      </c>
      <c r="J354" s="18"/>
      <c r="K354" s="19"/>
      <c r="N354" s="3"/>
    </row>
    <row r="355" spans="1:15" ht="15" hidden="1" x14ac:dyDescent="0.2">
      <c r="A355" s="24"/>
      <c r="B355" s="17" t="s">
        <v>13</v>
      </c>
      <c r="C355" s="18">
        <f>I354</f>
        <v>-1459598.2813866972</v>
      </c>
      <c r="D355" s="34">
        <v>-324507.34000000003</v>
      </c>
      <c r="E355" s="34">
        <f>1.18+145.76</f>
        <v>146.94</v>
      </c>
      <c r="F355" s="34">
        <v>0</v>
      </c>
      <c r="G355" s="34">
        <v>265908.64</v>
      </c>
      <c r="H355" s="35">
        <f>-5521.05</f>
        <v>-5521.05</v>
      </c>
      <c r="I355" s="26">
        <f>C355+D355+E355+F355+G355+H355</f>
        <v>-1523571.0913866975</v>
      </c>
      <c r="J355" s="18"/>
      <c r="K355" s="19"/>
    </row>
    <row r="356" spans="1:15" ht="15" hidden="1" x14ac:dyDescent="0.2">
      <c r="A356" s="24"/>
      <c r="B356" s="17" t="s">
        <v>14</v>
      </c>
      <c r="C356" s="18">
        <f>I355</f>
        <v>-1523571.0913866975</v>
      </c>
      <c r="D356" s="34">
        <v>-326032.57</v>
      </c>
      <c r="E356" s="34">
        <f>2.59+257.66</f>
        <v>260.25</v>
      </c>
      <c r="F356" s="34">
        <v>0</v>
      </c>
      <c r="G356" s="34">
        <v>273359.52</v>
      </c>
      <c r="H356" s="35">
        <f>-5747.09</f>
        <v>-5747.09</v>
      </c>
      <c r="I356" s="26">
        <f>C356+D356+E356+F356+G356+H356+K356</f>
        <v>-1581730.9813866976</v>
      </c>
      <c r="J356" s="18"/>
      <c r="K356" s="19">
        <v>0</v>
      </c>
      <c r="N356" s="3"/>
      <c r="O356" s="3" t="s">
        <v>19</v>
      </c>
    </row>
    <row r="357" spans="1:15" ht="15.75" hidden="1" x14ac:dyDescent="0.25">
      <c r="A357" s="24"/>
      <c r="B357" s="36" t="s">
        <v>89</v>
      </c>
      <c r="C357" s="18"/>
      <c r="D357" s="31">
        <f>SUM(D354:D356)</f>
        <v>-979574.92000000016</v>
      </c>
      <c r="E357" s="31">
        <f>SUM(E354:E356)</f>
        <v>698.71</v>
      </c>
      <c r="F357" s="31">
        <f>SUM(F354:F356)</f>
        <v>21905.07</v>
      </c>
      <c r="G357" s="31">
        <f>SUM(G354:G356)</f>
        <v>802033.75</v>
      </c>
      <c r="H357" s="31">
        <f>SUM(H354:H356)</f>
        <v>-16579.400000000001</v>
      </c>
      <c r="I357" s="26"/>
      <c r="J357" s="18"/>
      <c r="K357" s="19"/>
      <c r="N357" t="s">
        <v>19</v>
      </c>
    </row>
    <row r="358" spans="1:15" ht="15.75" x14ac:dyDescent="0.25">
      <c r="A358" s="24"/>
      <c r="B358" s="21">
        <v>2016</v>
      </c>
      <c r="C358" s="37">
        <f>I338</f>
        <v>-1264950.3013867014</v>
      </c>
      <c r="D358" s="31">
        <f>D342+D347+D352+D357</f>
        <v>-3884647.29</v>
      </c>
      <c r="E358" s="31">
        <f>E342+E347+E352+E357</f>
        <v>-36227.020000000004</v>
      </c>
      <c r="F358" s="31">
        <f>F342+F347+F352+F357</f>
        <v>21905.07</v>
      </c>
      <c r="G358" s="31">
        <f>G342+G347+G352+G357</f>
        <v>3649288.05</v>
      </c>
      <c r="H358" s="31">
        <f>H342+H347+H352+H357</f>
        <v>-67099.490000000005</v>
      </c>
      <c r="I358" s="32">
        <f>SUM(C358:H358)</f>
        <v>-1581730.9813867013</v>
      </c>
      <c r="J358" s="18"/>
      <c r="K358" s="19"/>
    </row>
    <row r="359" spans="1:15" ht="15.75" hidden="1" x14ac:dyDescent="0.25">
      <c r="A359" s="24"/>
      <c r="B359" s="16"/>
      <c r="C359" s="18"/>
      <c r="D359" s="31"/>
      <c r="E359" s="31"/>
      <c r="F359" s="31"/>
      <c r="G359" s="31"/>
      <c r="H359" s="31"/>
      <c r="I359" s="26"/>
      <c r="J359" s="18"/>
      <c r="K359" s="19"/>
    </row>
    <row r="360" spans="1:15" ht="15" hidden="1" x14ac:dyDescent="0.2">
      <c r="A360" s="24">
        <v>2017</v>
      </c>
      <c r="B360" s="17" t="s">
        <v>15</v>
      </c>
      <c r="C360" s="18">
        <f>I356</f>
        <v>-1581730.9813866976</v>
      </c>
      <c r="D360" s="34">
        <v>-326191.32</v>
      </c>
      <c r="E360" s="34">
        <f>1.18+554.82</f>
        <v>556</v>
      </c>
      <c r="F360" s="34">
        <v>0</v>
      </c>
      <c r="G360" s="34">
        <v>282561.75</v>
      </c>
      <c r="H360" s="35">
        <f>-5945.45</f>
        <v>-5945.45</v>
      </c>
      <c r="I360" s="26">
        <f>C360+D360+E360+F360+G360+H360+K360</f>
        <v>-1630750.0013866976</v>
      </c>
      <c r="J360" s="18"/>
      <c r="K360" s="19"/>
      <c r="N360" s="3"/>
    </row>
    <row r="361" spans="1:15" ht="15" hidden="1" x14ac:dyDescent="0.2">
      <c r="A361" s="24"/>
      <c r="B361" s="17" t="s">
        <v>16</v>
      </c>
      <c r="C361" s="18">
        <f>I360</f>
        <v>-1630750.0013866976</v>
      </c>
      <c r="D361" s="34">
        <v>-325868.94</v>
      </c>
      <c r="E361" s="34">
        <f>0.65-41.67+563.1</f>
        <v>522.08000000000004</v>
      </c>
      <c r="F361" s="34">
        <v>0</v>
      </c>
      <c r="G361" s="34">
        <v>295467.63</v>
      </c>
      <c r="H361" s="35">
        <f>-6102.76</f>
        <v>-6102.76</v>
      </c>
      <c r="I361" s="26">
        <f>C361+D361+E361+F361+G361+H361</f>
        <v>-1666731.9913866974</v>
      </c>
      <c r="J361" s="18"/>
      <c r="K361" s="19" t="s">
        <v>19</v>
      </c>
    </row>
    <row r="362" spans="1:15" ht="15" hidden="1" x14ac:dyDescent="0.2">
      <c r="A362" s="24"/>
      <c r="B362" s="17" t="s">
        <v>17</v>
      </c>
      <c r="C362" s="18">
        <f>I361</f>
        <v>-1666731.9913866974</v>
      </c>
      <c r="D362" s="34">
        <v>-324406.52</v>
      </c>
      <c r="E362" s="34">
        <f>41.67+187.7</f>
        <v>229.37</v>
      </c>
      <c r="F362" s="34">
        <v>0</v>
      </c>
      <c r="G362" s="34">
        <v>309555.89</v>
      </c>
      <c r="H362" s="35">
        <f>54447.2-5655.08</f>
        <v>48792.119999999995</v>
      </c>
      <c r="I362" s="26">
        <f>C362+D362+E362+F362+G362+H362+K362</f>
        <v>-1632561.1313866973</v>
      </c>
      <c r="J362" s="18"/>
      <c r="K362" s="19">
        <v>0</v>
      </c>
      <c r="N362" s="3"/>
      <c r="O362" s="3" t="s">
        <v>19</v>
      </c>
    </row>
    <row r="363" spans="1:15" ht="15.75" hidden="1" x14ac:dyDescent="0.25">
      <c r="A363" s="24"/>
      <c r="B363" s="36" t="s">
        <v>90</v>
      </c>
      <c r="C363" s="18" t="s">
        <v>19</v>
      </c>
      <c r="D363" s="31">
        <f>SUM(D360:D362)</f>
        <v>-976466.78</v>
      </c>
      <c r="E363" s="31">
        <f>SUM(E360:E362)</f>
        <v>1307.4499999999998</v>
      </c>
      <c r="F363" s="31">
        <f>SUM(F360:F362)</f>
        <v>0</v>
      </c>
      <c r="G363" s="31">
        <f>SUM(G360:G362)</f>
        <v>887585.27</v>
      </c>
      <c r="H363" s="31">
        <f>SUM(H360:H362)</f>
        <v>36743.909999999996</v>
      </c>
      <c r="I363" s="26"/>
      <c r="J363" s="18"/>
      <c r="K363" s="19"/>
      <c r="N363" t="s">
        <v>19</v>
      </c>
    </row>
    <row r="364" spans="1:15" ht="15.75" hidden="1" x14ac:dyDescent="0.25">
      <c r="A364" s="24"/>
      <c r="B364" s="36"/>
      <c r="C364" s="18"/>
      <c r="D364" s="31"/>
      <c r="E364" s="31"/>
      <c r="F364" s="31"/>
      <c r="G364" s="31"/>
      <c r="H364" s="31"/>
      <c r="I364" s="26"/>
      <c r="J364" s="18"/>
      <c r="K364" s="19"/>
    </row>
    <row r="365" spans="1:15" ht="15" hidden="1" x14ac:dyDescent="0.2">
      <c r="A365" s="24" t="s">
        <v>19</v>
      </c>
      <c r="B365" s="17" t="s">
        <v>20</v>
      </c>
      <c r="C365" s="18">
        <f>I362</f>
        <v>-1632561.1313866973</v>
      </c>
      <c r="D365" s="34">
        <v>-324797.21000000002</v>
      </c>
      <c r="E365" s="34">
        <f>1.18+352.65</f>
        <v>353.83</v>
      </c>
      <c r="F365" s="34">
        <v>0</v>
      </c>
      <c r="G365" s="34">
        <v>305287.96000000002</v>
      </c>
      <c r="H365" s="35">
        <v>-5733.79</v>
      </c>
      <c r="I365" s="26">
        <f>C365+D365+E365+F365+G365+H365+K365</f>
        <v>-1657450.3413866973</v>
      </c>
      <c r="J365" s="18"/>
      <c r="K365" s="19"/>
      <c r="N365" s="3"/>
    </row>
    <row r="366" spans="1:15" ht="15" hidden="1" x14ac:dyDescent="0.2">
      <c r="A366" s="24"/>
      <c r="B366" s="17" t="s">
        <v>21</v>
      </c>
      <c r="C366" s="18">
        <f>I365</f>
        <v>-1657450.3413866973</v>
      </c>
      <c r="D366" s="34">
        <v>-293336.21000000002</v>
      </c>
      <c r="E366" s="34">
        <f>-43.33+159.63</f>
        <v>116.3</v>
      </c>
      <c r="F366" s="34">
        <v>0</v>
      </c>
      <c r="G366" s="34">
        <v>302479.53999999998</v>
      </c>
      <c r="H366" s="35">
        <v>-5771.09</v>
      </c>
      <c r="I366" s="26">
        <f>C366+D366+E366+F366+G366+H366</f>
        <v>-1653961.8013866972</v>
      </c>
      <c r="J366" s="18"/>
      <c r="K366" s="19"/>
    </row>
    <row r="367" spans="1:15" ht="15" hidden="1" x14ac:dyDescent="0.2">
      <c r="A367" s="24"/>
      <c r="B367" s="17" t="s">
        <v>22</v>
      </c>
      <c r="C367" s="18">
        <f>I366</f>
        <v>-1653961.8013866972</v>
      </c>
      <c r="D367" s="34">
        <v>-258045.85</v>
      </c>
      <c r="E367" s="34">
        <f>2.36</f>
        <v>2.36</v>
      </c>
      <c r="F367" s="34">
        <v>0</v>
      </c>
      <c r="G367" s="34">
        <v>297499.34000000003</v>
      </c>
      <c r="H367" s="35">
        <v>-5706.19</v>
      </c>
      <c r="I367" s="26">
        <f>C367+D367+E367+F367+G367+H367+K367</f>
        <v>-1620212.1413866971</v>
      </c>
      <c r="J367" s="18"/>
      <c r="K367" s="19">
        <v>0</v>
      </c>
      <c r="N367" s="3"/>
      <c r="O367" s="3" t="s">
        <v>19</v>
      </c>
    </row>
    <row r="368" spans="1:15" ht="15.75" hidden="1" x14ac:dyDescent="0.25">
      <c r="A368" s="24"/>
      <c r="B368" s="36" t="s">
        <v>91</v>
      </c>
      <c r="C368" s="18" t="s">
        <v>19</v>
      </c>
      <c r="D368" s="31">
        <f>SUM(D365:D367)</f>
        <v>-876179.27</v>
      </c>
      <c r="E368" s="31">
        <f>SUM(E365:E367)</f>
        <v>472.49</v>
      </c>
      <c r="F368" s="31">
        <f>SUM(F365:F367)</f>
        <v>0</v>
      </c>
      <c r="G368" s="31">
        <f>SUM(G365:G367)</f>
        <v>905266.84000000008</v>
      </c>
      <c r="H368" s="31">
        <f>SUM(H365:H367)</f>
        <v>-17211.07</v>
      </c>
      <c r="I368" s="26"/>
      <c r="J368" s="18"/>
      <c r="K368" s="19"/>
      <c r="N368" t="s">
        <v>19</v>
      </c>
    </row>
    <row r="369" spans="1:15" ht="15.75" hidden="1" x14ac:dyDescent="0.25">
      <c r="A369" s="24"/>
      <c r="B369" s="36"/>
      <c r="C369" s="18"/>
      <c r="D369" s="31"/>
      <c r="E369" s="31"/>
      <c r="F369" s="31"/>
      <c r="G369" s="31"/>
      <c r="H369" s="31"/>
      <c r="I369" s="26"/>
      <c r="J369" s="18"/>
      <c r="K369" s="19"/>
    </row>
    <row r="370" spans="1:15" ht="15" hidden="1" x14ac:dyDescent="0.2">
      <c r="A370" s="24" t="s">
        <v>19</v>
      </c>
      <c r="B370" s="17" t="s">
        <v>24</v>
      </c>
      <c r="C370" s="18">
        <f>I367</f>
        <v>-1620212.1413866971</v>
      </c>
      <c r="D370" s="34">
        <v>-258428.78</v>
      </c>
      <c r="E370" s="34">
        <f>3.54+427.05</f>
        <v>430.59000000000003</v>
      </c>
      <c r="F370" s="34">
        <v>0</v>
      </c>
      <c r="G370" s="34">
        <v>293556.95</v>
      </c>
      <c r="H370" s="35">
        <v>-5595.15</v>
      </c>
      <c r="I370" s="26">
        <f>C370+D370+E370+F370+G370+H370+K370</f>
        <v>-1590248.531386697</v>
      </c>
      <c r="J370" s="18"/>
      <c r="K370" s="19"/>
      <c r="N370" s="3"/>
    </row>
    <row r="371" spans="1:15" ht="15" hidden="1" x14ac:dyDescent="0.2">
      <c r="A371" s="24"/>
      <c r="B371" s="17" t="s">
        <v>25</v>
      </c>
      <c r="C371" s="18">
        <f>I370</f>
        <v>-1590248.531386697</v>
      </c>
      <c r="D371" s="34">
        <v>-257793.05</v>
      </c>
      <c r="E371" s="34">
        <f>-1.18+344.04</f>
        <v>342.86</v>
      </c>
      <c r="F371" s="34">
        <v>21478.01</v>
      </c>
      <c r="G371" s="34">
        <v>275916.19</v>
      </c>
      <c r="H371" s="35">
        <v>-5482.87</v>
      </c>
      <c r="I371" s="26">
        <f>C371+D371+E371+F371+G371+H371</f>
        <v>-1555787.3913866971</v>
      </c>
      <c r="J371" s="18"/>
      <c r="K371" s="19"/>
    </row>
    <row r="372" spans="1:15" ht="15" hidden="1" x14ac:dyDescent="0.2">
      <c r="A372" s="24"/>
      <c r="B372" s="17" t="s">
        <v>11</v>
      </c>
      <c r="C372" s="18">
        <f>I371</f>
        <v>-1555787.3913866971</v>
      </c>
      <c r="D372" s="34">
        <v>-255747.06</v>
      </c>
      <c r="E372" s="34">
        <f>688.08-441.67</f>
        <v>246.41000000000003</v>
      </c>
      <c r="F372" s="34">
        <v>0</v>
      </c>
      <c r="G372" s="34">
        <v>329061.5</v>
      </c>
      <c r="H372" s="35">
        <v>-5303.08</v>
      </c>
      <c r="I372" s="26">
        <f>C372+D372+E372+F372+G372+H372+K372</f>
        <v>-1487529.6213866973</v>
      </c>
      <c r="J372" s="18"/>
      <c r="K372" s="19">
        <v>0</v>
      </c>
      <c r="N372" s="3"/>
      <c r="O372" s="3" t="s">
        <v>19</v>
      </c>
    </row>
    <row r="373" spans="1:15" ht="15.75" hidden="1" x14ac:dyDescent="0.25">
      <c r="A373" s="24"/>
      <c r="B373" s="36" t="s">
        <v>92</v>
      </c>
      <c r="C373" s="18" t="s">
        <v>19</v>
      </c>
      <c r="D373" s="31">
        <f>SUM(D370:D372)</f>
        <v>-771968.8899999999</v>
      </c>
      <c r="E373" s="31">
        <f>SUM(E370:E372)</f>
        <v>1019.8600000000001</v>
      </c>
      <c r="F373" s="31">
        <f>SUM(F370:F372)</f>
        <v>21478.01</v>
      </c>
      <c r="G373" s="31">
        <f>SUM(G370:G372)</f>
        <v>898534.64</v>
      </c>
      <c r="H373" s="31">
        <f>SUM(H370:H372)</f>
        <v>-16381.1</v>
      </c>
      <c r="I373" s="26"/>
      <c r="J373" s="18"/>
      <c r="K373" s="19"/>
      <c r="N373" t="s">
        <v>19</v>
      </c>
    </row>
    <row r="374" spans="1:15" ht="15.75" hidden="1" x14ac:dyDescent="0.25">
      <c r="A374" s="24"/>
      <c r="B374" s="36"/>
      <c r="C374" s="18"/>
      <c r="D374" s="31"/>
      <c r="E374" s="31"/>
      <c r="F374" s="31"/>
      <c r="G374" s="31"/>
      <c r="H374" s="31"/>
      <c r="I374" s="26"/>
      <c r="J374" s="18"/>
      <c r="K374" s="19"/>
    </row>
    <row r="375" spans="1:15" ht="15" hidden="1" x14ac:dyDescent="0.2">
      <c r="A375" s="24" t="s">
        <v>19</v>
      </c>
      <c r="B375" s="17" t="s">
        <v>12</v>
      </c>
      <c r="C375" s="18">
        <f>I372</f>
        <v>-1487529.6213866973</v>
      </c>
      <c r="D375" s="34">
        <v>-259397.97</v>
      </c>
      <c r="E375" s="34">
        <f>1.18-50-56493.72+430.05</f>
        <v>-56112.49</v>
      </c>
      <c r="F375" s="34">
        <v>0</v>
      </c>
      <c r="G375" s="34">
        <v>246897.69</v>
      </c>
      <c r="H375" s="35">
        <v>-5313.73</v>
      </c>
      <c r="I375" s="26">
        <f>C375+D375+E375+F375+G375+H375+K375</f>
        <v>-1561456.1213866973</v>
      </c>
      <c r="J375" s="18"/>
      <c r="K375" s="19"/>
      <c r="N375" s="3"/>
    </row>
    <row r="376" spans="1:15" ht="15" hidden="1" x14ac:dyDescent="0.2">
      <c r="A376" s="24"/>
      <c r="B376" s="17" t="s">
        <v>13</v>
      </c>
      <c r="C376" s="18">
        <f>I375</f>
        <v>-1561456.1213866973</v>
      </c>
      <c r="D376" s="34">
        <v>-258990.14</v>
      </c>
      <c r="E376" s="34">
        <f>-1.18-50+86.01</f>
        <v>34.830000000000005</v>
      </c>
      <c r="F376" s="34">
        <v>0</v>
      </c>
      <c r="G376" s="34">
        <v>250023</v>
      </c>
      <c r="H376" s="35">
        <v>-5467.67</v>
      </c>
      <c r="I376" s="26">
        <f>C376+D376+E376+F376+G376+H376</f>
        <v>-1575856.101386697</v>
      </c>
      <c r="J376" s="18"/>
      <c r="K376" s="19"/>
    </row>
    <row r="377" spans="1:15" ht="15" hidden="1" x14ac:dyDescent="0.2">
      <c r="A377" s="24"/>
      <c r="B377" s="17" t="s">
        <v>14</v>
      </c>
      <c r="C377" s="18">
        <f>I376</f>
        <v>-1575856.101386697</v>
      </c>
      <c r="D377" s="34">
        <v>-257516.71</v>
      </c>
      <c r="E377" s="34">
        <f>-50+172.02</f>
        <v>122.02000000000001</v>
      </c>
      <c r="F377" s="34">
        <v>0</v>
      </c>
      <c r="G377" s="34">
        <v>260333.02</v>
      </c>
      <c r="H377" s="35">
        <v>-5497.22</v>
      </c>
      <c r="I377" s="26">
        <f>C377+D377+E377+F377+G377+H377+K377</f>
        <v>-1578414.9913866969</v>
      </c>
      <c r="J377" s="18"/>
      <c r="K377" s="19">
        <v>0</v>
      </c>
      <c r="N377" s="3"/>
      <c r="O377" s="3" t="s">
        <v>19</v>
      </c>
    </row>
    <row r="378" spans="1:15" ht="15.75" hidden="1" x14ac:dyDescent="0.25">
      <c r="A378" s="24"/>
      <c r="B378" s="36" t="s">
        <v>93</v>
      </c>
      <c r="C378" s="18" t="s">
        <v>19</v>
      </c>
      <c r="D378" s="31">
        <f>SUM(D375:D377)</f>
        <v>-775904.82</v>
      </c>
      <c r="E378" s="31">
        <f>SUM(E375:E377)</f>
        <v>-55955.64</v>
      </c>
      <c r="F378" s="31">
        <f>SUM(F375:F377)</f>
        <v>0</v>
      </c>
      <c r="G378" s="31">
        <f>SUM(G375:G377)</f>
        <v>757253.71</v>
      </c>
      <c r="H378" s="31">
        <f>SUM(H375:H377)</f>
        <v>-16278.619999999999</v>
      </c>
      <c r="I378" s="26"/>
      <c r="J378" s="18"/>
      <c r="K378" s="19"/>
      <c r="N378" t="s">
        <v>19</v>
      </c>
    </row>
    <row r="379" spans="1:15" ht="15.75" x14ac:dyDescent="0.25">
      <c r="A379" s="24"/>
      <c r="B379" s="21">
        <v>2017</v>
      </c>
      <c r="C379" s="37">
        <f>I356</f>
        <v>-1581730.9813866976</v>
      </c>
      <c r="D379" s="31">
        <f>D363+D368+D373+D378</f>
        <v>-3400519.76</v>
      </c>
      <c r="E379" s="31">
        <f>E363+E368+E373+E378</f>
        <v>-53155.839999999997</v>
      </c>
      <c r="F379" s="31">
        <f>F363+F368+F373+F378</f>
        <v>21478.01</v>
      </c>
      <c r="G379" s="31">
        <f>G363+G368+G373+G378</f>
        <v>3448640.46</v>
      </c>
      <c r="H379" s="31">
        <f>H363+H368+H373+H378</f>
        <v>-13126.880000000003</v>
      </c>
      <c r="I379" s="32">
        <f>SUM(C379:H379)</f>
        <v>-1578414.9913866976</v>
      </c>
      <c r="J379" s="18"/>
      <c r="K379" s="19"/>
    </row>
    <row r="380" spans="1:15" ht="15.75" hidden="1" x14ac:dyDescent="0.25">
      <c r="A380" s="24"/>
      <c r="B380" s="21"/>
      <c r="C380" s="37"/>
      <c r="D380" s="31"/>
      <c r="E380" s="31"/>
      <c r="F380" s="31"/>
      <c r="G380" s="31"/>
      <c r="H380" s="31"/>
      <c r="I380" s="32"/>
      <c r="J380" s="18"/>
      <c r="K380" s="19"/>
    </row>
    <row r="381" spans="1:15" ht="15" hidden="1" customHeight="1" x14ac:dyDescent="0.25">
      <c r="A381" s="82"/>
      <c r="B381" s="17"/>
      <c r="C381" s="20" t="s">
        <v>4</v>
      </c>
      <c r="D381" s="18"/>
      <c r="E381" s="20" t="s">
        <v>5</v>
      </c>
      <c r="F381" s="20" t="s">
        <v>5</v>
      </c>
      <c r="G381" s="20" t="s">
        <v>6</v>
      </c>
      <c r="H381" s="18"/>
      <c r="I381" s="20" t="s">
        <v>7</v>
      </c>
      <c r="J381" s="18"/>
      <c r="K381" s="19"/>
    </row>
    <row r="382" spans="1:15" ht="15" hidden="1" customHeight="1" x14ac:dyDescent="0.25">
      <c r="A382" s="21" t="s">
        <v>8</v>
      </c>
      <c r="B382" s="16" t="s">
        <v>32</v>
      </c>
      <c r="C382" s="20" t="s">
        <v>10</v>
      </c>
      <c r="D382" s="22" t="s">
        <v>150</v>
      </c>
      <c r="E382" s="23" t="s">
        <v>151</v>
      </c>
      <c r="F382" s="23" t="s">
        <v>156</v>
      </c>
      <c r="G382" s="23" t="s">
        <v>153</v>
      </c>
      <c r="H382" s="23" t="s">
        <v>154</v>
      </c>
      <c r="I382" s="23" t="s">
        <v>155</v>
      </c>
      <c r="J382" s="18"/>
      <c r="K382" s="19"/>
    </row>
    <row r="383" spans="1:15" ht="15.75" hidden="1" x14ac:dyDescent="0.25">
      <c r="A383" s="24"/>
      <c r="B383" s="16"/>
      <c r="C383" s="18"/>
      <c r="D383" s="31"/>
      <c r="E383" s="31"/>
      <c r="F383" s="31"/>
      <c r="G383" s="31"/>
      <c r="H383" s="31"/>
      <c r="I383" s="26"/>
      <c r="J383" s="18"/>
      <c r="K383" s="19"/>
    </row>
    <row r="384" spans="1:15" ht="15" hidden="1" x14ac:dyDescent="0.2">
      <c r="A384" s="24">
        <v>2018</v>
      </c>
      <c r="B384" s="17" t="s">
        <v>15</v>
      </c>
      <c r="C384" s="18">
        <f>I377</f>
        <v>-1578414.9913866969</v>
      </c>
      <c r="D384" s="34">
        <v>-257691.03</v>
      </c>
      <c r="E384" s="34">
        <f>-50+254.84</f>
        <v>204.84</v>
      </c>
      <c r="F384" s="34">
        <v>0</v>
      </c>
      <c r="G384" s="34">
        <v>267683.90999999997</v>
      </c>
      <c r="H384" s="35">
        <v>-5493.49</v>
      </c>
      <c r="I384" s="26">
        <f>C384+D384+E384+F384+G384+H384+K384</f>
        <v>-1573710.7613866969</v>
      </c>
      <c r="J384" s="18"/>
      <c r="K384" s="19"/>
      <c r="N384" s="3"/>
    </row>
    <row r="385" spans="1:15" ht="15" hidden="1" x14ac:dyDescent="0.2">
      <c r="A385" s="24"/>
      <c r="B385" s="17" t="s">
        <v>16</v>
      </c>
      <c r="C385" s="18">
        <f>I384</f>
        <v>-1573710.7613866969</v>
      </c>
      <c r="D385" s="34">
        <v>-255952.16</v>
      </c>
      <c r="E385" s="34">
        <f>1.18-50+63.71</f>
        <v>14.89</v>
      </c>
      <c r="F385" s="34">
        <v>0</v>
      </c>
      <c r="G385" s="34">
        <v>285696.58</v>
      </c>
      <c r="H385" s="35">
        <f>-5442.91</f>
        <v>-5442.91</v>
      </c>
      <c r="I385" s="26">
        <f>C385+D385+E385+F385+G385+H385</f>
        <v>-1549394.3613866968</v>
      </c>
      <c r="J385" s="18"/>
      <c r="K385" s="19"/>
    </row>
    <row r="386" spans="1:15" ht="15" hidden="1" x14ac:dyDescent="0.2">
      <c r="A386" s="24"/>
      <c r="B386" s="17" t="s">
        <v>17</v>
      </c>
      <c r="C386" s="18">
        <f>I385</f>
        <v>-1549394.3613866968</v>
      </c>
      <c r="D386" s="34">
        <v>-255278.48</v>
      </c>
      <c r="E386" s="34">
        <f>-50-132.71</f>
        <v>-182.71</v>
      </c>
      <c r="F386" s="34">
        <v>0</v>
      </c>
      <c r="G386" s="34">
        <v>294809.07</v>
      </c>
      <c r="H386" s="35">
        <f>-5341.03</f>
        <v>-5341.03</v>
      </c>
      <c r="I386" s="26">
        <f>C386+D386+E386+F386+G386+H386+K386</f>
        <v>-1515387.5113866967</v>
      </c>
      <c r="J386" s="18"/>
      <c r="K386" s="19">
        <v>0</v>
      </c>
      <c r="N386" s="3"/>
      <c r="O386" s="3" t="s">
        <v>19</v>
      </c>
    </row>
    <row r="387" spans="1:15" ht="15.75" hidden="1" x14ac:dyDescent="0.25">
      <c r="A387" s="24"/>
      <c r="B387" s="36" t="s">
        <v>94</v>
      </c>
      <c r="C387" s="18" t="s">
        <v>19</v>
      </c>
      <c r="D387" s="31">
        <f>SUM(D384:D386)</f>
        <v>-768921.67</v>
      </c>
      <c r="E387" s="31">
        <f>SUM(E384:E386)</f>
        <v>37.02000000000001</v>
      </c>
      <c r="F387" s="31">
        <f>SUM(F384:F386)</f>
        <v>0</v>
      </c>
      <c r="G387" s="31">
        <f>SUM(G384:G386)</f>
        <v>848189.56</v>
      </c>
      <c r="H387" s="31">
        <f>SUM(H384:H386)</f>
        <v>-16277.43</v>
      </c>
      <c r="I387" s="26"/>
      <c r="J387" s="18"/>
      <c r="K387" s="19"/>
      <c r="N387" t="s">
        <v>19</v>
      </c>
    </row>
    <row r="388" spans="1:15" ht="15.75" hidden="1" x14ac:dyDescent="0.25">
      <c r="A388" s="24"/>
      <c r="B388" s="36"/>
      <c r="C388" s="18"/>
      <c r="D388" s="31"/>
      <c r="E388" s="31"/>
      <c r="F388" s="31"/>
      <c r="G388" s="31"/>
      <c r="H388" s="31"/>
      <c r="I388" s="26"/>
      <c r="J388" s="18"/>
      <c r="K388" s="19"/>
    </row>
    <row r="389" spans="1:15" ht="15" hidden="1" x14ac:dyDescent="0.2">
      <c r="A389" s="24" t="s">
        <v>19</v>
      </c>
      <c r="B389" s="17" t="s">
        <v>20</v>
      </c>
      <c r="C389" s="18">
        <f>I386</f>
        <v>-1515387.5113866967</v>
      </c>
      <c r="D389" s="34">
        <v>-257626.47</v>
      </c>
      <c r="E389" s="34">
        <f>-50+332.02</f>
        <v>282.02</v>
      </c>
      <c r="F389" s="34">
        <v>0</v>
      </c>
      <c r="G389" s="34">
        <v>300130.02</v>
      </c>
      <c r="H389" s="35">
        <v>-5092.03</v>
      </c>
      <c r="I389" s="26">
        <f>C389+D389+E389+F389+G389+H389+K389</f>
        <v>-1477693.9713866967</v>
      </c>
      <c r="J389" s="18"/>
      <c r="K389" s="19"/>
      <c r="N389" s="3"/>
    </row>
    <row r="390" spans="1:15" ht="15" hidden="1" x14ac:dyDescent="0.2">
      <c r="A390" s="24"/>
      <c r="B390" s="17" t="s">
        <v>21</v>
      </c>
      <c r="C390" s="18">
        <f>I389</f>
        <v>-1477693.9713866967</v>
      </c>
      <c r="D390" s="34">
        <v>-258082.44</v>
      </c>
      <c r="E390" s="34">
        <f>-50+127.42</f>
        <v>77.42</v>
      </c>
      <c r="F390" s="34">
        <v>0</v>
      </c>
      <c r="G390" s="34">
        <v>301062.92</v>
      </c>
      <c r="H390" s="35">
        <v>-4963.1000000000004</v>
      </c>
      <c r="I390" s="26">
        <f>C390+D390+E390+F390+G390+H390</f>
        <v>-1439599.1713866969</v>
      </c>
      <c r="J390" s="18"/>
      <c r="K390" s="19"/>
    </row>
    <row r="391" spans="1:15" ht="15" hidden="1" x14ac:dyDescent="0.2">
      <c r="A391" s="24"/>
      <c r="B391" s="17" t="s">
        <v>22</v>
      </c>
      <c r="C391" s="18">
        <f>I390</f>
        <v>-1439599.1713866969</v>
      </c>
      <c r="D391" s="34">
        <v>-260205.51</v>
      </c>
      <c r="E391" s="34">
        <f>-50+362.52</f>
        <v>312.52</v>
      </c>
      <c r="F391" s="34">
        <v>0</v>
      </c>
      <c r="G391" s="34">
        <v>296397.37</v>
      </c>
      <c r="H391" s="35">
        <v>-4844.42</v>
      </c>
      <c r="I391" s="26">
        <f>C391+D391+E391+F391+G391+H391+K391</f>
        <v>-1407939.2113866969</v>
      </c>
      <c r="J391" s="18"/>
      <c r="K391" s="19">
        <v>0</v>
      </c>
      <c r="N391" s="3"/>
      <c r="O391" s="3" t="s">
        <v>19</v>
      </c>
    </row>
    <row r="392" spans="1:15" ht="15.75" hidden="1" x14ac:dyDescent="0.25">
      <c r="A392" s="24"/>
      <c r="B392" s="36" t="s">
        <v>95</v>
      </c>
      <c r="C392" s="18" t="s">
        <v>19</v>
      </c>
      <c r="D392" s="31">
        <f>SUM(D389:D391)</f>
        <v>-775914.42</v>
      </c>
      <c r="E392" s="31">
        <f>SUM(E389:E391)</f>
        <v>671.96</v>
      </c>
      <c r="F392" s="31">
        <f>SUM(F389:F391)</f>
        <v>0</v>
      </c>
      <c r="G392" s="31">
        <f>SUM(G389:G391)</f>
        <v>897590.30999999994</v>
      </c>
      <c r="H392" s="31">
        <f>SUM(H389:H391)</f>
        <v>-14899.550000000001</v>
      </c>
      <c r="I392" s="26"/>
      <c r="J392" s="18"/>
      <c r="K392" s="19"/>
      <c r="N392" t="s">
        <v>19</v>
      </c>
    </row>
    <row r="393" spans="1:15" ht="15.75" hidden="1" x14ac:dyDescent="0.25">
      <c r="A393" s="24"/>
      <c r="B393" s="36"/>
      <c r="C393" s="18"/>
      <c r="D393" s="31"/>
      <c r="E393" s="31"/>
      <c r="F393" s="31"/>
      <c r="G393" s="31"/>
      <c r="H393" s="31"/>
      <c r="I393" s="26"/>
      <c r="J393" s="18"/>
      <c r="K393" s="19"/>
    </row>
    <row r="394" spans="1:15" ht="15" hidden="1" x14ac:dyDescent="0.2">
      <c r="A394" s="24" t="s">
        <v>19</v>
      </c>
      <c r="B394" s="17" t="s">
        <v>24</v>
      </c>
      <c r="C394" s="18">
        <f>I391</f>
        <v>-1407939.2113866969</v>
      </c>
      <c r="D394" s="34">
        <v>-262089.92</v>
      </c>
      <c r="E394" s="34">
        <f>-50+539.62</f>
        <v>489.62</v>
      </c>
      <c r="F394" s="34">
        <v>0</v>
      </c>
      <c r="G394" s="34">
        <v>297532.65000000002</v>
      </c>
      <c r="H394" s="35">
        <f>-4737.49</f>
        <v>-4737.49</v>
      </c>
      <c r="I394" s="26">
        <f>C394+D394+E394+F394+G394+H394+K394</f>
        <v>-1376744.3513866968</v>
      </c>
      <c r="J394" s="18"/>
      <c r="K394" s="19"/>
      <c r="N394" s="3"/>
    </row>
    <row r="395" spans="1:15" ht="15" hidden="1" x14ac:dyDescent="0.2">
      <c r="A395" s="24"/>
      <c r="B395" s="17" t="s">
        <v>25</v>
      </c>
      <c r="C395" s="18">
        <f>I394</f>
        <v>-1376744.3513866968</v>
      </c>
      <c r="D395" s="34">
        <v>-261308.58</v>
      </c>
      <c r="E395" s="34">
        <f>-50+191.13</f>
        <v>141.13</v>
      </c>
      <c r="F395" s="34">
        <v>0</v>
      </c>
      <c r="G395" s="34">
        <v>292346.69</v>
      </c>
      <c r="H395" s="35">
        <v>-4639.2700000000004</v>
      </c>
      <c r="I395" s="26">
        <f>C395+D395+E395+F395+G395+H395</f>
        <v>-1350204.3813866971</v>
      </c>
      <c r="J395" s="18"/>
      <c r="K395" s="19"/>
    </row>
    <row r="396" spans="1:15" ht="15" hidden="1" x14ac:dyDescent="0.2">
      <c r="A396" s="24"/>
      <c r="B396" s="17" t="s">
        <v>11</v>
      </c>
      <c r="C396" s="18">
        <f>I395</f>
        <v>-1350204.3813866971</v>
      </c>
      <c r="D396" s="34">
        <v>-262754.5</v>
      </c>
      <c r="E396" s="34">
        <f>-50+63.71</f>
        <v>13.71</v>
      </c>
      <c r="F396" s="34">
        <v>0</v>
      </c>
      <c r="G396" s="34">
        <v>288714.42</v>
      </c>
      <c r="H396" s="35">
        <v>-4557.68</v>
      </c>
      <c r="I396" s="26">
        <f>C396+D396+E396+F396+G396+H396+K396</f>
        <v>-1328788.4313866971</v>
      </c>
      <c r="J396" s="18"/>
      <c r="K396" s="19">
        <v>0</v>
      </c>
      <c r="N396" s="3"/>
      <c r="O396" s="3" t="s">
        <v>19</v>
      </c>
    </row>
    <row r="397" spans="1:15" ht="15.75" hidden="1" x14ac:dyDescent="0.25">
      <c r="A397" s="24"/>
      <c r="B397" s="36" t="s">
        <v>96</v>
      </c>
      <c r="C397" s="18" t="s">
        <v>19</v>
      </c>
      <c r="D397" s="31">
        <f>SUM(D394:D396)</f>
        <v>-786153</v>
      </c>
      <c r="E397" s="31">
        <f>SUM(E394:E396)</f>
        <v>644.46</v>
      </c>
      <c r="F397" s="31">
        <f>SUM(F394:F396)</f>
        <v>0</v>
      </c>
      <c r="G397" s="31">
        <f>SUM(G394:G396)</f>
        <v>878593.76</v>
      </c>
      <c r="H397" s="31">
        <f>SUM(H394:H396)</f>
        <v>-13934.44</v>
      </c>
      <c r="I397" s="26"/>
      <c r="J397" s="18"/>
      <c r="K397" s="19"/>
      <c r="N397" t="s">
        <v>19</v>
      </c>
    </row>
    <row r="398" spans="1:15" ht="15.75" hidden="1" x14ac:dyDescent="0.25">
      <c r="A398" s="24"/>
      <c r="B398" s="36"/>
      <c r="C398" s="18"/>
      <c r="D398" s="31"/>
      <c r="E398" s="31"/>
      <c r="F398" s="31"/>
      <c r="G398" s="31"/>
      <c r="H398" s="31"/>
      <c r="I398" s="26"/>
      <c r="J398" s="18"/>
      <c r="K398" s="19"/>
    </row>
    <row r="399" spans="1:15" ht="15" hidden="1" x14ac:dyDescent="0.2">
      <c r="A399" s="24" t="s">
        <v>19</v>
      </c>
      <c r="B399" s="17" t="s">
        <v>12</v>
      </c>
      <c r="C399" s="18">
        <f>I396</f>
        <v>-1328788.4313866971</v>
      </c>
      <c r="D399" s="34">
        <f>-261485.15-50</f>
        <v>-261535.15</v>
      </c>
      <c r="E399" s="34">
        <f>-159839.79+63.71</f>
        <v>-159776.08000000002</v>
      </c>
      <c r="F399" s="34">
        <v>0</v>
      </c>
      <c r="G399" s="34">
        <v>284552.59999999998</v>
      </c>
      <c r="H399" s="35">
        <v>-4762.01</v>
      </c>
      <c r="I399" s="26">
        <f>C399+D399+E399+F399+G399+H399+K399</f>
        <v>-1470309.071386697</v>
      </c>
      <c r="J399" s="18"/>
      <c r="K399" s="19"/>
      <c r="N399" s="3"/>
    </row>
    <row r="400" spans="1:15" ht="15" hidden="1" x14ac:dyDescent="0.2">
      <c r="A400" s="24"/>
      <c r="B400" s="17" t="s">
        <v>13</v>
      </c>
      <c r="C400" s="18">
        <f>I399</f>
        <v>-1470309.071386697</v>
      </c>
      <c r="D400" s="34">
        <f>-262650.75-50</f>
        <v>-262700.75</v>
      </c>
      <c r="E400" s="34">
        <v>0</v>
      </c>
      <c r="F400" s="34">
        <v>0</v>
      </c>
      <c r="G400" s="34">
        <v>249342.28</v>
      </c>
      <c r="H400" s="35">
        <v>-5034.07</v>
      </c>
      <c r="I400" s="26">
        <f>C400+D400+E400+F400+G400+H400</f>
        <v>-1488701.611386697</v>
      </c>
      <c r="J400" s="18"/>
      <c r="K400" s="19"/>
    </row>
    <row r="401" spans="1:15" ht="15" hidden="1" x14ac:dyDescent="0.2">
      <c r="A401" s="24"/>
      <c r="B401" s="17" t="s">
        <v>14</v>
      </c>
      <c r="C401" s="18">
        <f>I400</f>
        <v>-1488701.611386697</v>
      </c>
      <c r="D401" s="34">
        <f>-262874.75-50</f>
        <v>-262924.75</v>
      </c>
      <c r="E401" s="34">
        <v>0</v>
      </c>
      <c r="F401" s="34">
        <v>0</v>
      </c>
      <c r="G401" s="34">
        <v>246173.58</v>
      </c>
      <c r="H401" s="35">
        <v>-5102.54</v>
      </c>
      <c r="I401" s="26">
        <f>C401+D401+E401+F401+G401+H401+K401</f>
        <v>-1510555.321386697</v>
      </c>
      <c r="J401" s="18"/>
      <c r="K401" s="19">
        <v>0</v>
      </c>
      <c r="N401" s="3"/>
      <c r="O401" s="3" t="s">
        <v>19</v>
      </c>
    </row>
    <row r="402" spans="1:15" ht="15.75" hidden="1" x14ac:dyDescent="0.25">
      <c r="A402" s="24"/>
      <c r="B402" s="36" t="s">
        <v>97</v>
      </c>
      <c r="C402" s="18" t="s">
        <v>19</v>
      </c>
      <c r="D402" s="31">
        <f>SUM(D399:D401)</f>
        <v>-787160.65</v>
      </c>
      <c r="E402" s="31">
        <f>SUM(E399:E401)</f>
        <v>-159776.08000000002</v>
      </c>
      <c r="F402" s="31">
        <f>SUM(F399:F401)</f>
        <v>0</v>
      </c>
      <c r="G402" s="31">
        <f>SUM(G399:G401)</f>
        <v>780068.46</v>
      </c>
      <c r="H402" s="31">
        <f>SUM(H399:H401)</f>
        <v>-14898.619999999999</v>
      </c>
      <c r="I402" s="26"/>
      <c r="J402" s="18"/>
      <c r="K402" s="19"/>
      <c r="N402" t="s">
        <v>19</v>
      </c>
    </row>
    <row r="403" spans="1:15" ht="15.75" x14ac:dyDescent="0.25">
      <c r="A403" s="24"/>
      <c r="B403" s="21">
        <v>2018</v>
      </c>
      <c r="C403" s="37">
        <f>I377</f>
        <v>-1578414.9913866969</v>
      </c>
      <c r="D403" s="31">
        <f>D387+D392+D397+D402</f>
        <v>-3118149.7399999998</v>
      </c>
      <c r="E403" s="31">
        <f>E387+E392+E397+E402</f>
        <v>-158422.64000000001</v>
      </c>
      <c r="F403" s="31">
        <f>F387+F392+F397+F402</f>
        <v>0</v>
      </c>
      <c r="G403" s="31">
        <f>G387+G392+G397+G402</f>
        <v>3404442.09</v>
      </c>
      <c r="H403" s="31">
        <f>H387+H392+H397+H402</f>
        <v>-60010.040000000008</v>
      </c>
      <c r="I403" s="32">
        <f>SUM(C403:H403)</f>
        <v>-1510555.3213866968</v>
      </c>
      <c r="J403" s="18"/>
      <c r="K403" s="19"/>
    </row>
    <row r="404" spans="1:15" ht="15.75" hidden="1" x14ac:dyDescent="0.25">
      <c r="A404" s="24">
        <v>2019</v>
      </c>
      <c r="B404" s="21" t="s">
        <v>15</v>
      </c>
      <c r="C404" s="37">
        <v>-1510555.321386697</v>
      </c>
      <c r="D404" s="31">
        <v>-261027.41</v>
      </c>
      <c r="E404" s="31">
        <v>0</v>
      </c>
      <c r="F404" s="31">
        <v>0</v>
      </c>
      <c r="G404" s="31">
        <v>256127.21</v>
      </c>
      <c r="H404" s="31">
        <v>-5156.83</v>
      </c>
      <c r="I404" s="32">
        <v>-1520612.351386697</v>
      </c>
      <c r="J404" s="18"/>
      <c r="K404" s="19"/>
    </row>
    <row r="405" spans="1:15" ht="15.75" hidden="1" x14ac:dyDescent="0.25">
      <c r="A405" s="24"/>
      <c r="B405" s="21" t="s">
        <v>16</v>
      </c>
      <c r="C405" s="37">
        <v>-1520612.351386697</v>
      </c>
      <c r="D405" s="31">
        <v>-260791.17</v>
      </c>
      <c r="E405" s="31">
        <v>-27687.77</v>
      </c>
      <c r="F405" s="31">
        <v>0</v>
      </c>
      <c r="G405" s="31">
        <v>270356.42</v>
      </c>
      <c r="H405" s="31">
        <v>-5213.6400000000003</v>
      </c>
      <c r="I405" s="32">
        <v>-1543948.5113866969</v>
      </c>
      <c r="J405" s="18"/>
      <c r="K405" s="19"/>
    </row>
    <row r="406" spans="1:15" ht="15.75" hidden="1" x14ac:dyDescent="0.25">
      <c r="A406" s="24"/>
      <c r="B406" s="21" t="s">
        <v>17</v>
      </c>
      <c r="C406" s="37">
        <v>-1543948.5113866969</v>
      </c>
      <c r="D406" s="31">
        <v>-261546.08</v>
      </c>
      <c r="E406" s="31">
        <v>106.59</v>
      </c>
      <c r="F406" s="31">
        <v>0</v>
      </c>
      <c r="G406" s="31">
        <v>280349.65999999997</v>
      </c>
      <c r="H406" s="31">
        <v>-5230.07</v>
      </c>
      <c r="I406" s="32">
        <v>-1530268.4113866971</v>
      </c>
      <c r="J406" s="18"/>
      <c r="K406" s="19"/>
    </row>
    <row r="407" spans="1:15" ht="15.75" hidden="1" x14ac:dyDescent="0.25">
      <c r="A407" s="24"/>
      <c r="B407" s="21" t="s">
        <v>98</v>
      </c>
      <c r="C407" s="37" t="s">
        <v>19</v>
      </c>
      <c r="D407" s="31">
        <v>-783364.66</v>
      </c>
      <c r="E407" s="31">
        <v>-27581.18</v>
      </c>
      <c r="F407" s="31">
        <v>0</v>
      </c>
      <c r="G407" s="31">
        <v>806833.29</v>
      </c>
      <c r="H407" s="31">
        <v>-15600.54</v>
      </c>
      <c r="I407" s="32"/>
      <c r="J407" s="18"/>
      <c r="K407" s="19"/>
    </row>
    <row r="408" spans="1:15" ht="15.75" hidden="1" x14ac:dyDescent="0.25">
      <c r="A408" s="24"/>
      <c r="B408" s="21"/>
      <c r="C408" s="37"/>
      <c r="D408" s="31"/>
      <c r="E408" s="31"/>
      <c r="F408" s="31"/>
      <c r="G408" s="31"/>
      <c r="H408" s="31"/>
      <c r="I408" s="32"/>
      <c r="J408" s="18"/>
      <c r="K408" s="19"/>
    </row>
    <row r="409" spans="1:15" ht="15.75" hidden="1" x14ac:dyDescent="0.25">
      <c r="A409" s="24" t="s">
        <v>19</v>
      </c>
      <c r="B409" s="21" t="s">
        <v>20</v>
      </c>
      <c r="C409" s="37">
        <v>-1530268.4113866971</v>
      </c>
      <c r="D409" s="31">
        <v>-260852.2</v>
      </c>
      <c r="E409" s="31">
        <v>0</v>
      </c>
      <c r="F409" s="31">
        <v>0</v>
      </c>
      <c r="G409" s="31">
        <v>440099.44</v>
      </c>
      <c r="H409" s="31">
        <v>-5246.35</v>
      </c>
      <c r="I409" s="32">
        <v>-1356267.5213866972</v>
      </c>
      <c r="J409" s="18"/>
      <c r="K409" s="19"/>
    </row>
    <row r="410" spans="1:15" ht="15.75" hidden="1" x14ac:dyDescent="0.25">
      <c r="A410" s="24"/>
      <c r="B410" s="21" t="s">
        <v>21</v>
      </c>
      <c r="C410" s="37">
        <v>-1356267.5213866972</v>
      </c>
      <c r="D410" s="31">
        <v>-261821.76</v>
      </c>
      <c r="E410" s="31">
        <v>420.09</v>
      </c>
      <c r="F410" s="31">
        <v>0</v>
      </c>
      <c r="G410" s="31">
        <v>288225.18</v>
      </c>
      <c r="H410" s="31">
        <v>-4890.2299999999996</v>
      </c>
      <c r="I410" s="32">
        <v>-1334334.2413866972</v>
      </c>
      <c r="J410" s="18"/>
      <c r="K410" s="19"/>
    </row>
    <row r="411" spans="1:15" ht="15.75" hidden="1" x14ac:dyDescent="0.25">
      <c r="A411" s="24"/>
      <c r="B411" s="21" t="s">
        <v>22</v>
      </c>
      <c r="C411" s="37">
        <v>-1334334.2413866972</v>
      </c>
      <c r="D411" s="31">
        <v>-264214.51</v>
      </c>
      <c r="E411" s="31">
        <v>852.72</v>
      </c>
      <c r="F411" s="31">
        <v>0</v>
      </c>
      <c r="G411" s="31">
        <v>282948.76</v>
      </c>
      <c r="H411" s="31">
        <v>-4823.54</v>
      </c>
      <c r="I411" s="32">
        <v>-1319570.8113866972</v>
      </c>
      <c r="J411" s="18"/>
      <c r="K411" s="19"/>
    </row>
    <row r="412" spans="1:15" ht="15.75" hidden="1" x14ac:dyDescent="0.25">
      <c r="A412" s="24"/>
      <c r="B412" s="21" t="s">
        <v>99</v>
      </c>
      <c r="C412" s="37" t="s">
        <v>19</v>
      </c>
      <c r="D412" s="31">
        <v>-786888.47</v>
      </c>
      <c r="E412" s="31">
        <v>1272.81</v>
      </c>
      <c r="F412" s="31">
        <v>0</v>
      </c>
      <c r="G412" s="31">
        <v>1011273.38</v>
      </c>
      <c r="H412" s="31">
        <v>-14960.119999999999</v>
      </c>
      <c r="I412" s="32"/>
      <c r="J412" s="18"/>
      <c r="K412" s="19"/>
    </row>
    <row r="413" spans="1:15" ht="15.75" hidden="1" x14ac:dyDescent="0.25">
      <c r="A413" s="24"/>
      <c r="B413" s="21"/>
      <c r="C413" s="37"/>
      <c r="D413" s="31"/>
      <c r="E413" s="31"/>
      <c r="F413" s="31"/>
      <c r="G413" s="31"/>
      <c r="H413" s="31"/>
      <c r="I413" s="32"/>
      <c r="J413" s="18"/>
      <c r="K413" s="19"/>
    </row>
    <row r="414" spans="1:15" ht="15.75" hidden="1" x14ac:dyDescent="0.25">
      <c r="A414" s="24" t="s">
        <v>19</v>
      </c>
      <c r="B414" s="21" t="s">
        <v>24</v>
      </c>
      <c r="C414" s="37">
        <v>-1319570.8113866972</v>
      </c>
      <c r="D414" s="31">
        <v>-265686.15999999997</v>
      </c>
      <c r="E414" s="31">
        <v>627.28</v>
      </c>
      <c r="F414" s="31">
        <v>0</v>
      </c>
      <c r="G414" s="31">
        <v>283581.65999999997</v>
      </c>
      <c r="H414" s="31">
        <v>-4771.95</v>
      </c>
      <c r="I414" s="32">
        <v>-1305819.9813866972</v>
      </c>
      <c r="J414" s="18"/>
      <c r="K414" s="19"/>
    </row>
    <row r="415" spans="1:15" ht="15.75" hidden="1" x14ac:dyDescent="0.25">
      <c r="A415" s="24"/>
      <c r="B415" s="21" t="s">
        <v>25</v>
      </c>
      <c r="C415" s="37">
        <v>-1305819.9813866972</v>
      </c>
      <c r="D415" s="31">
        <v>-266201.90000000002</v>
      </c>
      <c r="E415" s="31">
        <v>-153560.66999999998</v>
      </c>
      <c r="F415" s="31">
        <v>0</v>
      </c>
      <c r="G415" s="31">
        <v>255681</v>
      </c>
      <c r="H415" s="31">
        <v>-5054.13</v>
      </c>
      <c r="I415" s="32">
        <v>-1474955.6813866971</v>
      </c>
      <c r="J415" s="18"/>
      <c r="K415" s="19"/>
    </row>
    <row r="416" spans="1:15" ht="15.75" hidden="1" x14ac:dyDescent="0.25">
      <c r="A416" s="24"/>
      <c r="B416" s="21" t="s">
        <v>11</v>
      </c>
      <c r="C416" s="37">
        <v>-1474955.6813866971</v>
      </c>
      <c r="D416" s="31">
        <v>-268249.2</v>
      </c>
      <c r="E416" s="31">
        <v>377.83000000000004</v>
      </c>
      <c r="F416" s="31">
        <v>0</v>
      </c>
      <c r="G416" s="31">
        <v>233441.17</v>
      </c>
      <c r="H416" s="31">
        <v>-5433.99</v>
      </c>
      <c r="I416" s="32">
        <v>-1514819.8713866971</v>
      </c>
      <c r="J416" s="18"/>
      <c r="K416" s="19"/>
    </row>
    <row r="417" spans="1:11" ht="15.75" hidden="1" x14ac:dyDescent="0.25">
      <c r="A417" s="24"/>
      <c r="B417" s="21" t="s">
        <v>100</v>
      </c>
      <c r="C417" s="37" t="s">
        <v>19</v>
      </c>
      <c r="D417" s="31">
        <v>-800137.26</v>
      </c>
      <c r="E417" s="31">
        <v>-152555.56</v>
      </c>
      <c r="F417" s="31">
        <v>0</v>
      </c>
      <c r="G417" s="31">
        <v>772703.83</v>
      </c>
      <c r="H417" s="31">
        <v>-15260.07</v>
      </c>
      <c r="I417" s="32"/>
      <c r="J417" s="18"/>
      <c r="K417" s="19"/>
    </row>
    <row r="418" spans="1:11" ht="15.75" hidden="1" x14ac:dyDescent="0.25">
      <c r="A418" s="24"/>
      <c r="B418" s="21"/>
      <c r="C418" s="37"/>
      <c r="D418" s="31"/>
      <c r="E418" s="31"/>
      <c r="F418" s="31"/>
      <c r="G418" s="31"/>
      <c r="H418" s="31"/>
      <c r="I418" s="32"/>
      <c r="J418" s="18"/>
      <c r="K418" s="19"/>
    </row>
    <row r="419" spans="1:11" ht="15.75" hidden="1" x14ac:dyDescent="0.25">
      <c r="A419" s="24" t="s">
        <v>19</v>
      </c>
      <c r="B419" s="21" t="s">
        <v>12</v>
      </c>
      <c r="C419" s="37">
        <v>-1514819.8713866971</v>
      </c>
      <c r="D419" s="31">
        <v>-263987.37</v>
      </c>
      <c r="E419" s="31">
        <v>21451.54</v>
      </c>
      <c r="F419" s="31">
        <v>0</v>
      </c>
      <c r="G419" s="31">
        <v>234454.61</v>
      </c>
      <c r="H419" s="31">
        <v>-5531.18</v>
      </c>
      <c r="I419" s="32">
        <v>-1528432.2713866972</v>
      </c>
      <c r="J419" s="18"/>
      <c r="K419" s="19"/>
    </row>
    <row r="420" spans="1:11" ht="15.75" hidden="1" x14ac:dyDescent="0.25">
      <c r="A420" s="24"/>
      <c r="B420" s="21" t="s">
        <v>13</v>
      </c>
      <c r="C420" s="37">
        <v>-1528432.2713866972</v>
      </c>
      <c r="D420" s="31">
        <v>-266226.43</v>
      </c>
      <c r="E420" s="31">
        <v>21605.69</v>
      </c>
      <c r="F420" s="31">
        <v>0</v>
      </c>
      <c r="G420" s="31">
        <v>243178.03</v>
      </c>
      <c r="H420" s="31">
        <v>-5568.67</v>
      </c>
      <c r="I420" s="32">
        <v>-1535443.6513866971</v>
      </c>
      <c r="J420" s="18"/>
      <c r="K420" s="19"/>
    </row>
    <row r="421" spans="1:11" ht="15.75" hidden="1" x14ac:dyDescent="0.25">
      <c r="A421" s="24"/>
      <c r="B421" s="21" t="s">
        <v>14</v>
      </c>
      <c r="C421" s="37">
        <v>-1535443.6513866971</v>
      </c>
      <c r="D421" s="31">
        <v>-264914.43</v>
      </c>
      <c r="E421" s="31">
        <v>-50</v>
      </c>
      <c r="F421" s="31">
        <v>0</v>
      </c>
      <c r="G421" s="31">
        <v>248780.89</v>
      </c>
      <c r="H421" s="31">
        <v>-5621.04</v>
      </c>
      <c r="I421" s="32">
        <v>-1557248.2313866969</v>
      </c>
      <c r="J421" s="18"/>
      <c r="K421" s="19"/>
    </row>
    <row r="422" spans="1:11" ht="15.75" hidden="1" x14ac:dyDescent="0.25">
      <c r="A422" s="24"/>
      <c r="B422" s="21" t="s">
        <v>101</v>
      </c>
      <c r="C422" s="37" t="s">
        <v>19</v>
      </c>
      <c r="D422" s="31">
        <v>-795128.23</v>
      </c>
      <c r="E422" s="31">
        <v>43007.229999999996</v>
      </c>
      <c r="F422" s="31">
        <v>0</v>
      </c>
      <c r="G422" s="31">
        <v>726413.53</v>
      </c>
      <c r="H422" s="31">
        <v>-16720.89</v>
      </c>
      <c r="I422" s="32"/>
      <c r="J422" s="18"/>
      <c r="K422" s="19"/>
    </row>
    <row r="423" spans="1:11" ht="15.75" x14ac:dyDescent="0.25">
      <c r="A423" s="24"/>
      <c r="B423" s="21">
        <v>2019</v>
      </c>
      <c r="C423" s="37">
        <f>I403</f>
        <v>-1510555.3213866968</v>
      </c>
      <c r="D423" s="31">
        <f>D407+D412+D417+D422</f>
        <v>-3165518.6199999996</v>
      </c>
      <c r="E423" s="31">
        <f>E407+E412+E417+E422</f>
        <v>-135856.70000000001</v>
      </c>
      <c r="F423" s="31">
        <f>F407+F412+F417+F422</f>
        <v>0</v>
      </c>
      <c r="G423" s="31">
        <f>G407+G412+G417+G422</f>
        <v>3317224.0300000003</v>
      </c>
      <c r="H423" s="31">
        <f>H407+H412+H417+H422</f>
        <v>-62541.619999999995</v>
      </c>
      <c r="I423" s="32">
        <f>SUM(C423:H423)</f>
        <v>-1557248.231386696</v>
      </c>
      <c r="J423" s="18"/>
      <c r="K423" s="19"/>
    </row>
    <row r="424" spans="1:11" ht="15.75" x14ac:dyDescent="0.25">
      <c r="A424" s="24"/>
      <c r="B424" s="21">
        <v>2020</v>
      </c>
      <c r="C424" s="37">
        <v>-1557248.2313866999</v>
      </c>
      <c r="D424" s="31">
        <v>-3203967.96</v>
      </c>
      <c r="E424" s="31">
        <f>2.57-600-330557.22+27878.34</f>
        <v>-303276.30999999994</v>
      </c>
      <c r="F424" s="31">
        <v>0</v>
      </c>
      <c r="G424" s="31">
        <v>3348505.93</v>
      </c>
      <c r="H424" s="31">
        <v>-63393.13</v>
      </c>
      <c r="I424" s="32">
        <v>-1779379.71</v>
      </c>
      <c r="J424" s="18"/>
      <c r="K424" s="19"/>
    </row>
    <row r="425" spans="1:11" ht="15.75" x14ac:dyDescent="0.25">
      <c r="A425" s="24"/>
      <c r="B425" s="21">
        <v>2021</v>
      </c>
      <c r="C425" s="37">
        <f>I424</f>
        <v>-1779379.71</v>
      </c>
      <c r="D425" s="31">
        <v>-2578363.14</v>
      </c>
      <c r="E425" s="31">
        <f>1.63-500-236657.66+31122.83</f>
        <v>-206033.2</v>
      </c>
      <c r="F425" s="31">
        <v>0</v>
      </c>
      <c r="G425" s="31">
        <v>3253222.43</v>
      </c>
      <c r="H425" s="31">
        <v>-59535.89</v>
      </c>
      <c r="I425" s="32">
        <f>SUM(C425:H425)</f>
        <v>-1370089.5099999995</v>
      </c>
      <c r="J425" s="18"/>
      <c r="K425" s="19"/>
    </row>
    <row r="426" spans="1:11" ht="15.75" x14ac:dyDescent="0.25">
      <c r="A426" s="24"/>
      <c r="B426" s="21">
        <v>2022</v>
      </c>
      <c r="C426" s="37">
        <v>-1370302.88</v>
      </c>
      <c r="D426" s="31">
        <v>-2631677.85</v>
      </c>
      <c r="E426" s="31">
        <f>1.17-450-370372.97+24920.72</f>
        <v>-345901.07999999996</v>
      </c>
      <c r="F426" s="31">
        <v>0</v>
      </c>
      <c r="G426" s="31">
        <v>3273378.77</v>
      </c>
      <c r="H426" s="31">
        <v>-23268.67</v>
      </c>
      <c r="I426" s="32">
        <f>SUM(C426:H426)</f>
        <v>-1097771.7099999995</v>
      </c>
      <c r="J426" s="18"/>
      <c r="K426" s="19"/>
    </row>
    <row r="427" spans="1:11" ht="15.75" x14ac:dyDescent="0.25">
      <c r="A427" s="24"/>
      <c r="B427" s="21">
        <v>2023</v>
      </c>
      <c r="C427" s="37">
        <v>-1097771.72</v>
      </c>
      <c r="D427" s="31">
        <v>-3368547.21</v>
      </c>
      <c r="E427" s="31">
        <v>-358301.33</v>
      </c>
      <c r="F427" s="31">
        <v>0</v>
      </c>
      <c r="G427" s="31">
        <v>3069861.48</v>
      </c>
      <c r="H427" s="31">
        <v>-57631.97</v>
      </c>
      <c r="I427" s="32">
        <f>SUM(C427:H427)</f>
        <v>-1812390.7499999998</v>
      </c>
      <c r="J427" s="18"/>
      <c r="K427" s="19"/>
    </row>
    <row r="428" spans="1:11" ht="15.75" x14ac:dyDescent="0.25">
      <c r="A428" s="24"/>
      <c r="B428" s="21">
        <v>2024</v>
      </c>
      <c r="C428" s="31">
        <v>-1812369.12</v>
      </c>
      <c r="D428" s="31">
        <f>D480+D485+D490+D495</f>
        <v>-3383165.3400239758</v>
      </c>
      <c r="E428" s="31">
        <f>E480+E485+E490+E495</f>
        <v>-994684.0199999999</v>
      </c>
      <c r="F428" s="31">
        <f>F480+F485+F490+F495</f>
        <v>0</v>
      </c>
      <c r="G428" s="31">
        <f>G480+G485+G490+G495</f>
        <v>3408543.9900012333</v>
      </c>
      <c r="H428" s="31">
        <f>H480+H485+H490+H495</f>
        <v>-113956.17017500673</v>
      </c>
      <c r="I428" s="32">
        <f>SUM(C428:H428)</f>
        <v>-2895630.6601977488</v>
      </c>
      <c r="J428" s="18"/>
      <c r="K428" s="19"/>
    </row>
    <row r="429" spans="1:11" ht="15.75" x14ac:dyDescent="0.25">
      <c r="A429" s="24"/>
      <c r="B429" s="21">
        <v>2025</v>
      </c>
      <c r="C429" s="31">
        <f>I428</f>
        <v>-2895630.6601977488</v>
      </c>
      <c r="D429" s="31">
        <f t="shared" ref="D429:H429" si="0">D502+D507+D512+D526</f>
        <v>-3475380.5</v>
      </c>
      <c r="E429" s="31">
        <f t="shared" si="0"/>
        <v>-593812.82000000007</v>
      </c>
      <c r="F429" s="31">
        <f t="shared" si="0"/>
        <v>0</v>
      </c>
      <c r="G429" s="31">
        <f t="shared" si="0"/>
        <v>4163169.84</v>
      </c>
      <c r="H429" s="31">
        <f t="shared" si="0"/>
        <v>-156030.25</v>
      </c>
      <c r="I429" s="32">
        <f>SUM(C429:H429)-0.01</f>
        <v>-2957684.400197749</v>
      </c>
      <c r="J429" s="18"/>
      <c r="K429" s="19"/>
    </row>
    <row r="430" spans="1:11" ht="15.75" x14ac:dyDescent="0.25">
      <c r="A430" s="24"/>
      <c r="B430" s="21">
        <v>2026</v>
      </c>
      <c r="C430" s="31">
        <f>I429</f>
        <v>-2957684.400197749</v>
      </c>
      <c r="D430" s="31">
        <f>D533+D568</f>
        <v>-1747192.760006194</v>
      </c>
      <c r="E430" s="31">
        <f t="shared" ref="E430:H430" si="1">E533+E568</f>
        <v>-18571.96</v>
      </c>
      <c r="F430" s="31">
        <f t="shared" si="1"/>
        <v>0</v>
      </c>
      <c r="G430" s="31">
        <f t="shared" si="1"/>
        <v>2375900.8599999989</v>
      </c>
      <c r="H430" s="31">
        <f t="shared" si="1"/>
        <v>-74163.95403631861</v>
      </c>
      <c r="I430" s="32">
        <f>SUM(C430:H430)-0.01</f>
        <v>-2421712.2242402625</v>
      </c>
      <c r="J430" s="18"/>
      <c r="K430" s="19"/>
    </row>
    <row r="431" spans="1:11" ht="15.75" x14ac:dyDescent="0.25">
      <c r="A431" s="24"/>
      <c r="B431" s="21"/>
      <c r="C431" s="37"/>
      <c r="D431" s="31"/>
      <c r="E431" s="31"/>
      <c r="F431" s="31"/>
      <c r="G431" s="31"/>
      <c r="H431" s="31"/>
      <c r="I431" s="32"/>
      <c r="J431" s="18"/>
      <c r="K431" s="19"/>
    </row>
    <row r="432" spans="1:11" ht="15.75" x14ac:dyDescent="0.25">
      <c r="A432" s="89" t="s">
        <v>3</v>
      </c>
      <c r="B432" s="17"/>
      <c r="C432" s="18"/>
      <c r="D432" s="18"/>
      <c r="E432" s="18"/>
      <c r="F432" s="18"/>
      <c r="G432" s="18"/>
      <c r="H432" s="18"/>
      <c r="I432" s="18"/>
      <c r="J432" s="18"/>
      <c r="K432" s="19"/>
    </row>
    <row r="433" spans="1:15" ht="15.75" x14ac:dyDescent="0.25">
      <c r="A433" s="24"/>
      <c r="B433" s="36"/>
      <c r="C433" s="18"/>
      <c r="D433" s="31"/>
      <c r="E433" s="31"/>
      <c r="F433" s="31"/>
      <c r="G433" s="31"/>
      <c r="H433" s="31"/>
      <c r="I433" s="26"/>
      <c r="J433" s="18"/>
      <c r="K433" s="19"/>
    </row>
    <row r="434" spans="1:15" ht="15.75" hidden="1" x14ac:dyDescent="0.25">
      <c r="A434" s="24"/>
      <c r="B434" s="36"/>
      <c r="C434" s="18"/>
      <c r="D434" s="31"/>
      <c r="E434" s="31"/>
      <c r="F434" s="31"/>
      <c r="G434" s="31"/>
      <c r="H434" s="31"/>
      <c r="I434" s="26"/>
      <c r="J434" s="18"/>
      <c r="K434" s="19"/>
    </row>
    <row r="435" spans="1:15" ht="15" hidden="1" x14ac:dyDescent="0.2">
      <c r="A435" s="24">
        <v>2021</v>
      </c>
      <c r="B435" s="17" t="s">
        <v>15</v>
      </c>
      <c r="C435" s="34">
        <f>I424</f>
        <v>-1779379.71</v>
      </c>
      <c r="D435" s="34">
        <v>-268497.15999999997</v>
      </c>
      <c r="E435" s="34">
        <v>63.09</v>
      </c>
      <c r="F435" s="34">
        <v>0</v>
      </c>
      <c r="G435" s="35">
        <v>253462.64</v>
      </c>
      <c r="H435" s="26">
        <v>-5777.5315294664042</v>
      </c>
      <c r="I435" s="34">
        <f>C435+D435+E435+F435+G435+H435+K435</f>
        <v>-1800128.6715294661</v>
      </c>
      <c r="J435" s="18"/>
      <c r="K435" s="19"/>
      <c r="N435" s="3"/>
    </row>
    <row r="436" spans="1:15" ht="15" hidden="1" x14ac:dyDescent="0.2">
      <c r="A436" s="24"/>
      <c r="B436" s="17" t="s">
        <v>16</v>
      </c>
      <c r="C436" s="34">
        <f>I435</f>
        <v>-1800128.6715294661</v>
      </c>
      <c r="D436" s="34">
        <v>-266484.59000000003</v>
      </c>
      <c r="E436" s="34">
        <v>176.18</v>
      </c>
      <c r="F436" s="34">
        <v>0</v>
      </c>
      <c r="G436" s="35">
        <v>251470.87</v>
      </c>
      <c r="H436" s="26">
        <v>-5844.4033829116779</v>
      </c>
      <c r="I436" s="34">
        <f>C436+D436+E436+F436+G436+H436</f>
        <v>-1820810.6149123779</v>
      </c>
      <c r="J436" s="18"/>
      <c r="K436" s="19"/>
    </row>
    <row r="437" spans="1:15" ht="15" hidden="1" x14ac:dyDescent="0.2">
      <c r="A437" s="24"/>
      <c r="B437" s="17" t="s">
        <v>17</v>
      </c>
      <c r="C437" s="34">
        <f>I436</f>
        <v>-1820810.6149123779</v>
      </c>
      <c r="D437" s="34">
        <v>-268146.75</v>
      </c>
      <c r="E437" s="34">
        <v>-30037.279999999999</v>
      </c>
      <c r="F437" s="34">
        <v>0</v>
      </c>
      <c r="G437" s="35">
        <v>248717.14</v>
      </c>
      <c r="H437" s="26">
        <v>-5967.2591156830931</v>
      </c>
      <c r="I437" s="34">
        <f>C437+D437+E437+F437+G437+H437+K437</f>
        <v>-1876244.7640280609</v>
      </c>
      <c r="J437" s="18"/>
      <c r="K437" s="19">
        <v>0</v>
      </c>
      <c r="N437" s="3"/>
      <c r="O437" s="3" t="s">
        <v>19</v>
      </c>
    </row>
    <row r="438" spans="1:15" ht="15.75" hidden="1" x14ac:dyDescent="0.25">
      <c r="A438" s="24"/>
      <c r="B438" s="36" t="s">
        <v>129</v>
      </c>
      <c r="C438" s="18" t="s">
        <v>19</v>
      </c>
      <c r="D438" s="31">
        <f>SUM(D435:D437)</f>
        <v>-803128.5</v>
      </c>
      <c r="E438" s="31">
        <f>SUM(E435:E437)</f>
        <v>-29798.01</v>
      </c>
      <c r="F438" s="31">
        <f>SUM(F435:F437)</f>
        <v>0</v>
      </c>
      <c r="G438" s="31">
        <f>SUM(G435:G437)</f>
        <v>753650.65</v>
      </c>
      <c r="H438" s="31">
        <f>SUM(H435:H437)</f>
        <v>-17589.194028061174</v>
      </c>
      <c r="I438" s="26"/>
      <c r="J438" s="18"/>
      <c r="K438" s="19"/>
      <c r="N438" t="s">
        <v>19</v>
      </c>
    </row>
    <row r="439" spans="1:15" ht="15.75" hidden="1" x14ac:dyDescent="0.25">
      <c r="A439" s="24"/>
      <c r="B439" s="36"/>
      <c r="C439" s="18"/>
      <c r="D439" s="31"/>
      <c r="E439" s="31"/>
      <c r="F439" s="31"/>
      <c r="G439" s="31"/>
      <c r="H439" s="31"/>
      <c r="I439" s="26"/>
      <c r="J439" s="18"/>
      <c r="K439" s="19"/>
    </row>
    <row r="440" spans="1:15" ht="15" hidden="1" x14ac:dyDescent="0.2">
      <c r="A440" s="24">
        <v>2021</v>
      </c>
      <c r="B440" s="17" t="s">
        <v>20</v>
      </c>
      <c r="C440" s="34">
        <f>I437</f>
        <v>-1876244.7640280609</v>
      </c>
      <c r="D440" s="34">
        <v>-268892.25</v>
      </c>
      <c r="E440" s="34">
        <v>176.62</v>
      </c>
      <c r="F440" s="34">
        <v>0</v>
      </c>
      <c r="G440" s="35">
        <v>244813.95</v>
      </c>
      <c r="H440" s="26">
        <v>-4783.4288546317066</v>
      </c>
      <c r="I440" s="34">
        <f>C440+D440+E440+F440+G440+H440+K440</f>
        <v>-1904929.8728826928</v>
      </c>
      <c r="J440" s="18"/>
      <c r="K440" s="19"/>
    </row>
    <row r="441" spans="1:15" ht="15" hidden="1" x14ac:dyDescent="0.2">
      <c r="A441" s="24"/>
      <c r="B441" s="17" t="s">
        <v>21</v>
      </c>
      <c r="C441" s="34">
        <f>I440</f>
        <v>-1904929.8728826928</v>
      </c>
      <c r="D441" s="34">
        <v>-269687.83</v>
      </c>
      <c r="E441" s="34">
        <v>63.09</v>
      </c>
      <c r="F441" s="34">
        <v>0</v>
      </c>
      <c r="G441" s="35">
        <v>270322.02</v>
      </c>
      <c r="H441" s="26">
        <v>-4824.9391143967741</v>
      </c>
      <c r="I441" s="34">
        <f>C441+D441+E441+F441+G441+H441</f>
        <v>-1909057.5319970895</v>
      </c>
      <c r="J441" s="18"/>
      <c r="K441" s="19"/>
    </row>
    <row r="442" spans="1:15" ht="15" hidden="1" x14ac:dyDescent="0.2">
      <c r="A442" s="24"/>
      <c r="B442" s="17" t="s">
        <v>22</v>
      </c>
      <c r="C442" s="34">
        <f>I441</f>
        <v>-1909057.5319970895</v>
      </c>
      <c r="D442" s="34">
        <v>-273121.03999999998</v>
      </c>
      <c r="E442" s="34">
        <v>628.54</v>
      </c>
      <c r="F442" s="34">
        <v>0</v>
      </c>
      <c r="G442" s="35">
        <v>290053.31</v>
      </c>
      <c r="H442" s="26">
        <v>-4814.0353794865796</v>
      </c>
      <c r="I442" s="34">
        <f>C442+D442+E442+F442+G442+H442+K442</f>
        <v>-1896310.7573765758</v>
      </c>
      <c r="J442" s="18"/>
      <c r="K442" s="19"/>
    </row>
    <row r="443" spans="1:15" ht="15.75" hidden="1" x14ac:dyDescent="0.25">
      <c r="A443" s="24"/>
      <c r="B443" s="36" t="s">
        <v>130</v>
      </c>
      <c r="C443" s="18" t="s">
        <v>19</v>
      </c>
      <c r="D443" s="31">
        <f>SUM(D440:D442)</f>
        <v>-811701.12000000011</v>
      </c>
      <c r="E443" s="31">
        <f>SUM(E440:E442)</f>
        <v>868.25</v>
      </c>
      <c r="F443" s="31">
        <f>SUM(F440:F442)</f>
        <v>0</v>
      </c>
      <c r="G443" s="31">
        <f>SUM(G440:G442)</f>
        <v>805189.28</v>
      </c>
      <c r="H443" s="31">
        <f>SUM(H440:H442)</f>
        <v>-14422.403348515061</v>
      </c>
      <c r="I443" s="26"/>
      <c r="J443" s="18"/>
      <c r="K443" s="19"/>
    </row>
    <row r="444" spans="1:15" ht="15.75" hidden="1" x14ac:dyDescent="0.25">
      <c r="A444" s="24"/>
      <c r="B444" s="36"/>
      <c r="C444" s="18"/>
      <c r="D444" s="31"/>
      <c r="E444" s="31"/>
      <c r="F444" s="31"/>
      <c r="G444" s="31"/>
      <c r="H444" s="31"/>
      <c r="I444" s="26"/>
      <c r="J444" s="18"/>
      <c r="K444" s="19"/>
    </row>
    <row r="445" spans="1:15" ht="15" hidden="1" x14ac:dyDescent="0.2">
      <c r="A445" s="24">
        <v>2021</v>
      </c>
      <c r="B445" s="17" t="s">
        <v>24</v>
      </c>
      <c r="C445" s="34">
        <f>I442</f>
        <v>-1896310.7573765758</v>
      </c>
      <c r="D445" s="34">
        <v>-271871.03000000003</v>
      </c>
      <c r="E445" s="34">
        <v>18.400000000000006</v>
      </c>
      <c r="F445" s="34">
        <v>0</v>
      </c>
      <c r="G445" s="35">
        <v>282444.81</v>
      </c>
      <c r="H445" s="26">
        <v>-4790.5704817812784</v>
      </c>
      <c r="I445" s="34">
        <f>C445+D445+E445+F445+G445+H445+K445</f>
        <v>-1890509.1478583575</v>
      </c>
      <c r="J445" s="19"/>
      <c r="K445" s="19"/>
    </row>
    <row r="446" spans="1:15" ht="15" hidden="1" x14ac:dyDescent="0.2">
      <c r="A446" s="24"/>
      <c r="B446" s="17" t="s">
        <v>25</v>
      </c>
      <c r="C446" s="34">
        <f>I445</f>
        <v>-1890509.1478583575</v>
      </c>
      <c r="D446" s="34">
        <v>-275838.38</v>
      </c>
      <c r="E446" s="34">
        <v>28579.39</v>
      </c>
      <c r="F446" s="34">
        <v>0</v>
      </c>
      <c r="G446" s="35">
        <v>278267.48</v>
      </c>
      <c r="H446" s="26">
        <v>-4750.0124116684574</v>
      </c>
      <c r="I446" s="34">
        <f>C446+D446+E446+F446+G446+H446</f>
        <v>-1864250.6702700257</v>
      </c>
      <c r="J446" s="19"/>
      <c r="K446" s="19"/>
    </row>
    <row r="447" spans="1:15" ht="15" hidden="1" x14ac:dyDescent="0.2">
      <c r="A447" s="24"/>
      <c r="B447" s="17" t="s">
        <v>11</v>
      </c>
      <c r="C447" s="34">
        <f>I446</f>
        <v>-1864250.6702700257</v>
      </c>
      <c r="D447" s="34">
        <v>-271578.09000000003</v>
      </c>
      <c r="E447" s="34">
        <v>292</v>
      </c>
      <c r="F447" s="34">
        <v>0</v>
      </c>
      <c r="G447" s="35">
        <v>273964.81</v>
      </c>
      <c r="H447" s="26">
        <v>-4719.3753104446841</v>
      </c>
      <c r="I447" s="34">
        <f>C447+D447+E447+F447+G447+H447+K447</f>
        <v>-1866291.3255804703</v>
      </c>
      <c r="J447" s="19"/>
      <c r="K447" s="19"/>
    </row>
    <row r="448" spans="1:15" ht="15.75" hidden="1" x14ac:dyDescent="0.25">
      <c r="A448" s="24"/>
      <c r="B448" s="36" t="s">
        <v>131</v>
      </c>
      <c r="C448" s="18" t="s">
        <v>19</v>
      </c>
      <c r="D448" s="31">
        <f>SUM(D445:D447)</f>
        <v>-819287.5</v>
      </c>
      <c r="E448" s="31">
        <f>SUM(E445:E447)</f>
        <v>28889.79</v>
      </c>
      <c r="F448" s="31">
        <f>SUM(F445:F447)</f>
        <v>0</v>
      </c>
      <c r="G448" s="31">
        <f>SUM(G445:G447)</f>
        <v>834677.10000000009</v>
      </c>
      <c r="H448" s="31">
        <f>SUM(H445:H447)</f>
        <v>-14259.958203894421</v>
      </c>
      <c r="I448" s="26"/>
      <c r="J448" s="19"/>
      <c r="K448" s="19"/>
    </row>
    <row r="449" spans="1:11" ht="15.75" hidden="1" x14ac:dyDescent="0.25">
      <c r="A449" s="24"/>
      <c r="B449" s="16"/>
      <c r="C449" s="18"/>
      <c r="D449" s="31"/>
      <c r="E449" s="31"/>
      <c r="F449" s="31"/>
      <c r="G449" s="31"/>
      <c r="H449" s="31"/>
      <c r="I449" s="18"/>
      <c r="J449" s="19"/>
      <c r="K449" s="19"/>
    </row>
    <row r="450" spans="1:11" ht="15" hidden="1" x14ac:dyDescent="0.2">
      <c r="A450" s="24">
        <v>2021</v>
      </c>
      <c r="B450" s="17" t="s">
        <v>12</v>
      </c>
      <c r="C450" s="34">
        <f>I447</f>
        <v>-1866291.3255804703</v>
      </c>
      <c r="D450" s="34">
        <v>-151826.4</v>
      </c>
      <c r="E450" s="34">
        <v>-206513.99</v>
      </c>
      <c r="F450" s="34">
        <v>0</v>
      </c>
      <c r="G450" s="35">
        <v>273580.56</v>
      </c>
      <c r="H450" s="26">
        <v>-4835.3004672311445</v>
      </c>
      <c r="I450" s="34">
        <f>C450+D450+E450+F450+G450+H450+K450</f>
        <v>-1955886.456047701</v>
      </c>
      <c r="J450" s="19"/>
      <c r="K450" s="19"/>
    </row>
    <row r="451" spans="1:11" ht="15" hidden="1" x14ac:dyDescent="0.2">
      <c r="A451" s="24"/>
      <c r="B451" s="17" t="s">
        <v>13</v>
      </c>
      <c r="C451" s="34">
        <f>I450</f>
        <v>-1955886.456047701</v>
      </c>
      <c r="D451" s="34">
        <v>2509.91</v>
      </c>
      <c r="E451" s="34">
        <v>407.67</v>
      </c>
      <c r="F451" s="34">
        <v>0</v>
      </c>
      <c r="G451" s="35">
        <v>289074.53000000003</v>
      </c>
      <c r="H451" s="26">
        <v>-4585.0556737481302</v>
      </c>
      <c r="I451" s="34">
        <f>C451+D451+E451+F451+G451+H451</f>
        <v>-1668479.4017214491</v>
      </c>
      <c r="J451" s="19"/>
      <c r="K451" s="19"/>
    </row>
    <row r="452" spans="1:11" ht="15" hidden="1" x14ac:dyDescent="0.2">
      <c r="A452" s="24"/>
      <c r="B452" s="17" t="s">
        <v>14</v>
      </c>
      <c r="C452" s="34">
        <f>I451</f>
        <v>-1668479.4017214491</v>
      </c>
      <c r="D452" s="34">
        <v>5070.47</v>
      </c>
      <c r="E452" s="34">
        <v>113.09</v>
      </c>
      <c r="F452" s="34">
        <v>0</v>
      </c>
      <c r="G452" s="35">
        <v>297050.31</v>
      </c>
      <c r="H452" s="26">
        <v>-3843.98</v>
      </c>
      <c r="I452" s="34">
        <f>C452+D452+E452+F452+G452+H452+K452</f>
        <v>-1370089.511721449</v>
      </c>
      <c r="J452" s="19"/>
      <c r="K452" s="19"/>
    </row>
    <row r="453" spans="1:11" ht="15.75" hidden="1" x14ac:dyDescent="0.25">
      <c r="A453" s="24"/>
      <c r="B453" s="36" t="s">
        <v>132</v>
      </c>
      <c r="C453" s="18" t="s">
        <v>19</v>
      </c>
      <c r="D453" s="31">
        <f>SUM(D450:D452)</f>
        <v>-144246.01999999999</v>
      </c>
      <c r="E453" s="31">
        <f>SUM(E450:E452)</f>
        <v>-205993.22999999998</v>
      </c>
      <c r="F453" s="31">
        <f>SUM(F450:F452)</f>
        <v>0</v>
      </c>
      <c r="G453" s="31">
        <f>SUM(G450:G452)</f>
        <v>859705.40000000014</v>
      </c>
      <c r="H453" s="31">
        <f>SUM(H450:H452)</f>
        <v>-13264.336140979274</v>
      </c>
      <c r="I453" s="26"/>
      <c r="J453" s="19"/>
      <c r="K453" s="19"/>
    </row>
    <row r="454" spans="1:11" ht="15.75" hidden="1" x14ac:dyDescent="0.25">
      <c r="A454" s="24"/>
      <c r="B454" s="36"/>
      <c r="C454" s="18"/>
      <c r="D454" s="26"/>
      <c r="E454" s="26"/>
      <c r="F454" s="26"/>
      <c r="G454" s="26"/>
      <c r="H454" s="26"/>
      <c r="I454" s="26"/>
      <c r="J454" s="19"/>
      <c r="K454" s="19"/>
    </row>
    <row r="455" spans="1:11" ht="15" hidden="1" x14ac:dyDescent="0.2">
      <c r="A455" s="24">
        <v>2023</v>
      </c>
      <c r="B455" s="17" t="s">
        <v>15</v>
      </c>
      <c r="C455" s="34">
        <f>C427</f>
        <v>-1097771.72</v>
      </c>
      <c r="D455" s="34">
        <v>-277368.40000000002</v>
      </c>
      <c r="E455" s="34">
        <v>-50</v>
      </c>
      <c r="F455" s="34">
        <v>0</v>
      </c>
      <c r="G455" s="35">
        <f>178+234940.64</f>
        <v>235118.64</v>
      </c>
      <c r="H455" s="26">
        <v>-2837.83</v>
      </c>
      <c r="I455" s="34">
        <f>C455+D455+E455+F455+G455+H455+K455</f>
        <v>-1142909.31</v>
      </c>
      <c r="J455" s="19"/>
      <c r="K455" s="19"/>
    </row>
    <row r="456" spans="1:11" ht="15" hidden="1" x14ac:dyDescent="0.2">
      <c r="A456" s="24"/>
      <c r="B456" s="17" t="s">
        <v>16</v>
      </c>
      <c r="C456" s="34">
        <f>I455</f>
        <v>-1142909.31</v>
      </c>
      <c r="D456" s="34">
        <v>-277698.78999999998</v>
      </c>
      <c r="E456" s="34">
        <v>-50</v>
      </c>
      <c r="F456" s="34">
        <v>0</v>
      </c>
      <c r="G456" s="35">
        <v>243970.63</v>
      </c>
      <c r="H456" s="26">
        <v>-2953.93</v>
      </c>
      <c r="I456" s="34">
        <f>C456+D456+E456+F456+G456+H456</f>
        <v>-1179641.4000000001</v>
      </c>
      <c r="J456" s="19"/>
      <c r="K456" s="19"/>
    </row>
    <row r="457" spans="1:11" ht="15" hidden="1" x14ac:dyDescent="0.2">
      <c r="A457" s="24"/>
      <c r="B457" s="17" t="s">
        <v>17</v>
      </c>
      <c r="C457" s="34">
        <f>I456</f>
        <v>-1179641.4000000001</v>
      </c>
      <c r="D457" s="34">
        <v>-275521.64</v>
      </c>
      <c r="E457" s="34">
        <v>-50</v>
      </c>
      <c r="F457" s="34">
        <v>0</v>
      </c>
      <c r="G457" s="35">
        <f>91+250241.43</f>
        <v>250332.43</v>
      </c>
      <c r="H457" s="26">
        <v>-3030.33</v>
      </c>
      <c r="I457" s="34">
        <f>C457+D457+E457+F457+G457+H457+K457</f>
        <v>-1207910.9400000002</v>
      </c>
      <c r="J457" s="19"/>
      <c r="K457" s="19"/>
    </row>
    <row r="458" spans="1:11" ht="15.75" hidden="1" x14ac:dyDescent="0.25">
      <c r="A458" s="24"/>
      <c r="B458" s="36" t="s">
        <v>138</v>
      </c>
      <c r="C458" s="18" t="s">
        <v>19</v>
      </c>
      <c r="D458" s="31">
        <f>SUM(D455:D457)</f>
        <v>-830588.83</v>
      </c>
      <c r="E458" s="31">
        <f>SUM(E455:E457)</f>
        <v>-150</v>
      </c>
      <c r="F458" s="31">
        <f>SUM(F455:F457)</f>
        <v>0</v>
      </c>
      <c r="G458" s="31">
        <f>SUM(G455:G457)</f>
        <v>729421.7</v>
      </c>
      <c r="H458" s="31">
        <f>SUM(H455:H457)</f>
        <v>-8822.09</v>
      </c>
      <c r="I458" s="26"/>
      <c r="J458" s="19"/>
      <c r="K458" s="19"/>
    </row>
    <row r="459" spans="1:11" ht="15.75" hidden="1" x14ac:dyDescent="0.25">
      <c r="A459" s="24"/>
      <c r="B459" s="36"/>
      <c r="C459" s="18"/>
      <c r="D459" s="31"/>
      <c r="E459" s="31"/>
      <c r="F459" s="31"/>
      <c r="G459" s="31"/>
      <c r="H459" s="31"/>
      <c r="I459" s="26"/>
      <c r="J459" s="19"/>
      <c r="K459" s="19"/>
    </row>
    <row r="460" spans="1:11" ht="15" hidden="1" x14ac:dyDescent="0.2">
      <c r="A460" s="24">
        <v>2023</v>
      </c>
      <c r="B460" s="17" t="s">
        <v>20</v>
      </c>
      <c r="C460" s="34">
        <f>I457</f>
        <v>-1207910.9400000002</v>
      </c>
      <c r="D460" s="34">
        <v>-280698.19</v>
      </c>
      <c r="E460" s="34">
        <v>-50</v>
      </c>
      <c r="F460" s="34">
        <v>0</v>
      </c>
      <c r="G460" s="35">
        <f>364+256342.21</f>
        <v>256706.21</v>
      </c>
      <c r="H460" s="26">
        <v>-4644.76</v>
      </c>
      <c r="I460" s="34">
        <f>C460+D460+E460+F460+G460+H460+K460</f>
        <v>-1236597.6800000002</v>
      </c>
      <c r="J460" s="19"/>
      <c r="K460" s="19"/>
    </row>
    <row r="461" spans="1:11" ht="15" hidden="1" x14ac:dyDescent="0.2">
      <c r="A461" s="24"/>
      <c r="B461" s="17" t="s">
        <v>21</v>
      </c>
      <c r="C461" s="34">
        <f>I460</f>
        <v>-1236597.6800000002</v>
      </c>
      <c r="D461" s="34">
        <v>-278058.73</v>
      </c>
      <c r="E461" s="34">
        <f>-50+0.16</f>
        <v>-49.84</v>
      </c>
      <c r="F461" s="34">
        <v>0</v>
      </c>
      <c r="G461" s="35">
        <f>794.04+256767.06</f>
        <v>257561.1</v>
      </c>
      <c r="H461" s="26">
        <v>-4747.3599999999997</v>
      </c>
      <c r="I461" s="34">
        <f>C461+D461+E461+F461+G461+H461</f>
        <v>-1261892.5100000002</v>
      </c>
      <c r="J461" s="19"/>
      <c r="K461" s="19"/>
    </row>
    <row r="462" spans="1:11" ht="15" hidden="1" x14ac:dyDescent="0.2">
      <c r="A462" s="24"/>
      <c r="B462" s="17" t="s">
        <v>22</v>
      </c>
      <c r="C462" s="34">
        <f>I461</f>
        <v>-1261892.5100000002</v>
      </c>
      <c r="D462" s="34">
        <v>-279040.21000000002</v>
      </c>
      <c r="E462" s="34">
        <v>-50</v>
      </c>
      <c r="F462" s="34">
        <v>0</v>
      </c>
      <c r="G462" s="62">
        <v>258361.54</v>
      </c>
      <c r="H462" s="26">
        <v>-4844.6499999999996</v>
      </c>
      <c r="I462" s="34">
        <f>C462+D462+E462+F462+G462+H462+K462</f>
        <v>-1287465.83</v>
      </c>
      <c r="J462" s="19"/>
      <c r="K462" s="19"/>
    </row>
    <row r="463" spans="1:11" ht="15.75" hidden="1" x14ac:dyDescent="0.25">
      <c r="A463" s="24"/>
      <c r="B463" s="36" t="s">
        <v>139</v>
      </c>
      <c r="C463" s="18" t="s">
        <v>19</v>
      </c>
      <c r="D463" s="31">
        <f>SUM(D460:D462)</f>
        <v>-837797.12999999989</v>
      </c>
      <c r="E463" s="31">
        <f>SUM(E460:E462)</f>
        <v>-149.84</v>
      </c>
      <c r="F463" s="31">
        <f>SUM(F460:F462)</f>
        <v>0</v>
      </c>
      <c r="G463" s="31">
        <f>SUM(G460:G462)</f>
        <v>772628.85</v>
      </c>
      <c r="H463" s="31">
        <f>SUM(H460:H462)</f>
        <v>-14236.769999999999</v>
      </c>
      <c r="I463" s="26"/>
      <c r="J463" s="19"/>
      <c r="K463" s="19"/>
    </row>
    <row r="464" spans="1:11" ht="15.75" hidden="1" x14ac:dyDescent="0.25">
      <c r="A464" s="24"/>
      <c r="B464" s="36"/>
      <c r="C464" s="18"/>
      <c r="D464" s="31"/>
      <c r="E464" s="31"/>
      <c r="F464" s="31"/>
      <c r="G464" s="31"/>
      <c r="H464" s="31"/>
      <c r="I464" s="26"/>
      <c r="J464" s="19"/>
      <c r="K464" s="19"/>
    </row>
    <row r="465" spans="1:11" ht="15" hidden="1" x14ac:dyDescent="0.2">
      <c r="A465" s="24">
        <v>2023</v>
      </c>
      <c r="B465" s="17" t="s">
        <v>24</v>
      </c>
      <c r="C465" s="34">
        <f>I462</f>
        <v>-1287465.83</v>
      </c>
      <c r="D465" s="34">
        <v>-282355.65000000002</v>
      </c>
      <c r="E465" s="34">
        <v>-50</v>
      </c>
      <c r="F465" s="34"/>
      <c r="G465" s="38">
        <f>263114.68+473.81</f>
        <v>263588.49</v>
      </c>
      <c r="H465" s="26">
        <v>-4931.22</v>
      </c>
      <c r="I465" s="34">
        <f>C465+D465+E465+F465+G465+H465+K465</f>
        <v>-1311214.21</v>
      </c>
      <c r="J465" s="19"/>
      <c r="K465" s="19"/>
    </row>
    <row r="466" spans="1:11" ht="15" hidden="1" x14ac:dyDescent="0.2">
      <c r="A466" s="24"/>
      <c r="B466" s="17" t="s">
        <v>25</v>
      </c>
      <c r="C466" s="34">
        <f>I465</f>
        <v>-1311214.21</v>
      </c>
      <c r="D466" s="34">
        <v>-284292.21999999997</v>
      </c>
      <c r="E466" s="34">
        <v>-50</v>
      </c>
      <c r="F466" s="34"/>
      <c r="G466" s="38">
        <f>258882.7+2854.74</f>
        <v>261737.44</v>
      </c>
      <c r="H466" s="26">
        <v>-5036.5940347787473</v>
      </c>
      <c r="I466" s="34">
        <f>C466+D466+E466+F466+G466+H466</f>
        <v>-1338855.5840347786</v>
      </c>
      <c r="J466" s="19"/>
      <c r="K466" s="19"/>
    </row>
    <row r="467" spans="1:11" ht="15" hidden="1" x14ac:dyDescent="0.2">
      <c r="A467" s="24"/>
      <c r="B467" s="17" t="s">
        <v>11</v>
      </c>
      <c r="C467" s="34">
        <f>I466</f>
        <v>-1338855.5840347786</v>
      </c>
      <c r="D467" s="34">
        <v>-285525.28000000003</v>
      </c>
      <c r="E467" s="34">
        <v>-50</v>
      </c>
      <c r="F467" s="34"/>
      <c r="G467" s="38">
        <v>263114.46000000002</v>
      </c>
      <c r="H467" s="26">
        <v>-5125.1400000000003</v>
      </c>
      <c r="I467" s="34">
        <f>C467+D467+E467+F467+G467+H467+K467</f>
        <v>-1366441.5440347786</v>
      </c>
      <c r="J467" s="19"/>
      <c r="K467" s="19"/>
    </row>
    <row r="468" spans="1:11" ht="15.75" hidden="1" x14ac:dyDescent="0.25">
      <c r="A468" s="24"/>
      <c r="B468" s="36" t="s">
        <v>140</v>
      </c>
      <c r="C468" s="18" t="s">
        <v>19</v>
      </c>
      <c r="D468" s="31">
        <f>SUM(D465:D467)</f>
        <v>-852173.15</v>
      </c>
      <c r="E468" s="31">
        <f>SUM(E465:E467)</f>
        <v>-150</v>
      </c>
      <c r="F468" s="31">
        <f>SUM(F465:F467)</f>
        <v>0</v>
      </c>
      <c r="G468" s="31">
        <f>SUM(G465:G467)</f>
        <v>788440.3899999999</v>
      </c>
      <c r="H468" s="31">
        <f>SUM(H465:H467)</f>
        <v>-15092.954034778748</v>
      </c>
      <c r="I468" s="26"/>
      <c r="J468" s="19"/>
      <c r="K468" s="19"/>
    </row>
    <row r="469" spans="1:11" ht="15.75" hidden="1" x14ac:dyDescent="0.25">
      <c r="A469" s="24"/>
      <c r="B469" s="36"/>
      <c r="C469" s="18"/>
      <c r="D469" s="31"/>
      <c r="E469" s="31"/>
      <c r="F469" s="31"/>
      <c r="G469" s="31"/>
      <c r="H469" s="31"/>
      <c r="I469" s="26"/>
      <c r="J469" s="19"/>
      <c r="K469" s="19"/>
    </row>
    <row r="470" spans="1:11" ht="15" hidden="1" x14ac:dyDescent="0.2">
      <c r="A470" s="24">
        <v>2023</v>
      </c>
      <c r="B470" s="17" t="s">
        <v>12</v>
      </c>
      <c r="C470" s="34">
        <f>I467</f>
        <v>-1366441.5440347786</v>
      </c>
      <c r="D470" s="34">
        <v>-281445.44</v>
      </c>
      <c r="E470" s="34">
        <v>-50</v>
      </c>
      <c r="F470" s="34"/>
      <c r="G470" s="38">
        <f>262459.46-362548.08</f>
        <v>-100088.62</v>
      </c>
      <c r="H470" s="26">
        <v>-5256.62</v>
      </c>
      <c r="I470" s="34">
        <f>C470+D470+E470+F470+G470+H470+K470</f>
        <v>-1753282.2240347788</v>
      </c>
      <c r="J470" s="19"/>
      <c r="K470" s="19"/>
    </row>
    <row r="471" spans="1:11" ht="15" hidden="1" x14ac:dyDescent="0.2">
      <c r="A471" s="24"/>
      <c r="B471" s="17" t="s">
        <v>13</v>
      </c>
      <c r="C471" s="34">
        <f>I470</f>
        <v>-1753282.2240347788</v>
      </c>
      <c r="D471" s="34">
        <v>-283144.53999999998</v>
      </c>
      <c r="E471" s="34">
        <v>-50</v>
      </c>
      <c r="F471" s="34"/>
      <c r="G471" s="38">
        <f>266632.39+91</f>
        <v>266723.39</v>
      </c>
      <c r="H471" s="26">
        <v>-7401.43</v>
      </c>
      <c r="I471" s="34">
        <f>C471+D471+E471+F471+G471+H471</f>
        <v>-1777154.8040347786</v>
      </c>
      <c r="J471" s="19"/>
      <c r="K471" s="19"/>
    </row>
    <row r="472" spans="1:11" ht="15" hidden="1" x14ac:dyDescent="0.2">
      <c r="A472" s="24"/>
      <c r="B472" s="17" t="s">
        <v>14</v>
      </c>
      <c r="C472" s="34">
        <f>I471</f>
        <v>-1777154.8040347786</v>
      </c>
      <c r="D472" s="34">
        <v>-283398.12</v>
      </c>
      <c r="E472" s="34">
        <v>-50</v>
      </c>
      <c r="F472" s="34"/>
      <c r="G472" s="38">
        <v>255034.28</v>
      </c>
      <c r="H472" s="26">
        <v>-6822.1125488111957</v>
      </c>
      <c r="I472" s="34">
        <f>C472+D472+E472+F472+G472+H472+K472+0.01</f>
        <v>-1812390.7465835896</v>
      </c>
      <c r="J472" s="19"/>
      <c r="K472" s="19"/>
    </row>
    <row r="473" spans="1:11" ht="15.75" hidden="1" x14ac:dyDescent="0.25">
      <c r="A473" s="24"/>
      <c r="B473" s="36" t="s">
        <v>141</v>
      </c>
      <c r="C473" s="18" t="s">
        <v>19</v>
      </c>
      <c r="D473" s="31">
        <f>SUM(D470:D472)</f>
        <v>-847988.1</v>
      </c>
      <c r="E473" s="31">
        <f>SUM(E470:E472)</f>
        <v>-150</v>
      </c>
      <c r="F473" s="31">
        <f>SUM(F470:F472)</f>
        <v>0</v>
      </c>
      <c r="G473" s="31">
        <f>SUM(G470:G472)</f>
        <v>421669.05000000005</v>
      </c>
      <c r="H473" s="31">
        <f>SUM(H470:H472)</f>
        <v>-19480.162548811197</v>
      </c>
      <c r="I473" s="26"/>
      <c r="J473" s="19"/>
      <c r="K473" s="19"/>
    </row>
    <row r="474" spans="1:11" ht="15.75" hidden="1" x14ac:dyDescent="0.25">
      <c r="A474" s="24"/>
      <c r="B474" s="36"/>
      <c r="C474" s="18"/>
      <c r="D474" s="31"/>
      <c r="E474" s="31"/>
      <c r="F474" s="31"/>
      <c r="G474" s="31"/>
      <c r="H474" s="31"/>
      <c r="I474" s="26"/>
      <c r="J474" s="19"/>
      <c r="K474" s="19"/>
    </row>
    <row r="475" spans="1:11" ht="15.75" hidden="1" x14ac:dyDescent="0.25">
      <c r="A475" s="24"/>
      <c r="B475" s="16" t="s">
        <v>103</v>
      </c>
      <c r="C475" s="18"/>
      <c r="D475" s="31">
        <f>D13+D34+D55+D79+D99+D122+D142+D162+D191+D211+D233+D254+D274+D297+D318+D338+D358+D379+D403+D423+D424+D425+D426+D427</f>
        <v>-67645649.50999999</v>
      </c>
      <c r="E475" s="31">
        <f>E13+E34+E55+E79+E99+E122+E142+E162+E191+E211+E233+E254+E274+E297+E318+E338+E358+E379+E403+E423+E424+E425+E426+E427</f>
        <v>-1519384.94</v>
      </c>
      <c r="F475" s="31">
        <f>F13+F34+F55+F79+F99+F122+F142+F162+F191+F211+F233+F254+F274+F297+F318+F338+F358+F379+F403+F423+F424+F425+F426+F427</f>
        <v>409239.99000000005</v>
      </c>
      <c r="G475" s="31">
        <f>G13+G34+G55+G79+G99+G122+G142+G162+G191+G211+G233+G254+G274+G297+G318+G338+G358+G379+G403+G423+G424+G425+G426+G427</f>
        <v>68203387.519999996</v>
      </c>
      <c r="H475" s="31">
        <f>H13+H34+H55+H79+H99+H122+H142+H162+H191+H211+H233+H254+H274+H297+H318+H338+H358+H379+H403+H423+H424+H425+H426+H427</f>
        <v>-1259770.4213866997</v>
      </c>
      <c r="I475" s="26"/>
      <c r="J475" s="19"/>
      <c r="K475" s="19"/>
    </row>
    <row r="476" spans="1:11" ht="15.75" hidden="1" x14ac:dyDescent="0.25">
      <c r="A476" s="24"/>
      <c r="B476" s="16"/>
      <c r="C476" s="18"/>
      <c r="D476" s="31"/>
      <c r="E476" s="31"/>
      <c r="F476" s="31"/>
      <c r="G476" s="31"/>
      <c r="H476" s="31"/>
      <c r="I476" s="26"/>
      <c r="J476" s="19"/>
      <c r="K476" s="19"/>
    </row>
    <row r="477" spans="1:11" ht="15" hidden="1" x14ac:dyDescent="0.2">
      <c r="A477" s="24">
        <v>2024</v>
      </c>
      <c r="B477" s="17" t="s">
        <v>15</v>
      </c>
      <c r="C477" s="34">
        <v>-1812369.12</v>
      </c>
      <c r="D477" s="39">
        <v>-277898.66000199132</v>
      </c>
      <c r="E477" s="34">
        <v>-4531.7700000000004</v>
      </c>
      <c r="F477" s="34">
        <v>0</v>
      </c>
      <c r="G477" s="35">
        <v>258051.35000008601</v>
      </c>
      <c r="H477" s="39">
        <v>-6948.5275587273763</v>
      </c>
      <c r="I477" s="34">
        <f>C477+D477+E477+F477+G477+H477+K477</f>
        <v>-1843696.7275606329</v>
      </c>
      <c r="J477" s="19"/>
      <c r="K477" s="19"/>
    </row>
    <row r="478" spans="1:11" ht="15" hidden="1" x14ac:dyDescent="0.2">
      <c r="A478" s="24"/>
      <c r="B478" s="17" t="s">
        <v>16</v>
      </c>
      <c r="C478" s="34">
        <f>I477</f>
        <v>-1843696.7275606329</v>
      </c>
      <c r="D478" s="39">
        <v>-278706.17000199546</v>
      </c>
      <c r="E478" s="34">
        <v>-4912.9599999999991</v>
      </c>
      <c r="F478" s="34">
        <v>0</v>
      </c>
      <c r="G478" s="35">
        <v>262940.61000008899</v>
      </c>
      <c r="H478" s="39">
        <v>-7060.7870478541226</v>
      </c>
      <c r="I478" s="34">
        <f>C478+D478+E478+F478+G478+H478</f>
        <v>-1871436.0346103932</v>
      </c>
      <c r="J478" s="19"/>
      <c r="K478" s="19"/>
    </row>
    <row r="479" spans="1:11" ht="15" hidden="1" x14ac:dyDescent="0.2">
      <c r="A479" s="24"/>
      <c r="B479" s="17" t="s">
        <v>17</v>
      </c>
      <c r="C479" s="34">
        <f>I478</f>
        <v>-1871436.0346103932</v>
      </c>
      <c r="D479" s="39">
        <v>-275394.07000197162</v>
      </c>
      <c r="E479" s="34">
        <v>-4567.63</v>
      </c>
      <c r="F479" s="34">
        <v>0</v>
      </c>
      <c r="G479" s="35">
        <v>263377.89000009</v>
      </c>
      <c r="H479" s="39">
        <v>-7158.6305652435803</v>
      </c>
      <c r="I479" s="34">
        <f>C479+D479+E479+F479+G479+H479+K479</f>
        <v>-1895178.4751775183</v>
      </c>
      <c r="J479" s="19"/>
      <c r="K479" s="19"/>
    </row>
    <row r="480" spans="1:11" ht="15.75" hidden="1" x14ac:dyDescent="0.25">
      <c r="A480" s="24"/>
      <c r="B480" s="36" t="s">
        <v>142</v>
      </c>
      <c r="C480" s="18" t="s">
        <v>19</v>
      </c>
      <c r="D480" s="31">
        <f>SUM(D477:D479)</f>
        <v>-831998.90000595851</v>
      </c>
      <c r="E480" s="31">
        <f>SUM(E477:E479)</f>
        <v>-14012.36</v>
      </c>
      <c r="F480" s="31">
        <f>SUM(F477:F479)</f>
        <v>0</v>
      </c>
      <c r="G480" s="31">
        <f>SUM(G477:G479)</f>
        <v>784369.85000026505</v>
      </c>
      <c r="H480" s="31">
        <f>SUM(H477:H479)</f>
        <v>-21167.945171825078</v>
      </c>
      <c r="I480" s="26"/>
      <c r="J480" s="19"/>
      <c r="K480" s="19"/>
    </row>
    <row r="481" spans="1:11" ht="15.75" hidden="1" x14ac:dyDescent="0.25">
      <c r="A481" s="24"/>
      <c r="B481" s="36"/>
      <c r="C481" s="18"/>
      <c r="D481" s="31"/>
      <c r="E481" s="31"/>
      <c r="F481" s="31"/>
      <c r="G481" s="31"/>
      <c r="H481" s="31"/>
      <c r="I481" s="26"/>
      <c r="J481" s="19"/>
      <c r="K481" s="19"/>
    </row>
    <row r="482" spans="1:11" ht="15" hidden="1" x14ac:dyDescent="0.2">
      <c r="A482" s="24">
        <v>2024</v>
      </c>
      <c r="B482" s="17" t="s">
        <v>20</v>
      </c>
      <c r="C482" s="34">
        <f>I479</f>
        <v>-1895178.4751775183</v>
      </c>
      <c r="D482" s="39">
        <v>-278375.05000198656</v>
      </c>
      <c r="E482" s="34">
        <v>-3595.3599999999997</v>
      </c>
      <c r="F482" s="34">
        <v>0</v>
      </c>
      <c r="G482" s="35">
        <v>270126.05000009498</v>
      </c>
      <c r="H482" s="26">
        <v>-8459.8979099631633</v>
      </c>
      <c r="I482" s="34">
        <f>C482+D482+E482+F482+G482+H482+K482</f>
        <v>-1915482.733089373</v>
      </c>
      <c r="J482" s="19"/>
      <c r="K482" s="19"/>
    </row>
    <row r="483" spans="1:11" ht="15" hidden="1" x14ac:dyDescent="0.2">
      <c r="A483" s="24"/>
      <c r="B483" s="17" t="s">
        <v>21</v>
      </c>
      <c r="C483" s="34">
        <f>I482</f>
        <v>-1915482.733089373</v>
      </c>
      <c r="D483" s="39">
        <v>-281273.22000197863</v>
      </c>
      <c r="E483" s="34">
        <v>-2322.34</v>
      </c>
      <c r="F483" s="34">
        <v>0</v>
      </c>
      <c r="G483" s="35">
        <v>267891.91000009398</v>
      </c>
      <c r="H483" s="26">
        <v>-8558.8387779209024</v>
      </c>
      <c r="I483" s="34">
        <f>C483+D483+E483+F483+G483+H483</f>
        <v>-1939745.2218691786</v>
      </c>
      <c r="J483" s="19"/>
      <c r="K483" s="19"/>
    </row>
    <row r="484" spans="1:11" ht="15" hidden="1" x14ac:dyDescent="0.2">
      <c r="A484" s="24"/>
      <c r="B484" s="17" t="s">
        <v>22</v>
      </c>
      <c r="C484" s="34">
        <f>I483</f>
        <v>-1939745.2218691786</v>
      </c>
      <c r="D484" s="39">
        <v>-284462.05000200798</v>
      </c>
      <c r="E484" s="34">
        <v>-34286.81</v>
      </c>
      <c r="F484" s="34">
        <v>0</v>
      </c>
      <c r="G484" s="35">
        <v>271452.37000009703</v>
      </c>
      <c r="H484" s="26">
        <v>-8737.1009219910975</v>
      </c>
      <c r="I484" s="34">
        <f>C484+D484+E484+F484+G484+H484+K484</f>
        <v>-1995778.8127930809</v>
      </c>
      <c r="J484" s="19"/>
      <c r="K484" s="19"/>
    </row>
    <row r="485" spans="1:11" ht="15.75" hidden="1" x14ac:dyDescent="0.25">
      <c r="A485" s="24"/>
      <c r="B485" s="36" t="s">
        <v>143</v>
      </c>
      <c r="C485" s="18" t="s">
        <v>19</v>
      </c>
      <c r="D485" s="31">
        <f>SUM(D482:D484)</f>
        <v>-844110.3200059731</v>
      </c>
      <c r="E485" s="31">
        <f>SUM(E482:E484)</f>
        <v>-40204.509999999995</v>
      </c>
      <c r="F485" s="31">
        <f>SUM(F482:F484)</f>
        <v>0</v>
      </c>
      <c r="G485" s="31">
        <f>SUM(G482:G484)</f>
        <v>809470.33000028599</v>
      </c>
      <c r="H485" s="31">
        <f>SUM(H482:H484)</f>
        <v>-25755.837609875161</v>
      </c>
      <c r="I485" s="26"/>
      <c r="J485" s="19"/>
      <c r="K485" s="19"/>
    </row>
    <row r="486" spans="1:11" ht="15.75" hidden="1" x14ac:dyDescent="0.25">
      <c r="A486" s="24"/>
      <c r="B486" s="16"/>
      <c r="C486" s="18"/>
      <c r="D486" s="31"/>
      <c r="E486" s="31"/>
      <c r="F486" s="31"/>
      <c r="G486" s="31"/>
      <c r="H486" s="31"/>
      <c r="I486" s="26"/>
      <c r="J486" s="19"/>
      <c r="K486" s="19"/>
    </row>
    <row r="487" spans="1:11" ht="15" hidden="1" x14ac:dyDescent="0.2">
      <c r="A487" s="24">
        <v>2024</v>
      </c>
      <c r="B487" s="17" t="s">
        <v>24</v>
      </c>
      <c r="C487" s="34">
        <f>I484</f>
        <v>-1995778.8127930809</v>
      </c>
      <c r="D487" s="39">
        <v>-273285.520001914</v>
      </c>
      <c r="E487" s="34">
        <v>-41549.630000000005</v>
      </c>
      <c r="F487" s="34"/>
      <c r="G487" s="35">
        <v>265701.88000008999</v>
      </c>
      <c r="H487" s="26">
        <v>-8990.5372371022713</v>
      </c>
      <c r="I487" s="34">
        <f>C487+D487+E487+F487+G487+H487+K487</f>
        <v>-2053902.6200320071</v>
      </c>
      <c r="J487" s="19"/>
      <c r="K487" s="19"/>
    </row>
    <row r="488" spans="1:11" ht="15" hidden="1" x14ac:dyDescent="0.2">
      <c r="A488" s="24"/>
      <c r="B488" s="17" t="s">
        <v>25</v>
      </c>
      <c r="C488" s="34">
        <f>I487</f>
        <v>-2053902.6200320071</v>
      </c>
      <c r="D488" s="39">
        <v>-293745.90000207</v>
      </c>
      <c r="E488" s="34">
        <v>29541.309999999998</v>
      </c>
      <c r="F488" s="34"/>
      <c r="G488" s="35">
        <v>372971.77000013198</v>
      </c>
      <c r="H488" s="26">
        <v>-8897.8596780657444</v>
      </c>
      <c r="I488" s="34">
        <f>C488+D488+E488+F488+G488+H488</f>
        <v>-1954033.2997120107</v>
      </c>
      <c r="J488" s="19"/>
      <c r="K488" s="19"/>
    </row>
    <row r="489" spans="1:11" ht="15" hidden="1" x14ac:dyDescent="0.2">
      <c r="A489" s="24"/>
      <c r="B489" s="17" t="s">
        <v>11</v>
      </c>
      <c r="C489" s="34">
        <f>I488</f>
        <v>-1954033.2997120107</v>
      </c>
      <c r="D489" s="39">
        <v>-283903.300002034</v>
      </c>
      <c r="E489" s="34">
        <v>-924555.03999999992</v>
      </c>
      <c r="F489" s="34"/>
      <c r="G489" s="35">
        <v>292262.86000011401</v>
      </c>
      <c r="H489" s="26">
        <v>-10733.98312114172</v>
      </c>
      <c r="I489" s="34">
        <f>C489+D489+E489+F489+G489+H489+K489</f>
        <v>-2880962.7628350724</v>
      </c>
      <c r="J489" s="19"/>
      <c r="K489" s="19"/>
    </row>
    <row r="490" spans="1:11" ht="15.75" hidden="1" x14ac:dyDescent="0.25">
      <c r="A490" s="24"/>
      <c r="B490" s="36" t="s">
        <v>144</v>
      </c>
      <c r="C490" s="18" t="s">
        <v>19</v>
      </c>
      <c r="D490" s="31">
        <f>SUM(D487:D489)</f>
        <v>-850934.72000601795</v>
      </c>
      <c r="E490" s="31">
        <f>SUM(E487:E489)</f>
        <v>-936563.35999999987</v>
      </c>
      <c r="F490" s="31">
        <f>SUM(F487:F489)</f>
        <v>0</v>
      </c>
      <c r="G490" s="31">
        <f>SUM(G487:G489)</f>
        <v>930936.51000033598</v>
      </c>
      <c r="H490" s="31">
        <f>SUM(H487:H489)</f>
        <v>-28622.380036309733</v>
      </c>
      <c r="I490" s="26"/>
      <c r="J490" s="19"/>
      <c r="K490" s="19"/>
    </row>
    <row r="491" spans="1:11" ht="15.75" hidden="1" x14ac:dyDescent="0.25">
      <c r="A491" s="24"/>
      <c r="B491" s="16"/>
      <c r="C491" s="18"/>
      <c r="D491" s="31"/>
      <c r="E491" s="31"/>
      <c r="F491" s="31"/>
      <c r="G491" s="31"/>
      <c r="H491" s="31"/>
      <c r="I491" s="26"/>
      <c r="J491" s="19"/>
      <c r="K491" s="19"/>
    </row>
    <row r="492" spans="1:11" ht="15" hidden="1" x14ac:dyDescent="0.2">
      <c r="A492" s="24">
        <v>2024</v>
      </c>
      <c r="B492" s="17" t="s">
        <v>12</v>
      </c>
      <c r="C492" s="34">
        <f>I489</f>
        <v>-2880962.7628350724</v>
      </c>
      <c r="D492" s="39">
        <v>-281844.37000198435</v>
      </c>
      <c r="E492" s="34">
        <v>-4442.2300000000005</v>
      </c>
      <c r="F492" s="34"/>
      <c r="G492" s="35">
        <v>297516.16000011901</v>
      </c>
      <c r="H492" s="26">
        <v>-12795.298518039221</v>
      </c>
      <c r="I492" s="34">
        <f>C492+D492+E492+F492+G492+H492+K492</f>
        <v>-2882528.501354977</v>
      </c>
      <c r="J492" s="19"/>
      <c r="K492" s="19"/>
    </row>
    <row r="493" spans="1:11" ht="15" hidden="1" x14ac:dyDescent="0.2">
      <c r="A493" s="24"/>
      <c r="B493" s="17" t="s">
        <v>13</v>
      </c>
      <c r="C493" s="34">
        <f>I492</f>
        <v>-2882528.501354977</v>
      </c>
      <c r="D493" s="39">
        <v>-287701.82000202773</v>
      </c>
      <c r="E493" s="34">
        <v>-69.719999999999914</v>
      </c>
      <c r="F493" s="34"/>
      <c r="G493" s="35">
        <v>303250.73000012297</v>
      </c>
      <c r="H493" s="26">
        <v>-12792.810627702886</v>
      </c>
      <c r="I493" s="34">
        <f>C493+D493+E493+F493+G493+H493</f>
        <v>-2879842.1219845852</v>
      </c>
      <c r="J493" s="19"/>
      <c r="K493" s="19"/>
    </row>
    <row r="494" spans="1:11" ht="15" hidden="1" x14ac:dyDescent="0.2">
      <c r="A494" s="24"/>
      <c r="B494" s="17" t="s">
        <v>14</v>
      </c>
      <c r="C494" s="34">
        <f>I493</f>
        <v>-2879842.1219845852</v>
      </c>
      <c r="D494" s="39">
        <v>-286575.21000201412</v>
      </c>
      <c r="E494" s="34">
        <v>608.16</v>
      </c>
      <c r="F494" s="34"/>
      <c r="G494" s="35">
        <v>283000.41000010399</v>
      </c>
      <c r="H494" s="26">
        <v>-12821.898211254653</v>
      </c>
      <c r="I494" s="34">
        <f>C494+D494+E494+F494+G494+H494+K494</f>
        <v>-2895630.6601977497</v>
      </c>
      <c r="J494" s="19"/>
      <c r="K494" s="19"/>
    </row>
    <row r="495" spans="1:11" ht="15.75" hidden="1" x14ac:dyDescent="0.25">
      <c r="A495" s="24"/>
      <c r="B495" s="36" t="s">
        <v>145</v>
      </c>
      <c r="C495" s="18" t="s">
        <v>19</v>
      </c>
      <c r="D495" s="31">
        <f>SUM(D492:D494)</f>
        <v>-856121.40000602626</v>
      </c>
      <c r="E495" s="31">
        <f>SUM(E492:E494)</f>
        <v>-3903.7900000000009</v>
      </c>
      <c r="F495" s="31">
        <f>SUM(F492:F494)</f>
        <v>0</v>
      </c>
      <c r="G495" s="31">
        <f>SUM(G492:G494)</f>
        <v>883767.30000034603</v>
      </c>
      <c r="H495" s="31">
        <f>SUM(H492:H494)</f>
        <v>-38410.007356996757</v>
      </c>
      <c r="I495" s="26"/>
      <c r="J495" s="19"/>
      <c r="K495" s="19"/>
    </row>
    <row r="496" spans="1:11" ht="15.75" hidden="1" x14ac:dyDescent="0.25">
      <c r="A496" s="24"/>
      <c r="B496" s="16"/>
      <c r="C496" s="18"/>
      <c r="D496" s="31"/>
      <c r="E496" s="31"/>
      <c r="F496" s="31"/>
      <c r="G496" s="31"/>
      <c r="H496" s="31"/>
      <c r="I496" s="26"/>
      <c r="J496" s="19"/>
      <c r="K496" s="19"/>
    </row>
    <row r="497" spans="1:11" ht="15.75" hidden="1" x14ac:dyDescent="0.25">
      <c r="A497" s="24"/>
      <c r="B497" s="16" t="s">
        <v>103</v>
      </c>
      <c r="C497" s="18"/>
      <c r="D497" s="31">
        <f>D475+D480+D485+D490+D495</f>
        <v>-71028814.850023955</v>
      </c>
      <c r="E497" s="31">
        <f>E475+E480+E485+E490+E495</f>
        <v>-2514068.96</v>
      </c>
      <c r="F497" s="31">
        <f>F475+F480+F485+F490+F495</f>
        <v>409239.99000000005</v>
      </c>
      <c r="G497" s="31">
        <f>G475+G480+G485+G490+G495</f>
        <v>71611931.510001212</v>
      </c>
      <c r="H497" s="31">
        <f>H475+H480+H485+H490+H495</f>
        <v>-1373726.5915617065</v>
      </c>
      <c r="I497" s="26"/>
      <c r="J497" s="19"/>
      <c r="K497" s="19"/>
    </row>
    <row r="498" spans="1:11" ht="15.75" hidden="1" x14ac:dyDescent="0.25">
      <c r="A498" s="24"/>
      <c r="B498" s="36"/>
      <c r="C498" s="18"/>
      <c r="D498" s="31"/>
      <c r="E498" s="31"/>
      <c r="F498" s="31"/>
      <c r="G498" s="31"/>
      <c r="H498" s="31"/>
      <c r="I498" s="26"/>
      <c r="J498" s="19"/>
      <c r="K498" s="19"/>
    </row>
    <row r="499" spans="1:11" ht="15" x14ac:dyDescent="0.2">
      <c r="A499" s="24">
        <v>2025</v>
      </c>
      <c r="B499" s="17" t="s">
        <v>15</v>
      </c>
      <c r="C499" s="34">
        <f>I494</f>
        <v>-2895630.6601977497</v>
      </c>
      <c r="D499" s="93">
        <v>-289837.44</v>
      </c>
      <c r="E499" s="34">
        <v>-66.709999999999994</v>
      </c>
      <c r="F499" s="34">
        <v>0</v>
      </c>
      <c r="G499" s="35">
        <v>284965.89</v>
      </c>
      <c r="H499" s="26">
        <v>-12896.54</v>
      </c>
      <c r="I499" s="34">
        <f>C499+D499+E499+F499+G499+H499+K499</f>
        <v>-2913465.4601977495</v>
      </c>
      <c r="J499" s="19"/>
      <c r="K499" s="19"/>
    </row>
    <row r="500" spans="1:11" ht="15" x14ac:dyDescent="0.2">
      <c r="A500" s="24"/>
      <c r="B500" s="17" t="s">
        <v>16</v>
      </c>
      <c r="C500" s="34">
        <f>I499</f>
        <v>-2913465.4601977495</v>
      </c>
      <c r="D500" s="93">
        <v>-283526.84999999998</v>
      </c>
      <c r="E500" s="34">
        <v>348.5</v>
      </c>
      <c r="F500" s="34"/>
      <c r="G500" s="35">
        <v>279183.74</v>
      </c>
      <c r="H500" s="26">
        <v>-12973.81</v>
      </c>
      <c r="I500" s="34">
        <f>C500+D500+E500+F500+G500+H500</f>
        <v>-2930433.8801977499</v>
      </c>
      <c r="J500" s="19"/>
      <c r="K500" s="19"/>
    </row>
    <row r="501" spans="1:11" ht="15" x14ac:dyDescent="0.2">
      <c r="A501" s="24"/>
      <c r="B501" s="17" t="s">
        <v>17</v>
      </c>
      <c r="C501" s="34">
        <f>I500</f>
        <v>-2930433.8801977499</v>
      </c>
      <c r="D501" s="93">
        <v>-291985.78999999998</v>
      </c>
      <c r="E501" s="34">
        <v>357.05</v>
      </c>
      <c r="F501" s="34"/>
      <c r="G501" s="35">
        <v>290233.74</v>
      </c>
      <c r="H501" s="26">
        <v>-13043.53</v>
      </c>
      <c r="I501" s="34">
        <f>C501+D501+E501+F501+G501+H501+K501-0.01</f>
        <v>-2944872.42019775</v>
      </c>
      <c r="J501" s="19"/>
      <c r="K501" s="19"/>
    </row>
    <row r="502" spans="1:11" ht="15.75" x14ac:dyDescent="0.25">
      <c r="A502" s="24"/>
      <c r="B502" s="36" t="s">
        <v>146</v>
      </c>
      <c r="C502" s="18" t="s">
        <v>19</v>
      </c>
      <c r="D502" s="31">
        <f>SUM(D499:D501)</f>
        <v>-865350.08000000007</v>
      </c>
      <c r="E502" s="31">
        <f>SUM(E499:E501)</f>
        <v>638.84</v>
      </c>
      <c r="F502" s="31">
        <f>SUM(F499:F501)</f>
        <v>0</v>
      </c>
      <c r="G502" s="31">
        <f>SUM(G499:G501)</f>
        <v>854383.37</v>
      </c>
      <c r="H502" s="31">
        <f>SUM(H499:H501)</f>
        <v>-38913.879999999997</v>
      </c>
      <c r="I502" s="26"/>
      <c r="J502" s="19"/>
      <c r="K502" s="19"/>
    </row>
    <row r="503" spans="1:11" ht="15.75" x14ac:dyDescent="0.25">
      <c r="A503" s="24"/>
      <c r="B503" s="36"/>
      <c r="C503" s="18"/>
      <c r="D503" s="31"/>
      <c r="E503" s="31"/>
      <c r="F503" s="31"/>
      <c r="G503" s="31"/>
      <c r="H503" s="31"/>
      <c r="I503" s="26"/>
      <c r="J503" s="19"/>
      <c r="K503" s="19"/>
    </row>
    <row r="504" spans="1:11" ht="15" x14ac:dyDescent="0.2">
      <c r="A504" s="24">
        <v>2025</v>
      </c>
      <c r="B504" s="17" t="s">
        <v>20</v>
      </c>
      <c r="C504" s="34">
        <f>I501</f>
        <v>-2944872.42019775</v>
      </c>
      <c r="D504" s="93">
        <v>-288429.36</v>
      </c>
      <c r="E504" s="34">
        <v>975.56</v>
      </c>
      <c r="F504" s="34"/>
      <c r="G504" s="35">
        <v>292528.37</v>
      </c>
      <c r="H504" s="26">
        <v>-13240.51</v>
      </c>
      <c r="I504" s="34">
        <f>C504+D504+E504+F504+G504+H504+K504</f>
        <v>-2953038.3601977495</v>
      </c>
      <c r="J504" s="19"/>
      <c r="K504" s="19"/>
    </row>
    <row r="505" spans="1:11" ht="15" x14ac:dyDescent="0.2">
      <c r="A505" s="24"/>
      <c r="B505" s="17" t="s">
        <v>21</v>
      </c>
      <c r="C505" s="34">
        <f>I504</f>
        <v>-2953038.3601977495</v>
      </c>
      <c r="D505" s="93">
        <v>-287154.21999999997</v>
      </c>
      <c r="E505" s="34">
        <v>1586.48</v>
      </c>
      <c r="F505" s="34"/>
      <c r="G505" s="35">
        <v>349984.62</v>
      </c>
      <c r="H505" s="26">
        <v>-13143.73</v>
      </c>
      <c r="I505" s="34">
        <f>C505+D505+E505+F505+G505+H505</f>
        <v>-2901765.2101977495</v>
      </c>
      <c r="J505" s="19"/>
      <c r="K505" s="19"/>
    </row>
    <row r="506" spans="1:11" ht="15" x14ac:dyDescent="0.2">
      <c r="A506" s="24"/>
      <c r="B506" s="17" t="s">
        <v>22</v>
      </c>
      <c r="C506" s="34">
        <f>I505</f>
        <v>-2901765.2101977495</v>
      </c>
      <c r="D506" s="93">
        <v>-290231.96999999997</v>
      </c>
      <c r="E506" s="34">
        <v>1067.81</v>
      </c>
      <c r="F506" s="34"/>
      <c r="G506" s="35">
        <v>374868.22</v>
      </c>
      <c r="H506" s="26">
        <v>-12865.11</v>
      </c>
      <c r="I506" s="34">
        <f>C506+D506+E506+F506+G506+H506+K506</f>
        <v>-2828926.2601977489</v>
      </c>
      <c r="J506" s="19"/>
      <c r="K506" s="19"/>
    </row>
    <row r="507" spans="1:11" ht="15.75" x14ac:dyDescent="0.25">
      <c r="A507" s="24"/>
      <c r="B507" s="36" t="s">
        <v>149</v>
      </c>
      <c r="C507" s="18" t="s">
        <v>19</v>
      </c>
      <c r="D507" s="31">
        <f>SUM(D504:D506)</f>
        <v>-865815.54999999993</v>
      </c>
      <c r="E507" s="31">
        <f>SUM(E504:E506)</f>
        <v>3629.85</v>
      </c>
      <c r="F507" s="31">
        <f>SUM(F504:F506)</f>
        <v>0</v>
      </c>
      <c r="G507" s="31">
        <f>SUM(G504:G506)</f>
        <v>1017381.21</v>
      </c>
      <c r="H507" s="31">
        <f>SUM(H504:H506)</f>
        <v>-39249.35</v>
      </c>
      <c r="I507" s="26"/>
      <c r="J507" s="19"/>
      <c r="K507" s="19"/>
    </row>
    <row r="508" spans="1:11" ht="15.75" x14ac:dyDescent="0.25">
      <c r="A508" s="24"/>
      <c r="B508" s="36"/>
      <c r="C508" s="18"/>
      <c r="D508" s="31"/>
      <c r="E508" s="31"/>
      <c r="F508" s="31"/>
      <c r="G508" s="31"/>
      <c r="H508" s="31"/>
      <c r="I508" s="26"/>
      <c r="J508" s="19"/>
      <c r="K508" s="19"/>
    </row>
    <row r="509" spans="1:11" ht="15" x14ac:dyDescent="0.2">
      <c r="A509" s="24">
        <v>2025</v>
      </c>
      <c r="B509" s="17" t="s">
        <v>24</v>
      </c>
      <c r="C509" s="34">
        <f>I506</f>
        <v>-2828926.2601977489</v>
      </c>
      <c r="D509" s="93">
        <v>-291240.90999999997</v>
      </c>
      <c r="E509" s="34">
        <v>-110475.55</v>
      </c>
      <c r="F509" s="34"/>
      <c r="G509" s="35">
        <v>375041.36</v>
      </c>
      <c r="H509" s="26">
        <v>-12790.19</v>
      </c>
      <c r="I509" s="34">
        <f>C509+D509+E509+F509+G509+H509+K509</f>
        <v>-2868391.5501977489</v>
      </c>
      <c r="J509" s="19"/>
      <c r="K509" s="19"/>
    </row>
    <row r="510" spans="1:11" ht="15" x14ac:dyDescent="0.2">
      <c r="A510" s="24"/>
      <c r="B510" s="17" t="s">
        <v>25</v>
      </c>
      <c r="C510" s="34">
        <f>I509</f>
        <v>-2868391.5501977489</v>
      </c>
      <c r="D510" s="93">
        <v>-291249.59999999998</v>
      </c>
      <c r="E510" s="34">
        <v>47136.4</v>
      </c>
      <c r="F510" s="34"/>
      <c r="G510" s="35">
        <v>375071.91</v>
      </c>
      <c r="H510" s="26">
        <v>-12613.1</v>
      </c>
      <c r="I510" s="34">
        <f t="shared" ref="I510:I511" si="2">C510+D510+E510+F510+G510+H510+K510</f>
        <v>-2750045.9401977491</v>
      </c>
      <c r="J510" s="19"/>
      <c r="K510" s="19"/>
    </row>
    <row r="511" spans="1:11" ht="15" x14ac:dyDescent="0.2">
      <c r="A511" s="24"/>
      <c r="B511" s="17" t="s">
        <v>11</v>
      </c>
      <c r="C511" s="34">
        <f>I510</f>
        <v>-2750045.9401977491</v>
      </c>
      <c r="D511" s="93">
        <v>-293654.07</v>
      </c>
      <c r="E511" s="34">
        <v>1964.03</v>
      </c>
      <c r="F511" s="34"/>
      <c r="G511" s="35">
        <v>382852.28</v>
      </c>
      <c r="H511" s="26">
        <v>-12170.09</v>
      </c>
      <c r="I511" s="34">
        <f t="shared" si="2"/>
        <v>-2671053.7901977487</v>
      </c>
      <c r="J511" s="19"/>
      <c r="K511" s="19"/>
    </row>
    <row r="512" spans="1:11" ht="15.75" x14ac:dyDescent="0.25">
      <c r="A512" s="24"/>
      <c r="B512" s="36" t="s">
        <v>148</v>
      </c>
      <c r="C512" s="18"/>
      <c r="D512" s="31">
        <f>SUM(D509:D511)</f>
        <v>-876144.58000000007</v>
      </c>
      <c r="E512" s="31">
        <f>SUM(E509:E511)</f>
        <v>-61375.12</v>
      </c>
      <c r="F512" s="31">
        <f>SUM(F509:F511)</f>
        <v>0</v>
      </c>
      <c r="G512" s="31">
        <f>SUM(G509:G511)</f>
        <v>1132965.55</v>
      </c>
      <c r="H512" s="31">
        <f>SUM(H509:H511)</f>
        <v>-37573.380000000005</v>
      </c>
      <c r="I512" s="26"/>
      <c r="J512" s="19"/>
      <c r="K512" s="19"/>
    </row>
    <row r="513" spans="1:11" ht="15.75" hidden="1" x14ac:dyDescent="0.25">
      <c r="A513" s="84"/>
      <c r="B513" s="61"/>
      <c r="C513" s="34"/>
      <c r="D513" s="93"/>
      <c r="E513" s="34"/>
      <c r="F513" s="34"/>
      <c r="G513" s="35"/>
      <c r="H513" s="26"/>
      <c r="I513" s="34">
        <f>C513+D513+E513+F513+G513+H513+K513</f>
        <v>0</v>
      </c>
      <c r="J513" s="19"/>
      <c r="K513" s="19"/>
    </row>
    <row r="514" spans="1:11" ht="15" hidden="1" x14ac:dyDescent="0.2">
      <c r="A514" s="84">
        <v>2025</v>
      </c>
      <c r="B514" s="60" t="s">
        <v>20</v>
      </c>
      <c r="C514" s="34"/>
      <c r="D514" s="93"/>
      <c r="E514" s="34"/>
      <c r="F514" s="34"/>
      <c r="G514" s="35"/>
      <c r="H514" s="26"/>
      <c r="I514" s="34">
        <f>C514+D514+E514+F514+G514+H514</f>
        <v>0</v>
      </c>
      <c r="J514" s="19"/>
      <c r="K514" s="19"/>
    </row>
    <row r="515" spans="1:11" ht="15" hidden="1" x14ac:dyDescent="0.2">
      <c r="A515" s="84"/>
      <c r="B515" s="60" t="s">
        <v>21</v>
      </c>
      <c r="C515" s="34"/>
      <c r="D515" s="93"/>
      <c r="E515" s="34"/>
      <c r="F515" s="34"/>
      <c r="G515" s="35"/>
      <c r="H515" s="26"/>
      <c r="I515" s="34">
        <f>C515+D515+E515+F515+G515+H515+K515</f>
        <v>0</v>
      </c>
      <c r="J515" s="19"/>
      <c r="K515" s="19"/>
    </row>
    <row r="516" spans="1:11" ht="15.75" hidden="1" x14ac:dyDescent="0.25">
      <c r="A516" s="84"/>
      <c r="B516" s="60" t="s">
        <v>22</v>
      </c>
      <c r="C516" s="18" t="s">
        <v>19</v>
      </c>
      <c r="D516" s="31">
        <f>SUM(D513:D515)</f>
        <v>0</v>
      </c>
      <c r="E516" s="31">
        <f>SUM(E513:E515)</f>
        <v>0</v>
      </c>
      <c r="F516" s="31">
        <f>SUM(F513:F515)</f>
        <v>0</v>
      </c>
      <c r="G516" s="31">
        <f>SUM(G513:G515)</f>
        <v>0</v>
      </c>
      <c r="H516" s="31">
        <f>SUM(H513:H515)</f>
        <v>0</v>
      </c>
      <c r="I516" s="26"/>
      <c r="J516" s="19"/>
      <c r="K516" s="19"/>
    </row>
    <row r="517" spans="1:11" ht="15.75" hidden="1" x14ac:dyDescent="0.25">
      <c r="A517" s="84"/>
      <c r="B517" s="61" t="s">
        <v>149</v>
      </c>
      <c r="C517" s="18"/>
      <c r="D517" s="31"/>
      <c r="E517" s="31"/>
      <c r="F517" s="31"/>
      <c r="G517" s="31"/>
      <c r="H517" s="31"/>
      <c r="I517" s="26"/>
      <c r="J517" s="19"/>
      <c r="K517" s="19"/>
    </row>
    <row r="518" spans="1:11" ht="15" hidden="1" x14ac:dyDescent="0.2">
      <c r="A518" s="84">
        <v>2025</v>
      </c>
      <c r="B518" s="60" t="s">
        <v>12</v>
      </c>
      <c r="C518" s="34"/>
      <c r="D518" s="93"/>
      <c r="E518" s="34"/>
      <c r="F518" s="34"/>
      <c r="G518" s="35"/>
      <c r="H518" s="26"/>
      <c r="I518" s="34">
        <f>C518+D518+E518+F518+G518+H518+K518</f>
        <v>0</v>
      </c>
      <c r="J518" s="19"/>
      <c r="K518" s="19"/>
    </row>
    <row r="519" spans="1:11" ht="15" hidden="1" x14ac:dyDescent="0.2">
      <c r="A519" s="84"/>
      <c r="B519" s="60" t="s">
        <v>13</v>
      </c>
      <c r="C519" s="34"/>
      <c r="D519" s="93"/>
      <c r="E519" s="34"/>
      <c r="F519" s="34"/>
      <c r="G519" s="35"/>
      <c r="H519" s="26"/>
      <c r="I519" s="34">
        <f>C519+D519+E519+F519+G519+H519</f>
        <v>0</v>
      </c>
      <c r="J519" s="19"/>
      <c r="K519" s="19"/>
    </row>
    <row r="520" spans="1:11" ht="15" hidden="1" x14ac:dyDescent="0.2">
      <c r="A520" s="84"/>
      <c r="B520" s="60" t="s">
        <v>14</v>
      </c>
      <c r="C520" s="34"/>
      <c r="D520" s="93"/>
      <c r="E520" s="34"/>
      <c r="F520" s="34"/>
      <c r="G520" s="35"/>
      <c r="H520" s="26"/>
      <c r="I520" s="34">
        <f>C520+D520+E520+F520+G520+H520+K520</f>
        <v>0</v>
      </c>
      <c r="J520" s="19"/>
      <c r="K520" s="19"/>
    </row>
    <row r="521" spans="1:11" ht="15.75" hidden="1" x14ac:dyDescent="0.25">
      <c r="A521" s="84"/>
      <c r="B521" s="61" t="s">
        <v>147</v>
      </c>
      <c r="C521" s="18" t="s">
        <v>19</v>
      </c>
      <c r="D521" s="31">
        <f>SUM(D518:D520)</f>
        <v>0</v>
      </c>
      <c r="E521" s="31">
        <f>SUM(E518:E520)</f>
        <v>0</v>
      </c>
      <c r="F521" s="31">
        <f>SUM(F518:F520)</f>
        <v>0</v>
      </c>
      <c r="G521" s="31">
        <f>SUM(G518:G520)</f>
        <v>0</v>
      </c>
      <c r="H521" s="31">
        <f>SUM(H518:H520)</f>
        <v>0</v>
      </c>
      <c r="I521" s="26"/>
      <c r="J521" s="19"/>
      <c r="K521" s="19"/>
    </row>
    <row r="522" spans="1:11" ht="15" x14ac:dyDescent="0.2">
      <c r="A522" s="24"/>
      <c r="B522" s="17"/>
      <c r="C522" s="34"/>
      <c r="D522" s="93"/>
      <c r="E522" s="34"/>
      <c r="F522" s="34"/>
      <c r="G522" s="35"/>
      <c r="H522" s="26"/>
      <c r="I522" s="34"/>
      <c r="J522" s="19"/>
      <c r="K522" s="19"/>
    </row>
    <row r="523" spans="1:11" ht="15" x14ac:dyDescent="0.2">
      <c r="A523" s="24">
        <v>2025</v>
      </c>
      <c r="B523" s="17" t="s">
        <v>12</v>
      </c>
      <c r="C523" s="34">
        <f>I511</f>
        <v>-2671053.7901977487</v>
      </c>
      <c r="D523" s="93">
        <v>-288054.56</v>
      </c>
      <c r="E523" s="34">
        <v>-536907.39</v>
      </c>
      <c r="F523" s="34"/>
      <c r="G523" s="35">
        <v>387725.11</v>
      </c>
      <c r="H523" s="26">
        <v>-13003.52</v>
      </c>
      <c r="I523" s="34">
        <f t="shared" ref="I523:I525" si="3">C523+D523+E523+F523+G523+H523+K523</f>
        <v>-3121294.150197749</v>
      </c>
      <c r="J523" s="19"/>
      <c r="K523" s="19"/>
    </row>
    <row r="524" spans="1:11" ht="15" x14ac:dyDescent="0.2">
      <c r="A524" s="24"/>
      <c r="B524" s="17" t="s">
        <v>13</v>
      </c>
      <c r="C524" s="34">
        <f>I523</f>
        <v>-3121294.150197749</v>
      </c>
      <c r="D524" s="93">
        <v>-289177.81</v>
      </c>
      <c r="E524" s="34">
        <v>-50</v>
      </c>
      <c r="F524" s="34"/>
      <c r="G524" s="35">
        <v>385723</v>
      </c>
      <c r="H524" s="26">
        <v>-13828.71</v>
      </c>
      <c r="I524" s="34">
        <f t="shared" si="3"/>
        <v>-3038627.670197749</v>
      </c>
      <c r="J524" s="19"/>
      <c r="K524" s="19"/>
    </row>
    <row r="525" spans="1:11" ht="15" x14ac:dyDescent="0.2">
      <c r="A525" s="24"/>
      <c r="B525" s="17" t="s">
        <v>14</v>
      </c>
      <c r="C525" s="18">
        <f>I524</f>
        <v>-3038627.670197749</v>
      </c>
      <c r="D525" s="34">
        <v>-290837.92</v>
      </c>
      <c r="E525" s="34">
        <v>251</v>
      </c>
      <c r="F525" s="34"/>
      <c r="G525" s="34">
        <v>384991.6</v>
      </c>
      <c r="H525" s="34">
        <v>-13461.41</v>
      </c>
      <c r="I525" s="26">
        <f t="shared" si="3"/>
        <v>-2957684.400197749</v>
      </c>
      <c r="J525" s="19"/>
      <c r="K525" s="19"/>
    </row>
    <row r="526" spans="1:11" ht="15.75" x14ac:dyDescent="0.25">
      <c r="A526" s="24"/>
      <c r="B526" s="36" t="s">
        <v>147</v>
      </c>
      <c r="C526" s="18"/>
      <c r="D526" s="31">
        <f>SUM(D523:D525)</f>
        <v>-868070.29</v>
      </c>
      <c r="E526" s="31">
        <f>SUM(E523:E525)</f>
        <v>-536706.39</v>
      </c>
      <c r="F526" s="31">
        <f>SUM(F523:F525)</f>
        <v>0</v>
      </c>
      <c r="G526" s="31">
        <f>SUM(G523:G525)</f>
        <v>1158439.71</v>
      </c>
      <c r="H526" s="31">
        <f>SUM(H523:H525)</f>
        <v>-40293.64</v>
      </c>
      <c r="I526" s="26"/>
      <c r="J526" s="19"/>
      <c r="K526" s="19"/>
    </row>
    <row r="527" spans="1:11" ht="15.75" x14ac:dyDescent="0.25">
      <c r="A527" s="24"/>
      <c r="B527" s="16"/>
      <c r="C527" s="18"/>
      <c r="D527" s="31"/>
      <c r="E527" s="31"/>
      <c r="F527" s="31"/>
      <c r="G527" s="31"/>
      <c r="H527" s="31"/>
      <c r="I527" s="26"/>
      <c r="J527" s="19"/>
      <c r="K527" s="19"/>
    </row>
    <row r="528" spans="1:11" ht="15.75" x14ac:dyDescent="0.25">
      <c r="A528" s="24"/>
      <c r="B528" s="16" t="s">
        <v>103</v>
      </c>
      <c r="C528" s="18"/>
      <c r="D528" s="31">
        <f>D13+D34+D55+D79+D99+D122+D142+D162+D191+D211+D233+D254+D274+D297+D318+D338+D358+D379+D403+D423+D424+D425+D426+D427+D428+D429</f>
        <v>-74504195.35002397</v>
      </c>
      <c r="E528" s="31">
        <f>E13+E34+E55+E79+E99+E122+E142+E162+E191+E211+E233+E254+E274+E297+E318+E338+E358+E379+E403+E423+E424+E425+E426+E427+E428+E429</f>
        <v>-3107881.7800000003</v>
      </c>
      <c r="F528" s="31">
        <f>F13+F34+F55+F79+F99+F122+F142+F162+F191+F211+F233+F254+F274+F297+F318+F338+F358+F379+F403+F423+F424+F425+F426+F427+F428+F429</f>
        <v>409239.99000000005</v>
      </c>
      <c r="G528" s="31">
        <f>G13+G34+G55+G79+G99+G122+G142+G162+G191+G211+G233+G254+G274+G297+G318+G338+G358+G379+G403+G423+G424+G425+G426+G427+G428+G429</f>
        <v>75775101.350001231</v>
      </c>
      <c r="H528" s="31">
        <f>H13+H34+H55+H79+H99+H122+H142+H162+H191+H211+H233+H254+H274+H297+H318+H338+H358+H379+H403+H423+H424+H425+H426+H427+H428+H429</f>
        <v>-1529756.8415617063</v>
      </c>
      <c r="I528" s="26"/>
      <c r="J528" s="19"/>
      <c r="K528" s="19"/>
    </row>
    <row r="529" spans="1:11" ht="15.75" x14ac:dyDescent="0.25">
      <c r="A529" s="24"/>
      <c r="B529" s="16"/>
      <c r="C529" s="18"/>
      <c r="D529" s="31"/>
      <c r="E529" s="31"/>
      <c r="F529" s="31"/>
      <c r="G529" s="31"/>
      <c r="H529" s="31"/>
      <c r="I529" s="26"/>
      <c r="J529" s="19"/>
      <c r="K529" s="19"/>
    </row>
    <row r="530" spans="1:11" ht="15" x14ac:dyDescent="0.2">
      <c r="A530" s="71">
        <v>2026</v>
      </c>
      <c r="B530" s="64" t="s">
        <v>15</v>
      </c>
      <c r="C530" s="65">
        <f>I525</f>
        <v>-2957684.400197749</v>
      </c>
      <c r="D530" s="100">
        <v>-290438.04000207194</v>
      </c>
      <c r="E530" s="65">
        <v>337</v>
      </c>
      <c r="F530" s="65">
        <v>0</v>
      </c>
      <c r="G530" s="66">
        <v>389552.22999999899</v>
      </c>
      <c r="H530" s="67">
        <v>-13085.814626501344</v>
      </c>
      <c r="I530" s="65">
        <f>C530+D530+E530+F530+G530+H530</f>
        <v>-2871319.0248263231</v>
      </c>
      <c r="J530" s="19"/>
      <c r="K530" s="19"/>
    </row>
    <row r="531" spans="1:11" ht="15" x14ac:dyDescent="0.2">
      <c r="A531" s="71"/>
      <c r="B531" s="64" t="s">
        <v>16</v>
      </c>
      <c r="C531" s="65">
        <f>I530</f>
        <v>-2871319.0248263231</v>
      </c>
      <c r="D531" s="100">
        <v>-288692.66000206204</v>
      </c>
      <c r="E531" s="65">
        <v>249.7</v>
      </c>
      <c r="F531" s="65"/>
      <c r="G531" s="66">
        <v>391434.51</v>
      </c>
      <c r="H531" s="67">
        <v>-12689.204627329906</v>
      </c>
      <c r="I531" s="65">
        <f>C531+D531+E531+F531+G531+H531</f>
        <v>-2781016.6794557148</v>
      </c>
      <c r="J531" s="19"/>
      <c r="K531" s="19"/>
    </row>
    <row r="532" spans="1:11" ht="15" x14ac:dyDescent="0.2">
      <c r="A532" s="71"/>
      <c r="B532" s="64" t="s">
        <v>17</v>
      </c>
      <c r="C532" s="69">
        <f>I531</f>
        <v>-2781016.6794557148</v>
      </c>
      <c r="D532" s="65">
        <v>-291582.71000205999</v>
      </c>
      <c r="E532" s="65">
        <v>-50</v>
      </c>
      <c r="F532" s="65"/>
      <c r="G532" s="65">
        <v>395864.55</v>
      </c>
      <c r="H532" s="65">
        <v>-12280.053420662161</v>
      </c>
      <c r="I532" s="67">
        <f>C532+D532+E532+F532+G532+H532</f>
        <v>-2689064.8928784369</v>
      </c>
      <c r="J532" s="19"/>
      <c r="K532" s="19"/>
    </row>
    <row r="533" spans="1:11" ht="15.75" x14ac:dyDescent="0.25">
      <c r="A533" s="71"/>
      <c r="B533" s="68" t="s">
        <v>166</v>
      </c>
      <c r="C533" s="69" t="s">
        <v>19</v>
      </c>
      <c r="D533" s="70">
        <f>SUM(D530:D532)</f>
        <v>-870713.41000619391</v>
      </c>
      <c r="E533" s="70">
        <f>SUM(E530:E532)</f>
        <v>536.70000000000005</v>
      </c>
      <c r="F533" s="70">
        <f>SUM(F530:F532)</f>
        <v>0</v>
      </c>
      <c r="G533" s="70">
        <f>SUM(G530:G532)</f>
        <v>1176851.2899999991</v>
      </c>
      <c r="H533" s="70">
        <f>SUM(H530:H532)</f>
        <v>-38055.072674493407</v>
      </c>
      <c r="I533" s="67"/>
      <c r="J533" s="19"/>
      <c r="K533" s="19"/>
    </row>
    <row r="534" spans="1:11" ht="15.75" x14ac:dyDescent="0.25">
      <c r="A534" s="71"/>
      <c r="B534" s="68"/>
      <c r="C534" s="69"/>
      <c r="D534" s="70"/>
      <c r="E534" s="70"/>
      <c r="F534" s="70"/>
      <c r="G534" s="70"/>
      <c r="H534" s="70"/>
      <c r="I534" s="67"/>
      <c r="J534" s="19"/>
      <c r="K534" s="19"/>
    </row>
    <row r="535" spans="1:11" ht="15" x14ac:dyDescent="0.2">
      <c r="A535" s="71">
        <v>2026</v>
      </c>
      <c r="B535" s="64" t="s">
        <v>20</v>
      </c>
      <c r="C535" s="65">
        <f>I532</f>
        <v>-2689064.8928784369</v>
      </c>
      <c r="D535" s="100">
        <v>-288859.62</v>
      </c>
      <c r="E535" s="65">
        <v>-0.05</v>
      </c>
      <c r="F535" s="65"/>
      <c r="G535" s="66">
        <v>396908.52999999898</v>
      </c>
      <c r="H535" s="67">
        <v>-12472.524860897383</v>
      </c>
      <c r="I535" s="65">
        <f>C535+D535+E535+F535+G535+H535+K535</f>
        <v>-2593488.5577393356</v>
      </c>
      <c r="J535" s="19"/>
      <c r="K535" s="19"/>
    </row>
    <row r="536" spans="1:11" ht="15" x14ac:dyDescent="0.2">
      <c r="A536" s="71"/>
      <c r="B536" s="64" t="s">
        <v>21</v>
      </c>
      <c r="C536" s="65">
        <f>I535</f>
        <v>-2593488.5577393356</v>
      </c>
      <c r="D536" s="100">
        <v>-294251.69</v>
      </c>
      <c r="E536" s="65">
        <v>955.49</v>
      </c>
      <c r="F536" s="65"/>
      <c r="G536" s="66">
        <v>400991.49</v>
      </c>
      <c r="H536" s="67">
        <v>-12020.966990248731</v>
      </c>
      <c r="I536" s="65">
        <f>C536+D536+E536+F536+G536+H536</f>
        <v>-2497814.2347295838</v>
      </c>
      <c r="J536" s="19"/>
      <c r="K536" s="19"/>
    </row>
    <row r="537" spans="1:11" ht="15" x14ac:dyDescent="0.2">
      <c r="A537" s="71"/>
      <c r="B537" s="64" t="s">
        <v>22</v>
      </c>
      <c r="C537" s="65">
        <f>I536</f>
        <v>-2497814.2347295838</v>
      </c>
      <c r="D537" s="65">
        <v>-293368.03999999998</v>
      </c>
      <c r="E537" s="65">
        <v>-20064.099999999999</v>
      </c>
      <c r="F537" s="65"/>
      <c r="G537" s="65">
        <v>401149.55000000098</v>
      </c>
      <c r="H537" s="67">
        <v>-11615.389510679086</v>
      </c>
      <c r="I537" s="65">
        <f>C537+D537+E537+F537+G537+H537</f>
        <v>-2421712.2142402623</v>
      </c>
      <c r="J537" s="19"/>
      <c r="K537" s="19"/>
    </row>
    <row r="538" spans="1:11" ht="15.75" hidden="1" x14ac:dyDescent="0.25">
      <c r="A538" s="71"/>
      <c r="B538" s="68" t="s">
        <v>149</v>
      </c>
      <c r="C538" s="69" t="s">
        <v>19</v>
      </c>
      <c r="D538" s="70">
        <f>SUM(D535:D537)</f>
        <v>-876479.35000000009</v>
      </c>
      <c r="E538" s="70">
        <f>SUM(E535:E537)</f>
        <v>-19108.66</v>
      </c>
      <c r="F538" s="70">
        <f>SUM(F535:F537)</f>
        <v>0</v>
      </c>
      <c r="G538" s="99">
        <v>396908.52999999898</v>
      </c>
      <c r="H538" s="70">
        <f>SUM(H535:H537)</f>
        <v>-36108.881361825202</v>
      </c>
      <c r="I538" s="67"/>
      <c r="J538" s="19"/>
      <c r="K538" s="19"/>
    </row>
    <row r="539" spans="1:11" ht="15.75" hidden="1" x14ac:dyDescent="0.25">
      <c r="A539" s="71"/>
      <c r="B539" s="68"/>
      <c r="C539" s="69"/>
      <c r="D539" s="70"/>
      <c r="E539" s="70"/>
      <c r="F539" s="70"/>
      <c r="G539" s="99">
        <v>400991.49</v>
      </c>
      <c r="H539" s="70"/>
      <c r="I539" s="67"/>
      <c r="J539" s="19"/>
      <c r="K539" s="19"/>
    </row>
    <row r="540" spans="1:11" ht="15.75" hidden="1" x14ac:dyDescent="0.25">
      <c r="A540" s="71"/>
      <c r="B540" s="68"/>
      <c r="C540" s="69"/>
      <c r="D540" s="70"/>
      <c r="E540" s="70"/>
      <c r="F540" s="70"/>
      <c r="G540" s="99">
        <v>401149.55000000098</v>
      </c>
      <c r="H540" s="70"/>
      <c r="I540" s="67"/>
      <c r="J540" s="19"/>
      <c r="K540" s="19"/>
    </row>
    <row r="541" spans="1:11" ht="15.75" hidden="1" x14ac:dyDescent="0.25">
      <c r="A541" s="71"/>
      <c r="B541" s="68"/>
      <c r="C541" s="69"/>
      <c r="D541" s="70"/>
      <c r="E541" s="70"/>
      <c r="F541" s="70"/>
      <c r="G541" s="70"/>
      <c r="H541" s="70"/>
      <c r="I541" s="67"/>
      <c r="J541" s="19"/>
      <c r="K541" s="19"/>
    </row>
    <row r="542" spans="1:11" ht="15.75" hidden="1" x14ac:dyDescent="0.25">
      <c r="A542" s="71"/>
      <c r="B542" s="68"/>
      <c r="C542" s="69"/>
      <c r="D542" s="70"/>
      <c r="E542" s="70"/>
      <c r="F542" s="70"/>
      <c r="G542" s="70"/>
      <c r="H542" s="70"/>
      <c r="I542" s="67"/>
      <c r="J542" s="19"/>
      <c r="K542" s="19"/>
    </row>
    <row r="543" spans="1:11" ht="15.75" hidden="1" x14ac:dyDescent="0.25">
      <c r="A543" s="71"/>
      <c r="B543" s="68"/>
      <c r="C543" s="69"/>
      <c r="D543" s="70"/>
      <c r="E543" s="70"/>
      <c r="F543" s="70"/>
      <c r="G543" s="70"/>
      <c r="H543" s="70"/>
      <c r="I543" s="67"/>
      <c r="J543" s="19"/>
      <c r="K543" s="19"/>
    </row>
    <row r="544" spans="1:11" ht="15.75" hidden="1" x14ac:dyDescent="0.25">
      <c r="A544" s="71"/>
      <c r="B544" s="68"/>
      <c r="C544" s="69"/>
      <c r="D544" s="70"/>
      <c r="E544" s="70"/>
      <c r="F544" s="70"/>
      <c r="G544" s="70"/>
      <c r="H544" s="70"/>
      <c r="I544" s="67"/>
      <c r="J544" s="19"/>
      <c r="K544" s="19"/>
    </row>
    <row r="545" spans="1:11" ht="15.75" hidden="1" x14ac:dyDescent="0.25">
      <c r="A545" s="71"/>
      <c r="B545" s="68"/>
      <c r="C545" s="69"/>
      <c r="D545" s="70"/>
      <c r="E545" s="70"/>
      <c r="F545" s="70"/>
      <c r="G545" s="70"/>
      <c r="H545" s="70"/>
      <c r="I545" s="67"/>
      <c r="J545" s="19"/>
      <c r="K545" s="19"/>
    </row>
    <row r="546" spans="1:11" ht="15.75" hidden="1" x14ac:dyDescent="0.25">
      <c r="A546" s="71"/>
      <c r="B546" s="68"/>
      <c r="C546" s="69"/>
      <c r="D546" s="70"/>
      <c r="E546" s="70"/>
      <c r="F546" s="70"/>
      <c r="G546" s="70"/>
      <c r="H546" s="70"/>
      <c r="I546" s="67"/>
      <c r="J546" s="19"/>
      <c r="K546" s="19"/>
    </row>
    <row r="547" spans="1:11" ht="15.75" hidden="1" x14ac:dyDescent="0.25">
      <c r="A547" s="71"/>
      <c r="B547" s="68"/>
      <c r="C547" s="69"/>
      <c r="D547" s="70"/>
      <c r="E547" s="70"/>
      <c r="F547" s="70"/>
      <c r="G547" s="70"/>
      <c r="H547" s="70"/>
      <c r="I547" s="67"/>
      <c r="J547" s="19"/>
      <c r="K547" s="19"/>
    </row>
    <row r="548" spans="1:11" ht="15.75" hidden="1" x14ac:dyDescent="0.25">
      <c r="A548" s="71"/>
      <c r="B548" s="68"/>
      <c r="C548" s="69"/>
      <c r="D548" s="70"/>
      <c r="E548" s="70"/>
      <c r="F548" s="70"/>
      <c r="G548" s="70"/>
      <c r="H548" s="70"/>
      <c r="I548" s="67"/>
      <c r="J548" s="19"/>
      <c r="K548" s="19"/>
    </row>
    <row r="549" spans="1:11" ht="15.75" hidden="1" x14ac:dyDescent="0.25">
      <c r="A549" s="71"/>
      <c r="B549" s="68"/>
      <c r="C549" s="69"/>
      <c r="D549" s="70"/>
      <c r="E549" s="70"/>
      <c r="F549" s="70"/>
      <c r="G549" s="70"/>
      <c r="H549" s="70"/>
      <c r="I549" s="67"/>
      <c r="J549" s="19"/>
      <c r="K549" s="19"/>
    </row>
    <row r="550" spans="1:11" ht="15.75" hidden="1" x14ac:dyDescent="0.25">
      <c r="A550" s="71"/>
      <c r="B550" s="68"/>
      <c r="C550" s="69"/>
      <c r="D550" s="70"/>
      <c r="E550" s="70"/>
      <c r="F550" s="70"/>
      <c r="G550" s="70"/>
      <c r="H550" s="70"/>
      <c r="I550" s="67"/>
      <c r="J550" s="19"/>
      <c r="K550" s="19"/>
    </row>
    <row r="551" spans="1:11" ht="15.75" hidden="1" x14ac:dyDescent="0.25">
      <c r="A551" s="71"/>
      <c r="B551" s="68"/>
      <c r="C551" s="69"/>
      <c r="D551" s="70"/>
      <c r="E551" s="70"/>
      <c r="F551" s="70"/>
      <c r="G551" s="70"/>
      <c r="H551" s="70"/>
      <c r="I551" s="67"/>
      <c r="J551" s="19"/>
      <c r="K551" s="19"/>
    </row>
    <row r="552" spans="1:11" ht="15.75" hidden="1" x14ac:dyDescent="0.25">
      <c r="A552" s="71"/>
      <c r="B552" s="68"/>
      <c r="C552" s="69"/>
      <c r="D552" s="70"/>
      <c r="E552" s="70"/>
      <c r="F552" s="70"/>
      <c r="G552" s="70"/>
      <c r="H552" s="70"/>
      <c r="I552" s="67"/>
      <c r="J552" s="19"/>
      <c r="K552" s="19"/>
    </row>
    <row r="553" spans="1:11" ht="15.75" hidden="1" x14ac:dyDescent="0.25">
      <c r="A553" s="71"/>
      <c r="B553" s="68"/>
      <c r="C553" s="69"/>
      <c r="D553" s="70"/>
      <c r="E553" s="70"/>
      <c r="F553" s="70"/>
      <c r="G553" s="70"/>
      <c r="H553" s="70"/>
      <c r="I553" s="67"/>
      <c r="J553" s="19"/>
      <c r="K553" s="19"/>
    </row>
    <row r="554" spans="1:11" ht="15.75" hidden="1" x14ac:dyDescent="0.25">
      <c r="A554" s="71"/>
      <c r="B554" s="68"/>
      <c r="C554" s="69"/>
      <c r="D554" s="70"/>
      <c r="E554" s="70"/>
      <c r="F554" s="70"/>
      <c r="G554" s="70"/>
      <c r="H554" s="70"/>
      <c r="I554" s="67"/>
      <c r="J554" s="19"/>
      <c r="K554" s="19"/>
    </row>
    <row r="555" spans="1:11" ht="15.75" hidden="1" x14ac:dyDescent="0.25">
      <c r="A555" s="71"/>
      <c r="B555" s="68"/>
      <c r="C555" s="69"/>
      <c r="D555" s="70"/>
      <c r="E555" s="70"/>
      <c r="F555" s="70"/>
      <c r="G555" s="70"/>
      <c r="H555" s="70"/>
      <c r="I555" s="67"/>
      <c r="J555" s="19"/>
      <c r="K555" s="19"/>
    </row>
    <row r="556" spans="1:11" ht="15.75" hidden="1" x14ac:dyDescent="0.25">
      <c r="A556" s="71"/>
      <c r="B556" s="68"/>
      <c r="C556" s="69"/>
      <c r="D556" s="70"/>
      <c r="E556" s="70"/>
      <c r="F556" s="70"/>
      <c r="G556" s="70"/>
      <c r="H556" s="70"/>
      <c r="I556" s="67"/>
      <c r="J556" s="19"/>
      <c r="K556" s="19"/>
    </row>
    <row r="557" spans="1:11" ht="15.75" hidden="1" x14ac:dyDescent="0.25">
      <c r="A557" s="71"/>
      <c r="B557" s="68"/>
      <c r="C557" s="69"/>
      <c r="D557" s="70"/>
      <c r="E557" s="70"/>
      <c r="F557" s="70"/>
      <c r="G557" s="70"/>
      <c r="H557" s="70"/>
      <c r="I557" s="67"/>
      <c r="J557" s="19"/>
      <c r="K557" s="19"/>
    </row>
    <row r="558" spans="1:11" ht="15.75" hidden="1" x14ac:dyDescent="0.25">
      <c r="A558" s="71"/>
      <c r="B558" s="68"/>
      <c r="C558" s="69"/>
      <c r="D558" s="70"/>
      <c r="E558" s="70"/>
      <c r="F558" s="70"/>
      <c r="G558" s="70"/>
      <c r="H558" s="70"/>
      <c r="I558" s="67"/>
      <c r="J558" s="19"/>
      <c r="K558" s="19"/>
    </row>
    <row r="559" spans="1:11" ht="15.75" hidden="1" x14ac:dyDescent="0.25">
      <c r="A559" s="71"/>
      <c r="B559" s="68"/>
      <c r="C559" s="69"/>
      <c r="D559" s="70"/>
      <c r="E559" s="70"/>
      <c r="F559" s="70"/>
      <c r="G559" s="70"/>
      <c r="H559" s="70"/>
      <c r="I559" s="67"/>
      <c r="J559" s="19"/>
      <c r="K559" s="19"/>
    </row>
    <row r="560" spans="1:11" ht="15.75" hidden="1" x14ac:dyDescent="0.25">
      <c r="A560" s="71"/>
      <c r="B560" s="68"/>
      <c r="C560" s="69"/>
      <c r="D560" s="70"/>
      <c r="E560" s="70"/>
      <c r="F560" s="70"/>
      <c r="G560" s="70"/>
      <c r="H560" s="70"/>
      <c r="I560" s="67"/>
      <c r="J560" s="19"/>
      <c r="K560" s="19"/>
    </row>
    <row r="561" spans="1:12" ht="15.75" hidden="1" x14ac:dyDescent="0.25">
      <c r="A561" s="71"/>
      <c r="B561" s="68"/>
      <c r="C561" s="69"/>
      <c r="D561" s="70"/>
      <c r="E561" s="70"/>
      <c r="F561" s="70"/>
      <c r="G561" s="70"/>
      <c r="H561" s="70"/>
      <c r="I561" s="67"/>
      <c r="J561" s="19"/>
      <c r="K561" s="19"/>
    </row>
    <row r="562" spans="1:12" ht="15.75" hidden="1" x14ac:dyDescent="0.25">
      <c r="A562" s="71"/>
      <c r="B562" s="68"/>
      <c r="C562" s="69"/>
      <c r="D562" s="70"/>
      <c r="E562" s="70"/>
      <c r="F562" s="70"/>
      <c r="G562" s="70"/>
      <c r="H562" s="70"/>
      <c r="I562" s="67"/>
      <c r="J562" s="19"/>
      <c r="K562" s="19"/>
    </row>
    <row r="563" spans="1:12" ht="15.75" hidden="1" x14ac:dyDescent="0.25">
      <c r="A563" s="71"/>
      <c r="B563" s="68"/>
      <c r="C563" s="69"/>
      <c r="D563" s="70"/>
      <c r="E563" s="70"/>
      <c r="F563" s="70"/>
      <c r="G563" s="70"/>
      <c r="H563" s="70"/>
      <c r="I563" s="67"/>
      <c r="J563" s="19"/>
      <c r="K563" s="19"/>
    </row>
    <row r="564" spans="1:12" ht="15.75" hidden="1" x14ac:dyDescent="0.25">
      <c r="A564" s="71"/>
      <c r="B564" s="68"/>
      <c r="C564" s="69"/>
      <c r="D564" s="70"/>
      <c r="E564" s="70"/>
      <c r="F564" s="70"/>
      <c r="G564" s="70"/>
      <c r="H564" s="70"/>
      <c r="I564" s="67"/>
      <c r="J564" s="19"/>
      <c r="K564" s="19"/>
    </row>
    <row r="565" spans="1:12" ht="15.75" hidden="1" x14ac:dyDescent="0.25">
      <c r="A565" s="71"/>
      <c r="B565" s="68"/>
      <c r="C565" s="69"/>
      <c r="D565" s="70"/>
      <c r="E565" s="70"/>
      <c r="F565" s="70"/>
      <c r="G565" s="70"/>
      <c r="H565" s="70"/>
      <c r="I565" s="67"/>
      <c r="J565" s="19"/>
      <c r="K565" s="19"/>
    </row>
    <row r="566" spans="1:12" ht="15.75" hidden="1" x14ac:dyDescent="0.25">
      <c r="A566" s="71"/>
      <c r="B566" s="68"/>
      <c r="C566" s="69"/>
      <c r="D566" s="70"/>
      <c r="E566" s="70"/>
      <c r="F566" s="70"/>
      <c r="G566" s="70"/>
      <c r="H566" s="70"/>
      <c r="I566" s="67"/>
      <c r="J566" s="19"/>
      <c r="K566" s="19"/>
    </row>
    <row r="567" spans="1:12" ht="15.75" hidden="1" x14ac:dyDescent="0.25">
      <c r="A567" s="71"/>
      <c r="B567" s="68"/>
      <c r="C567" s="69"/>
      <c r="D567" s="70"/>
      <c r="E567" s="70"/>
      <c r="F567" s="70"/>
      <c r="G567" s="70"/>
      <c r="H567" s="70"/>
      <c r="I567" s="67"/>
      <c r="J567" s="19"/>
      <c r="K567" s="19"/>
    </row>
    <row r="568" spans="1:12" ht="15.75" x14ac:dyDescent="0.25">
      <c r="A568" s="71"/>
      <c r="B568" s="68" t="s">
        <v>167</v>
      </c>
      <c r="C568" s="69" t="s">
        <v>19</v>
      </c>
      <c r="D568" s="70">
        <f>SUM(D535:D537)</f>
        <v>-876479.35000000009</v>
      </c>
      <c r="E568" s="70">
        <f t="shared" ref="E568:H568" si="4">SUM(E535:E537)</f>
        <v>-19108.66</v>
      </c>
      <c r="F568" s="70">
        <f t="shared" si="4"/>
        <v>0</v>
      </c>
      <c r="G568" s="70">
        <f t="shared" si="4"/>
        <v>1199049.5699999998</v>
      </c>
      <c r="H568" s="70">
        <f t="shared" si="4"/>
        <v>-36108.881361825202</v>
      </c>
      <c r="I568" s="67"/>
      <c r="J568" s="19"/>
      <c r="K568" s="19"/>
    </row>
    <row r="569" spans="1:12" ht="15.75" x14ac:dyDescent="0.25">
      <c r="A569" s="24"/>
      <c r="B569" s="36"/>
      <c r="C569" s="18"/>
      <c r="D569" s="31"/>
      <c r="E569" s="31"/>
      <c r="F569" s="31"/>
      <c r="G569" s="31"/>
      <c r="H569" s="31"/>
      <c r="I569" s="26"/>
      <c r="J569" s="19"/>
      <c r="K569" s="19"/>
    </row>
    <row r="570" spans="1:12" ht="15.75" x14ac:dyDescent="0.25">
      <c r="A570" s="81" t="s">
        <v>104</v>
      </c>
      <c r="B570" s="16"/>
      <c r="C570" s="18"/>
      <c r="D570" s="18"/>
      <c r="E570" s="18"/>
      <c r="F570" s="18"/>
      <c r="G570" s="18"/>
      <c r="H570" s="18"/>
      <c r="I570" s="18"/>
      <c r="J570" s="18"/>
      <c r="K570" s="18"/>
    </row>
    <row r="571" spans="1:12" ht="27.75" x14ac:dyDescent="0.55000000000000004">
      <c r="A571" s="82"/>
      <c r="B571" s="16"/>
      <c r="C571" s="18"/>
      <c r="D571" s="18"/>
      <c r="E571" s="18"/>
      <c r="F571" s="18"/>
      <c r="G571" s="18"/>
      <c r="H571" s="105" t="s">
        <v>157</v>
      </c>
      <c r="I571" s="105"/>
      <c r="J571" s="105"/>
      <c r="K571" s="105"/>
    </row>
    <row r="572" spans="1:12" ht="27.75" x14ac:dyDescent="0.55000000000000004">
      <c r="A572" s="82"/>
      <c r="B572" s="16"/>
      <c r="C572" s="18"/>
      <c r="D572" s="105" t="s">
        <v>158</v>
      </c>
      <c r="E572" s="105"/>
      <c r="F572" s="105" t="s">
        <v>159</v>
      </c>
      <c r="G572" s="105"/>
      <c r="H572" s="105" t="s">
        <v>105</v>
      </c>
      <c r="I572" s="105"/>
      <c r="J572" s="105" t="s">
        <v>106</v>
      </c>
      <c r="K572" s="105"/>
    </row>
    <row r="573" spans="1:12" ht="15.75" x14ac:dyDescent="0.25">
      <c r="A573" s="21" t="s">
        <v>8</v>
      </c>
      <c r="B573" s="16" t="s">
        <v>32</v>
      </c>
      <c r="C573" s="40" t="s">
        <v>107</v>
      </c>
      <c r="D573" s="40" t="s">
        <v>108</v>
      </c>
      <c r="E573" s="40" t="s">
        <v>109</v>
      </c>
      <c r="F573" s="40" t="s">
        <v>108</v>
      </c>
      <c r="G573" s="40" t="s">
        <v>109</v>
      </c>
      <c r="H573" s="40" t="s">
        <v>108</v>
      </c>
      <c r="I573" s="40" t="s">
        <v>109</v>
      </c>
      <c r="J573" s="40" t="s">
        <v>108</v>
      </c>
      <c r="K573" s="40" t="s">
        <v>109</v>
      </c>
    </row>
    <row r="574" spans="1:12" ht="15.75" x14ac:dyDescent="0.25">
      <c r="A574" s="21"/>
      <c r="B574" s="16" t="s">
        <v>110</v>
      </c>
      <c r="C574" s="40"/>
      <c r="D574" s="40"/>
      <c r="E574" s="40"/>
      <c r="F574" s="40"/>
      <c r="G574" s="40"/>
      <c r="H574" s="40"/>
      <c r="I574" s="40"/>
      <c r="J574" s="40"/>
      <c r="K574" s="40"/>
    </row>
    <row r="575" spans="1:12" ht="15" x14ac:dyDescent="0.2">
      <c r="A575" s="24">
        <v>2000</v>
      </c>
      <c r="B575" s="17" t="s">
        <v>11</v>
      </c>
      <c r="C575" s="41">
        <v>0</v>
      </c>
      <c r="D575" s="42">
        <v>0</v>
      </c>
      <c r="E575" s="42">
        <v>581906</v>
      </c>
      <c r="F575" s="43">
        <v>0</v>
      </c>
      <c r="G575" s="43">
        <v>10952082</v>
      </c>
      <c r="H575" s="44">
        <v>0</v>
      </c>
      <c r="I575" s="44">
        <v>51557</v>
      </c>
      <c r="J575" s="44">
        <v>0</v>
      </c>
      <c r="K575" s="44">
        <v>472</v>
      </c>
      <c r="L575" t="s">
        <v>19</v>
      </c>
    </row>
    <row r="576" spans="1:12" ht="15" x14ac:dyDescent="0.2">
      <c r="A576" s="24"/>
      <c r="B576" s="17" t="s">
        <v>12</v>
      </c>
      <c r="C576" s="42">
        <v>4</v>
      </c>
      <c r="D576" s="44">
        <v>4</v>
      </c>
      <c r="E576" s="42">
        <v>582429</v>
      </c>
      <c r="F576" s="45">
        <v>1183</v>
      </c>
      <c r="G576" s="45">
        <v>10901437</v>
      </c>
      <c r="H576" s="44">
        <v>1</v>
      </c>
      <c r="I576" s="44">
        <v>53336</v>
      </c>
      <c r="J576" s="44">
        <v>0</v>
      </c>
      <c r="K576" s="44">
        <v>237</v>
      </c>
      <c r="L576" t="s">
        <v>19</v>
      </c>
    </row>
    <row r="577" spans="1:12" ht="15" x14ac:dyDescent="0.2">
      <c r="A577" s="24"/>
      <c r="B577" s="17" t="s">
        <v>13</v>
      </c>
      <c r="C577" s="42">
        <v>165</v>
      </c>
      <c r="D577" s="44">
        <v>451</v>
      </c>
      <c r="E577" s="42">
        <v>584742</v>
      </c>
      <c r="F577" s="45">
        <v>6297</v>
      </c>
      <c r="G577" s="45">
        <v>10613998</v>
      </c>
      <c r="H577" s="44">
        <v>23</v>
      </c>
      <c r="I577" s="44">
        <v>45334</v>
      </c>
      <c r="J577" s="44">
        <v>0</v>
      </c>
      <c r="K577" s="44">
        <v>254</v>
      </c>
      <c r="L577" t="s">
        <v>19</v>
      </c>
    </row>
    <row r="578" spans="1:12" ht="15" x14ac:dyDescent="0.2">
      <c r="A578" s="24"/>
      <c r="B578" s="17" t="s">
        <v>14</v>
      </c>
      <c r="C578" s="46">
        <v>980</v>
      </c>
      <c r="D578" s="47">
        <v>1151</v>
      </c>
      <c r="E578" s="42">
        <v>584283</v>
      </c>
      <c r="F578" s="48">
        <v>20479</v>
      </c>
      <c r="G578" s="48">
        <v>10130021</v>
      </c>
      <c r="H578" s="44">
        <v>26</v>
      </c>
      <c r="I578" s="44">
        <v>43605</v>
      </c>
      <c r="J578" s="44">
        <v>0</v>
      </c>
      <c r="K578" s="44">
        <v>120</v>
      </c>
      <c r="L578" t="s">
        <v>19</v>
      </c>
    </row>
    <row r="579" spans="1:12" ht="15" x14ac:dyDescent="0.2">
      <c r="A579" s="24"/>
      <c r="B579" s="17"/>
      <c r="C579" s="46"/>
      <c r="D579" s="47"/>
      <c r="E579" s="42"/>
      <c r="F579" s="48"/>
      <c r="G579" s="48"/>
      <c r="H579" s="44"/>
      <c r="I579" s="44"/>
      <c r="J579" s="44"/>
      <c r="K579" s="44"/>
    </row>
    <row r="580" spans="1:12" ht="15.75" x14ac:dyDescent="0.25">
      <c r="A580" s="24"/>
      <c r="B580" s="16" t="s">
        <v>18</v>
      </c>
      <c r="C580" s="46"/>
      <c r="D580" s="47"/>
      <c r="E580" s="42"/>
      <c r="F580" s="48"/>
      <c r="G580" s="48"/>
      <c r="H580" s="44"/>
      <c r="I580" s="44"/>
      <c r="J580" s="44"/>
      <c r="K580" s="44"/>
    </row>
    <row r="581" spans="1:12" ht="15" x14ac:dyDescent="0.2">
      <c r="A581" s="24">
        <v>2001</v>
      </c>
      <c r="B581" s="17" t="s">
        <v>15</v>
      </c>
      <c r="C581" s="46">
        <v>4524</v>
      </c>
      <c r="D581" s="47">
        <v>9425</v>
      </c>
      <c r="E581" s="42">
        <v>577760</v>
      </c>
      <c r="F581" s="48">
        <v>341720.1</v>
      </c>
      <c r="G581" s="48">
        <v>10503794.43</v>
      </c>
      <c r="H581" s="44">
        <v>628</v>
      </c>
      <c r="I581" s="44">
        <v>54493</v>
      </c>
      <c r="J581" s="44">
        <v>0</v>
      </c>
      <c r="K581" s="44">
        <v>304</v>
      </c>
      <c r="L581" t="s">
        <v>19</v>
      </c>
    </row>
    <row r="582" spans="1:12" ht="15" x14ac:dyDescent="0.2">
      <c r="A582" s="24"/>
      <c r="B582" s="17" t="s">
        <v>16</v>
      </c>
      <c r="C582" s="46">
        <v>11633</v>
      </c>
      <c r="D582" s="47">
        <v>13649</v>
      </c>
      <c r="E582" s="42">
        <v>575515</v>
      </c>
      <c r="F582" s="48">
        <v>439220.91</v>
      </c>
      <c r="G582" s="48">
        <v>10244004.359999998</v>
      </c>
      <c r="H582" s="44">
        <v>1416</v>
      </c>
      <c r="I582" s="44">
        <v>46942</v>
      </c>
      <c r="J582" s="44">
        <v>0</v>
      </c>
      <c r="K582" s="44">
        <v>226</v>
      </c>
      <c r="L582" t="s">
        <v>19</v>
      </c>
    </row>
    <row r="583" spans="1:12" ht="15" x14ac:dyDescent="0.2">
      <c r="A583" s="24"/>
      <c r="B583" s="17" t="s">
        <v>17</v>
      </c>
      <c r="C583" s="46">
        <v>14767</v>
      </c>
      <c r="D583" s="47">
        <v>15961</v>
      </c>
      <c r="E583" s="42">
        <v>573114</v>
      </c>
      <c r="F583" s="48">
        <v>542324.85</v>
      </c>
      <c r="G583" s="48">
        <v>9503513.1099999975</v>
      </c>
      <c r="H583" s="44">
        <v>2072</v>
      </c>
      <c r="I583" s="44">
        <v>49489</v>
      </c>
      <c r="J583" s="44">
        <v>0</v>
      </c>
      <c r="K583" s="44">
        <v>294</v>
      </c>
      <c r="L583" t="s">
        <v>19</v>
      </c>
    </row>
    <row r="584" spans="1:12" ht="15" x14ac:dyDescent="0.2">
      <c r="A584" s="24"/>
      <c r="B584" s="17"/>
      <c r="C584" s="46"/>
      <c r="D584" s="47"/>
      <c r="E584" s="42"/>
      <c r="F584" s="48"/>
      <c r="G584" s="48"/>
      <c r="H584" s="44"/>
      <c r="I584" s="44"/>
      <c r="J584" s="44"/>
      <c r="K584" s="44"/>
    </row>
    <row r="585" spans="1:12" ht="15.75" x14ac:dyDescent="0.25">
      <c r="A585" s="24"/>
      <c r="B585" s="16" t="s">
        <v>23</v>
      </c>
      <c r="C585" s="46"/>
      <c r="D585" s="47"/>
      <c r="E585" s="42"/>
      <c r="F585" s="48"/>
      <c r="G585" s="48"/>
      <c r="H585" s="44"/>
      <c r="I585" s="44"/>
      <c r="J585" s="44"/>
      <c r="K585" s="44"/>
    </row>
    <row r="586" spans="1:12" ht="15" x14ac:dyDescent="0.2">
      <c r="A586" s="24" t="s">
        <v>19</v>
      </c>
      <c r="B586" s="17" t="s">
        <v>20</v>
      </c>
      <c r="C586" s="46">
        <v>16903</v>
      </c>
      <c r="D586" s="47">
        <v>17342</v>
      </c>
      <c r="E586" s="42">
        <v>572460</v>
      </c>
      <c r="F586" s="48" t="s">
        <v>111</v>
      </c>
      <c r="G586" s="48" t="s">
        <v>111</v>
      </c>
      <c r="H586" s="44">
        <v>2613</v>
      </c>
      <c r="I586" s="44">
        <v>46078</v>
      </c>
      <c r="J586" s="44">
        <v>0</v>
      </c>
      <c r="K586" s="44">
        <v>532</v>
      </c>
      <c r="L586" t="s">
        <v>19</v>
      </c>
    </row>
    <row r="587" spans="1:12" ht="15" x14ac:dyDescent="0.2">
      <c r="A587" s="24"/>
      <c r="B587" s="17" t="s">
        <v>21</v>
      </c>
      <c r="C587" s="46">
        <v>17652</v>
      </c>
      <c r="D587" s="47">
        <v>17253</v>
      </c>
      <c r="E587" s="42">
        <v>573315</v>
      </c>
      <c r="F587" s="48" t="s">
        <v>111</v>
      </c>
      <c r="G587" s="48" t="s">
        <v>111</v>
      </c>
      <c r="H587" s="44">
        <v>2778</v>
      </c>
      <c r="I587" s="44">
        <v>47956</v>
      </c>
      <c r="J587" s="44">
        <v>0</v>
      </c>
      <c r="K587" s="44">
        <v>495</v>
      </c>
      <c r="L587" t="s">
        <v>19</v>
      </c>
    </row>
    <row r="588" spans="1:12" ht="15" x14ac:dyDescent="0.2">
      <c r="A588" s="24"/>
      <c r="B588" s="17" t="s">
        <v>22</v>
      </c>
      <c r="C588" s="46">
        <v>17147</v>
      </c>
      <c r="D588" s="47">
        <v>16603</v>
      </c>
      <c r="E588" s="42">
        <v>574341</v>
      </c>
      <c r="F588" s="43">
        <v>580808.54</v>
      </c>
      <c r="G588" s="43">
        <v>8364089.4500000002</v>
      </c>
      <c r="H588" s="44">
        <v>2525</v>
      </c>
      <c r="I588" s="44">
        <v>43645</v>
      </c>
      <c r="J588" s="44">
        <v>0</v>
      </c>
      <c r="K588" s="44">
        <v>456</v>
      </c>
      <c r="L588" t="s">
        <v>19</v>
      </c>
    </row>
    <row r="589" spans="1:12" ht="15" x14ac:dyDescent="0.2">
      <c r="A589" s="24"/>
      <c r="B589" s="17"/>
      <c r="C589" s="46"/>
      <c r="D589" s="47"/>
      <c r="E589" s="42"/>
      <c r="F589" s="43"/>
      <c r="G589" s="43"/>
      <c r="H589" s="44"/>
      <c r="I589" s="44"/>
      <c r="J589" s="44"/>
      <c r="K589" s="44"/>
    </row>
    <row r="590" spans="1:12" ht="15.75" x14ac:dyDescent="0.25">
      <c r="A590" s="24"/>
      <c r="B590" s="16" t="s">
        <v>26</v>
      </c>
      <c r="C590" s="46"/>
      <c r="D590" s="47"/>
      <c r="E590" s="42"/>
      <c r="F590" s="48"/>
      <c r="G590" s="48"/>
      <c r="H590" s="44"/>
      <c r="I590" s="44"/>
      <c r="J590" s="44"/>
      <c r="K590" s="44"/>
    </row>
    <row r="591" spans="1:12" ht="15" x14ac:dyDescent="0.2">
      <c r="A591" s="24" t="s">
        <v>19</v>
      </c>
      <c r="B591" s="17" t="s">
        <v>24</v>
      </c>
      <c r="C591" s="46">
        <v>16589</v>
      </c>
      <c r="D591" s="47">
        <v>15966</v>
      </c>
      <c r="E591" s="42">
        <v>577448</v>
      </c>
      <c r="F591" s="48" t="s">
        <v>111</v>
      </c>
      <c r="G591" s="48" t="s">
        <v>111</v>
      </c>
      <c r="H591" s="44">
        <v>1389</v>
      </c>
      <c r="I591" s="44">
        <v>40882</v>
      </c>
      <c r="J591" s="44">
        <v>0</v>
      </c>
      <c r="K591" s="44">
        <v>412</v>
      </c>
      <c r="L591" t="s">
        <v>19</v>
      </c>
    </row>
    <row r="592" spans="1:12" ht="15" x14ac:dyDescent="0.2">
      <c r="A592" s="24"/>
      <c r="B592" s="17" t="s">
        <v>25</v>
      </c>
      <c r="C592" s="46">
        <v>15918</v>
      </c>
      <c r="D592" s="47">
        <v>15409</v>
      </c>
      <c r="E592" s="42">
        <v>577723</v>
      </c>
      <c r="F592" s="48" t="s">
        <v>111</v>
      </c>
      <c r="G592" s="48" t="s">
        <v>111</v>
      </c>
      <c r="H592" s="44">
        <v>2706</v>
      </c>
      <c r="I592" s="44">
        <v>55898</v>
      </c>
      <c r="J592" s="44">
        <v>0</v>
      </c>
      <c r="K592" s="44">
        <v>532</v>
      </c>
      <c r="L592" t="s">
        <v>19</v>
      </c>
    </row>
    <row r="593" spans="1:12" ht="15" x14ac:dyDescent="0.2">
      <c r="A593" s="24"/>
      <c r="B593" s="17" t="s">
        <v>11</v>
      </c>
      <c r="C593" s="46">
        <v>15359</v>
      </c>
      <c r="D593" s="47">
        <v>14860</v>
      </c>
      <c r="E593" s="42">
        <v>579399</v>
      </c>
      <c r="F593" s="43">
        <v>650062.23</v>
      </c>
      <c r="G593" s="43">
        <v>10850610.5</v>
      </c>
      <c r="H593" s="44">
        <v>2669</v>
      </c>
      <c r="I593" s="44">
        <v>53058</v>
      </c>
      <c r="J593" s="49" t="s">
        <v>112</v>
      </c>
      <c r="K593" s="44">
        <v>417</v>
      </c>
      <c r="L593" t="s">
        <v>19</v>
      </c>
    </row>
    <row r="594" spans="1:12" ht="15" x14ac:dyDescent="0.2">
      <c r="A594" s="24"/>
      <c r="B594" s="17"/>
      <c r="C594" s="46"/>
      <c r="D594" s="47"/>
      <c r="E594" s="42"/>
      <c r="F594" s="43"/>
      <c r="G594" s="43"/>
      <c r="H594" s="44"/>
      <c r="I594" s="44"/>
      <c r="J594" s="44"/>
      <c r="K594" s="44"/>
    </row>
    <row r="595" spans="1:12" ht="15.75" x14ac:dyDescent="0.25">
      <c r="A595" s="24"/>
      <c r="B595" s="16" t="s">
        <v>27</v>
      </c>
      <c r="C595" s="46"/>
      <c r="D595" s="47"/>
      <c r="E595" s="42"/>
      <c r="F595" s="48"/>
      <c r="G595" s="48"/>
      <c r="H595" s="44"/>
      <c r="I595" s="44"/>
      <c r="J595" s="44"/>
      <c r="K595" s="44"/>
    </row>
    <row r="596" spans="1:12" ht="15" x14ac:dyDescent="0.2">
      <c r="A596" s="24" t="s">
        <v>19</v>
      </c>
      <c r="B596" s="17" t="s">
        <v>12</v>
      </c>
      <c r="C596" s="46">
        <v>14926</v>
      </c>
      <c r="D596" s="47">
        <v>14430</v>
      </c>
      <c r="E596" s="42">
        <v>580891</v>
      </c>
      <c r="F596" s="48" t="s">
        <v>111</v>
      </c>
      <c r="G596" s="48" t="s">
        <v>111</v>
      </c>
      <c r="H596" s="44">
        <v>4434</v>
      </c>
      <c r="I596" s="44">
        <f>57070+18</f>
        <v>57088</v>
      </c>
      <c r="J596" s="44">
        <v>0</v>
      </c>
      <c r="K596" s="44">
        <v>282</v>
      </c>
      <c r="L596" t="s">
        <v>19</v>
      </c>
    </row>
    <row r="597" spans="1:12" ht="15" x14ac:dyDescent="0.2">
      <c r="A597" s="24"/>
      <c r="B597" s="17" t="s">
        <v>13</v>
      </c>
      <c r="C597" s="46">
        <v>14747</v>
      </c>
      <c r="D597" s="47">
        <v>14853</v>
      </c>
      <c r="E597" s="42">
        <v>583633</v>
      </c>
      <c r="F597" s="48" t="s">
        <v>111</v>
      </c>
      <c r="G597" s="48" t="s">
        <v>111</v>
      </c>
      <c r="H597" s="44">
        <v>3908</v>
      </c>
      <c r="I597" s="44">
        <f>47666+23</f>
        <v>47689</v>
      </c>
      <c r="J597" s="44">
        <v>0</v>
      </c>
      <c r="K597" s="44">
        <v>265</v>
      </c>
      <c r="L597" t="s">
        <v>19</v>
      </c>
    </row>
    <row r="598" spans="1:12" ht="15" x14ac:dyDescent="0.2">
      <c r="A598" s="24"/>
      <c r="B598" s="17" t="s">
        <v>14</v>
      </c>
      <c r="C598" s="46">
        <v>14770</v>
      </c>
      <c r="D598" s="47">
        <v>16140</v>
      </c>
      <c r="E598" s="42">
        <f>583474</f>
        <v>583474</v>
      </c>
      <c r="F598" s="43">
        <f>291764.19+212948.21+375622.24</f>
        <v>880334.64</v>
      </c>
      <c r="G598" s="43">
        <f>4726156.92+2405575.35+2901167.1+57.04+1020.25+345.32+4749.03</f>
        <v>10039071.009999998</v>
      </c>
      <c r="H598" s="44">
        <v>3312</v>
      </c>
      <c r="I598" s="44">
        <f>41677+15</f>
        <v>41692</v>
      </c>
      <c r="J598" s="44">
        <v>0</v>
      </c>
      <c r="K598" s="44">
        <v>140</v>
      </c>
      <c r="L598" t="s">
        <v>19</v>
      </c>
    </row>
    <row r="599" spans="1:12" ht="15" x14ac:dyDescent="0.2">
      <c r="A599" s="24"/>
      <c r="B599" s="17"/>
      <c r="C599" s="46"/>
      <c r="D599" s="47"/>
      <c r="E599" s="42"/>
      <c r="F599" s="43"/>
      <c r="G599" s="43"/>
      <c r="H599" s="44"/>
      <c r="I599" s="44"/>
      <c r="J599" s="44"/>
      <c r="K599" s="44"/>
    </row>
    <row r="600" spans="1:12" ht="15.75" x14ac:dyDescent="0.25">
      <c r="A600" s="24"/>
      <c r="B600" s="16" t="s">
        <v>28</v>
      </c>
      <c r="C600" s="46"/>
      <c r="D600" s="47"/>
      <c r="E600" s="42"/>
      <c r="F600" s="48"/>
      <c r="G600" s="48"/>
      <c r="H600" s="44"/>
      <c r="I600" s="44"/>
      <c r="J600" s="44"/>
      <c r="K600" s="44"/>
    </row>
    <row r="601" spans="1:12" ht="15" x14ac:dyDescent="0.2">
      <c r="A601" s="24">
        <v>2002</v>
      </c>
      <c r="B601" s="17" t="s">
        <v>15</v>
      </c>
      <c r="C601" s="46">
        <v>18559</v>
      </c>
      <c r="D601" s="47">
        <v>18964</v>
      </c>
      <c r="E601" s="42">
        <v>581155</v>
      </c>
      <c r="F601" s="48" t="s">
        <v>111</v>
      </c>
      <c r="G601" s="48" t="s">
        <v>111</v>
      </c>
      <c r="H601" s="44">
        <v>5020</v>
      </c>
      <c r="I601" s="44">
        <f>54856+16</f>
        <v>54872</v>
      </c>
      <c r="J601" s="44">
        <v>11</v>
      </c>
      <c r="K601" s="44">
        <v>195</v>
      </c>
    </row>
    <row r="602" spans="1:12" ht="15" x14ac:dyDescent="0.2">
      <c r="A602" s="24"/>
      <c r="B602" s="17" t="s">
        <v>16</v>
      </c>
      <c r="C602" s="46">
        <v>20266</v>
      </c>
      <c r="D602" s="47">
        <v>20990</v>
      </c>
      <c r="E602" s="42">
        <v>581011</v>
      </c>
      <c r="F602" s="48" t="s">
        <v>111</v>
      </c>
      <c r="G602" s="48" t="s">
        <v>111</v>
      </c>
      <c r="H602" s="44">
        <v>4686</v>
      </c>
      <c r="I602" s="44">
        <f>55313+12</f>
        <v>55325</v>
      </c>
      <c r="J602" s="44">
        <v>6</v>
      </c>
      <c r="K602" s="44">
        <v>201</v>
      </c>
    </row>
    <row r="603" spans="1:12" ht="15" x14ac:dyDescent="0.2">
      <c r="A603" s="24"/>
      <c r="B603" s="17" t="s">
        <v>17</v>
      </c>
      <c r="C603" s="46">
        <v>22301</v>
      </c>
      <c r="D603" s="47">
        <v>22417</v>
      </c>
      <c r="E603" s="42">
        <v>580035</v>
      </c>
      <c r="F603" s="43">
        <v>1113718</v>
      </c>
      <c r="G603" s="43">
        <v>9542463</v>
      </c>
      <c r="H603" s="44">
        <v>4013</v>
      </c>
      <c r="I603" s="44">
        <f>50537+13</f>
        <v>50550</v>
      </c>
      <c r="J603" s="44">
        <v>15</v>
      </c>
      <c r="K603" s="44">
        <v>206</v>
      </c>
    </row>
    <row r="604" spans="1:12" ht="15" x14ac:dyDescent="0.2">
      <c r="A604" s="24"/>
      <c r="B604" s="17"/>
      <c r="C604" s="46"/>
      <c r="D604" s="47"/>
      <c r="E604" s="42"/>
      <c r="F604" s="43"/>
      <c r="G604" s="43"/>
      <c r="H604" s="44"/>
      <c r="I604" s="44"/>
      <c r="J604" s="44"/>
      <c r="K604" s="44"/>
    </row>
    <row r="605" spans="1:12" ht="15.75" x14ac:dyDescent="0.25">
      <c r="A605" s="24"/>
      <c r="B605" s="16" t="s">
        <v>29</v>
      </c>
      <c r="C605" s="46"/>
      <c r="D605" s="47"/>
      <c r="E605" s="42"/>
      <c r="F605" s="48"/>
      <c r="G605" s="48"/>
      <c r="H605" s="44"/>
      <c r="I605" s="44"/>
      <c r="J605" s="44"/>
      <c r="K605" s="44"/>
    </row>
    <row r="606" spans="1:12" ht="15" x14ac:dyDescent="0.2">
      <c r="A606" s="24"/>
      <c r="B606" s="17" t="s">
        <v>20</v>
      </c>
      <c r="C606" s="46">
        <v>23312</v>
      </c>
      <c r="D606" s="47">
        <v>23224</v>
      </c>
      <c r="E606" s="42">
        <v>580447</v>
      </c>
      <c r="F606" s="48" t="s">
        <v>111</v>
      </c>
      <c r="G606" s="48" t="s">
        <v>111</v>
      </c>
      <c r="H606" s="44">
        <v>3997</v>
      </c>
      <c r="I606" s="44">
        <v>51186</v>
      </c>
      <c r="J606" s="44">
        <v>60</v>
      </c>
      <c r="K606" s="44">
        <v>455</v>
      </c>
    </row>
    <row r="607" spans="1:12" ht="15" x14ac:dyDescent="0.2">
      <c r="A607" s="24"/>
      <c r="B607" s="17" t="s">
        <v>21</v>
      </c>
      <c r="C607" s="46">
        <v>23603</v>
      </c>
      <c r="D607" s="47">
        <v>22728</v>
      </c>
      <c r="E607" s="42">
        <v>580635</v>
      </c>
      <c r="F607" s="48" t="s">
        <v>111</v>
      </c>
      <c r="G607" s="48" t="s">
        <v>111</v>
      </c>
      <c r="H607" s="44">
        <v>3489</v>
      </c>
      <c r="I607" s="44">
        <v>48298</v>
      </c>
      <c r="J607" s="44">
        <v>79</v>
      </c>
      <c r="K607" s="44">
        <v>452</v>
      </c>
    </row>
    <row r="608" spans="1:12" ht="15" x14ac:dyDescent="0.2">
      <c r="A608" s="24"/>
      <c r="B608" s="17" t="s">
        <v>22</v>
      </c>
      <c r="C608" s="46">
        <v>20955</v>
      </c>
      <c r="D608" s="47">
        <v>18337</v>
      </c>
      <c r="E608" s="42">
        <v>585555</v>
      </c>
      <c r="F608" s="43">
        <v>926189.26</v>
      </c>
      <c r="G608" s="43">
        <v>8424780.1799999978</v>
      </c>
      <c r="H608" s="44">
        <v>2996</v>
      </c>
      <c r="I608" s="44">
        <v>42134</v>
      </c>
      <c r="J608" s="44">
        <v>53</v>
      </c>
      <c r="K608" s="44">
        <v>355</v>
      </c>
    </row>
    <row r="609" spans="1:11" ht="15" x14ac:dyDescent="0.2">
      <c r="A609" s="24"/>
      <c r="B609" s="17"/>
      <c r="C609" s="46"/>
      <c r="D609" s="47"/>
      <c r="E609" s="42"/>
      <c r="F609" s="43"/>
      <c r="G609" s="43"/>
      <c r="H609" s="44"/>
      <c r="I609" s="44"/>
      <c r="J609" s="44"/>
      <c r="K609" s="44"/>
    </row>
    <row r="610" spans="1:11" ht="15.75" x14ac:dyDescent="0.25">
      <c r="A610" s="24"/>
      <c r="B610" s="16" t="s">
        <v>30</v>
      </c>
      <c r="C610" s="46"/>
      <c r="D610" s="47"/>
      <c r="E610" s="42"/>
      <c r="F610" s="48"/>
      <c r="G610" s="48"/>
      <c r="H610" s="44"/>
      <c r="I610" s="44"/>
      <c r="J610" s="44"/>
      <c r="K610" s="44"/>
    </row>
    <row r="611" spans="1:11" ht="15" x14ac:dyDescent="0.2">
      <c r="A611" s="24"/>
      <c r="B611" s="17" t="s">
        <v>24</v>
      </c>
      <c r="C611" s="46">
        <v>18417</v>
      </c>
      <c r="D611" s="47">
        <v>17698</v>
      </c>
      <c r="E611" s="42">
        <v>587949</v>
      </c>
      <c r="F611" s="48" t="s">
        <v>111</v>
      </c>
      <c r="G611" s="48" t="s">
        <v>111</v>
      </c>
      <c r="H611" s="44">
        <v>3353</v>
      </c>
      <c r="I611" s="44">
        <v>49289</v>
      </c>
      <c r="J611" s="44">
        <v>41</v>
      </c>
      <c r="K611" s="44">
        <v>291</v>
      </c>
    </row>
    <row r="612" spans="1:11" ht="15" x14ac:dyDescent="0.2">
      <c r="A612" s="24"/>
      <c r="B612" s="17" t="s">
        <v>25</v>
      </c>
      <c r="C612" s="46">
        <v>17768</v>
      </c>
      <c r="D612" s="47">
        <v>17020</v>
      </c>
      <c r="E612" s="42">
        <v>588973</v>
      </c>
      <c r="F612" s="48" t="s">
        <v>111</v>
      </c>
      <c r="G612" s="48" t="s">
        <v>111</v>
      </c>
      <c r="H612" s="44">
        <v>4213</v>
      </c>
      <c r="I612" s="44">
        <v>62003</v>
      </c>
      <c r="J612" s="44">
        <v>56</v>
      </c>
      <c r="K612" s="44">
        <v>426</v>
      </c>
    </row>
    <row r="613" spans="1:11" ht="15" x14ac:dyDescent="0.2">
      <c r="A613" s="24"/>
      <c r="B613" s="17" t="s">
        <v>11</v>
      </c>
      <c r="C613" s="46">
        <v>17214</v>
      </c>
      <c r="D613" s="47">
        <v>16380</v>
      </c>
      <c r="E613" s="42">
        <v>590490</v>
      </c>
      <c r="F613" s="43">
        <v>998812.82</v>
      </c>
      <c r="G613" s="43">
        <v>12674696.18</v>
      </c>
      <c r="H613" s="44">
        <v>3745</v>
      </c>
      <c r="I613" s="44">
        <v>59654</v>
      </c>
      <c r="J613" s="44">
        <v>100</v>
      </c>
      <c r="K613" s="44">
        <v>550</v>
      </c>
    </row>
    <row r="614" spans="1:11" ht="15" x14ac:dyDescent="0.2">
      <c r="A614" s="24"/>
      <c r="B614" s="17"/>
      <c r="C614" s="46"/>
      <c r="D614" s="47"/>
      <c r="E614" s="42"/>
      <c r="F614" s="43"/>
      <c r="G614" s="43"/>
      <c r="H614" s="44"/>
      <c r="I614" s="44"/>
      <c r="J614" s="44"/>
      <c r="K614" s="44"/>
    </row>
    <row r="615" spans="1:11" ht="15.75" x14ac:dyDescent="0.25">
      <c r="A615" s="24"/>
      <c r="B615" s="16" t="s">
        <v>31</v>
      </c>
      <c r="C615" s="46"/>
      <c r="D615" s="47"/>
      <c r="E615" s="42"/>
      <c r="F615" s="48"/>
      <c r="G615" s="48"/>
      <c r="H615" s="44"/>
      <c r="I615" s="44"/>
      <c r="J615" s="44"/>
      <c r="K615" s="44"/>
    </row>
    <row r="616" spans="1:11" ht="15" x14ac:dyDescent="0.2">
      <c r="A616" s="24"/>
      <c r="B616" s="17" t="s">
        <v>12</v>
      </c>
      <c r="C616" s="46">
        <v>16642</v>
      </c>
      <c r="D616" s="47">
        <v>15824</v>
      </c>
      <c r="E616" s="42">
        <v>592545</v>
      </c>
      <c r="F616" s="48" t="s">
        <v>111</v>
      </c>
      <c r="G616" s="48" t="s">
        <v>111</v>
      </c>
      <c r="H616" s="44">
        <v>4363</v>
      </c>
      <c r="I616" s="44">
        <v>61126</v>
      </c>
      <c r="J616" s="44">
        <v>30</v>
      </c>
      <c r="K616" s="44">
        <v>287</v>
      </c>
    </row>
    <row r="617" spans="1:11" ht="15" x14ac:dyDescent="0.2">
      <c r="A617" s="24"/>
      <c r="B617" s="17" t="s">
        <v>13</v>
      </c>
      <c r="C617" s="46">
        <v>16198</v>
      </c>
      <c r="D617" s="47">
        <v>16120</v>
      </c>
      <c r="E617" s="42">
        <v>594218</v>
      </c>
      <c r="F617" s="48" t="s">
        <v>111</v>
      </c>
      <c r="G617" s="48" t="s">
        <v>111</v>
      </c>
      <c r="H617" s="44">
        <v>3491</v>
      </c>
      <c r="I617" s="44">
        <v>44450</v>
      </c>
      <c r="J617" s="44">
        <v>22</v>
      </c>
      <c r="K617" s="44">
        <v>211</v>
      </c>
    </row>
    <row r="618" spans="1:11" ht="15" x14ac:dyDescent="0.2">
      <c r="A618" s="24"/>
      <c r="B618" s="17" t="s">
        <v>14</v>
      </c>
      <c r="C618" s="46">
        <v>17192</v>
      </c>
      <c r="D618" s="47">
        <v>17538</v>
      </c>
      <c r="E618" s="42">
        <v>593695</v>
      </c>
      <c r="F618" s="43">
        <v>866147.83999999997</v>
      </c>
      <c r="G618" s="43">
        <v>10832537.119999999</v>
      </c>
      <c r="H618" s="44">
        <v>3370</v>
      </c>
      <c r="I618" s="44">
        <v>47197</v>
      </c>
      <c r="J618" s="44">
        <v>25</v>
      </c>
      <c r="K618" s="44">
        <v>266</v>
      </c>
    </row>
    <row r="619" spans="1:11" ht="15" x14ac:dyDescent="0.2">
      <c r="A619" s="24"/>
      <c r="B619" s="17"/>
      <c r="C619" s="46"/>
      <c r="D619" s="47"/>
      <c r="E619" s="42"/>
      <c r="F619" s="43"/>
      <c r="G619" s="43"/>
      <c r="H619" s="44"/>
      <c r="I619" s="44"/>
      <c r="J619" s="44"/>
      <c r="K619" s="44"/>
    </row>
    <row r="620" spans="1:11" ht="15.75" x14ac:dyDescent="0.25">
      <c r="A620" s="24" t="s">
        <v>19</v>
      </c>
      <c r="B620" s="16" t="s">
        <v>33</v>
      </c>
      <c r="C620" s="46"/>
      <c r="D620" s="47"/>
      <c r="E620" s="42"/>
      <c r="F620" s="48"/>
      <c r="G620" s="48"/>
      <c r="H620" s="44"/>
      <c r="I620" s="44"/>
      <c r="J620" s="44"/>
      <c r="K620" s="44"/>
    </row>
    <row r="621" spans="1:11" ht="15" x14ac:dyDescent="0.2">
      <c r="A621" s="24">
        <v>2003</v>
      </c>
      <c r="B621" s="17" t="s">
        <v>15</v>
      </c>
      <c r="C621" s="46">
        <v>18797</v>
      </c>
      <c r="D621" s="47">
        <v>19398</v>
      </c>
      <c r="E621" s="42">
        <v>593570</v>
      </c>
      <c r="F621" s="48" t="s">
        <v>111</v>
      </c>
      <c r="G621" s="48" t="s">
        <v>111</v>
      </c>
      <c r="H621" s="44">
        <v>6038</v>
      </c>
      <c r="I621" s="44">
        <v>56752</v>
      </c>
      <c r="J621" s="44">
        <v>29</v>
      </c>
      <c r="K621" s="44">
        <v>362</v>
      </c>
    </row>
    <row r="622" spans="1:11" ht="15" x14ac:dyDescent="0.2">
      <c r="A622" s="24"/>
      <c r="B622" s="17" t="s">
        <v>16</v>
      </c>
      <c r="C622" s="46">
        <v>21066</v>
      </c>
      <c r="D622" s="47">
        <v>21310</v>
      </c>
      <c r="E622" s="42">
        <v>593472</v>
      </c>
      <c r="F622" s="48" t="s">
        <v>111</v>
      </c>
      <c r="G622" s="48" t="s">
        <v>111</v>
      </c>
      <c r="H622" s="44">
        <v>4816</v>
      </c>
      <c r="I622" s="44">
        <v>52858</v>
      </c>
      <c r="J622" s="44">
        <v>35</v>
      </c>
      <c r="K622" s="44">
        <v>399</v>
      </c>
    </row>
    <row r="623" spans="1:11" ht="15" x14ac:dyDescent="0.2">
      <c r="A623" s="24"/>
      <c r="B623" s="17" t="s">
        <v>17</v>
      </c>
      <c r="C623" s="46">
        <v>22691</v>
      </c>
      <c r="D623" s="47">
        <v>22821</v>
      </c>
      <c r="E623" s="42">
        <v>593378</v>
      </c>
      <c r="F623" s="43">
        <v>1156415</v>
      </c>
      <c r="G623" s="43">
        <v>9767092</v>
      </c>
      <c r="H623" s="44">
        <v>4060</v>
      </c>
      <c r="I623" s="44">
        <v>48034</v>
      </c>
      <c r="J623" s="44">
        <v>43</v>
      </c>
      <c r="K623" s="44">
        <v>379</v>
      </c>
    </row>
    <row r="624" spans="1:11" ht="15.75" x14ac:dyDescent="0.25">
      <c r="A624" s="89" t="s">
        <v>104</v>
      </c>
      <c r="B624" s="16"/>
      <c r="C624" s="18"/>
      <c r="D624" s="18"/>
      <c r="E624" s="18"/>
      <c r="F624" s="18"/>
      <c r="G624" s="18"/>
      <c r="H624" s="18"/>
      <c r="I624" s="18"/>
      <c r="J624" s="18"/>
      <c r="K624" s="18"/>
    </row>
    <row r="625" spans="1:11" ht="27.75" x14ac:dyDescent="0.55000000000000004">
      <c r="A625" s="82"/>
      <c r="B625" s="16"/>
      <c r="C625" s="18"/>
      <c r="D625" s="18"/>
      <c r="E625" s="18"/>
      <c r="F625" s="18"/>
      <c r="G625" s="18"/>
      <c r="H625" s="105" t="s">
        <v>157</v>
      </c>
      <c r="I625" s="105"/>
      <c r="J625" s="105"/>
      <c r="K625" s="105"/>
    </row>
    <row r="626" spans="1:11" ht="27.75" x14ac:dyDescent="0.55000000000000004">
      <c r="A626" s="82"/>
      <c r="B626" s="16"/>
      <c r="C626" s="18"/>
      <c r="D626" s="105" t="s">
        <v>158</v>
      </c>
      <c r="E626" s="105"/>
      <c r="F626" s="105" t="s">
        <v>159</v>
      </c>
      <c r="G626" s="105"/>
      <c r="H626" s="105" t="s">
        <v>105</v>
      </c>
      <c r="I626" s="105"/>
      <c r="J626" s="105" t="s">
        <v>106</v>
      </c>
      <c r="K626" s="105"/>
    </row>
    <row r="627" spans="1:11" ht="15.75" x14ac:dyDescent="0.25">
      <c r="A627" s="21" t="s">
        <v>8</v>
      </c>
      <c r="B627" s="16" t="s">
        <v>32</v>
      </c>
      <c r="C627" s="40" t="s">
        <v>107</v>
      </c>
      <c r="D627" s="40" t="s">
        <v>108</v>
      </c>
      <c r="E627" s="40" t="s">
        <v>109</v>
      </c>
      <c r="F627" s="40" t="s">
        <v>108</v>
      </c>
      <c r="G627" s="40" t="s">
        <v>109</v>
      </c>
      <c r="H627" s="40" t="s">
        <v>108</v>
      </c>
      <c r="I627" s="40" t="s">
        <v>109</v>
      </c>
      <c r="J627" s="40" t="s">
        <v>108</v>
      </c>
      <c r="K627" s="40" t="s">
        <v>109</v>
      </c>
    </row>
    <row r="628" spans="1:11" ht="15" x14ac:dyDescent="0.2">
      <c r="A628" s="24"/>
      <c r="B628" s="17"/>
      <c r="C628" s="46"/>
      <c r="D628" s="47"/>
      <c r="E628" s="42"/>
      <c r="F628" s="43"/>
      <c r="G628" s="43"/>
      <c r="H628" s="44"/>
      <c r="I628" s="44"/>
      <c r="J628" s="44"/>
      <c r="K628" s="44"/>
    </row>
    <row r="629" spans="1:11" ht="15.75" x14ac:dyDescent="0.25">
      <c r="A629" s="24" t="s">
        <v>19</v>
      </c>
      <c r="B629" s="16" t="s">
        <v>34</v>
      </c>
      <c r="C629" s="46"/>
      <c r="D629" s="47"/>
      <c r="E629" s="42"/>
      <c r="F629" s="48"/>
      <c r="G629" s="48"/>
      <c r="H629" s="44"/>
      <c r="I629" s="44"/>
      <c r="J629" s="44"/>
      <c r="K629" s="44"/>
    </row>
    <row r="630" spans="1:11" ht="15" x14ac:dyDescent="0.2">
      <c r="A630" s="24">
        <v>2003</v>
      </c>
      <c r="B630" s="17" t="s">
        <v>20</v>
      </c>
      <c r="C630" s="46">
        <v>23884</v>
      </c>
      <c r="D630" s="47">
        <v>23506</v>
      </c>
      <c r="E630" s="42">
        <v>593216</v>
      </c>
      <c r="F630" s="48" t="s">
        <v>111</v>
      </c>
      <c r="G630" s="48" t="s">
        <v>111</v>
      </c>
      <c r="H630" s="44">
        <v>3474</v>
      </c>
      <c r="I630" s="44">
        <v>49538</v>
      </c>
      <c r="J630" s="44">
        <v>58</v>
      </c>
      <c r="K630" s="44">
        <v>605</v>
      </c>
    </row>
    <row r="631" spans="1:11" ht="15" x14ac:dyDescent="0.2">
      <c r="A631" s="24"/>
      <c r="B631" s="17" t="s">
        <v>21</v>
      </c>
      <c r="C631" s="46">
        <v>24166</v>
      </c>
      <c r="D631" s="47">
        <v>23481</v>
      </c>
      <c r="E631" s="42">
        <v>593787</v>
      </c>
      <c r="F631" s="48" t="s">
        <v>111</v>
      </c>
      <c r="G631" s="48" t="s">
        <v>111</v>
      </c>
      <c r="H631" s="44">
        <v>3643</v>
      </c>
      <c r="I631" s="44">
        <v>46383</v>
      </c>
      <c r="J631" s="44">
        <v>1</v>
      </c>
      <c r="K631" s="44">
        <v>546</v>
      </c>
    </row>
    <row r="632" spans="1:11" ht="15" x14ac:dyDescent="0.2">
      <c r="A632" s="24"/>
      <c r="B632" s="17" t="s">
        <v>22</v>
      </c>
      <c r="C632" s="46">
        <v>22096</v>
      </c>
      <c r="D632" s="47">
        <v>18151</v>
      </c>
      <c r="E632" s="42">
        <v>599513</v>
      </c>
      <c r="F632" s="43">
        <v>1019165.69</v>
      </c>
      <c r="G632" s="43">
        <v>9042021.9299999997</v>
      </c>
      <c r="H632" s="44">
        <v>3606</v>
      </c>
      <c r="I632" s="44">
        <v>43885</v>
      </c>
      <c r="J632" s="44">
        <v>27</v>
      </c>
      <c r="K632" s="44">
        <v>863</v>
      </c>
    </row>
    <row r="633" spans="1:11" ht="15" x14ac:dyDescent="0.2">
      <c r="A633" s="24"/>
      <c r="B633" s="17"/>
      <c r="C633" s="46"/>
      <c r="D633" s="47"/>
      <c r="E633" s="42"/>
      <c r="F633" s="43"/>
      <c r="G633" s="43"/>
      <c r="H633" s="44"/>
      <c r="I633" s="44"/>
      <c r="J633" s="44"/>
      <c r="K633" s="44"/>
    </row>
    <row r="634" spans="1:11" ht="15.75" x14ac:dyDescent="0.25">
      <c r="A634" s="24" t="s">
        <v>19</v>
      </c>
      <c r="B634" s="16" t="s">
        <v>35</v>
      </c>
      <c r="C634" s="46"/>
      <c r="D634" s="47"/>
      <c r="E634" s="42"/>
      <c r="F634" s="48"/>
      <c r="G634" s="48"/>
      <c r="H634" s="44"/>
      <c r="I634" s="44"/>
      <c r="J634" s="44"/>
      <c r="K634" s="44"/>
    </row>
    <row r="635" spans="1:11" ht="15" x14ac:dyDescent="0.2">
      <c r="A635" s="24"/>
      <c r="B635" s="17" t="s">
        <v>24</v>
      </c>
      <c r="C635" s="46">
        <v>18294</v>
      </c>
      <c r="D635" s="47">
        <v>17418</v>
      </c>
      <c r="E635" s="42">
        <v>601947</v>
      </c>
      <c r="F635" s="48" t="s">
        <v>111</v>
      </c>
      <c r="G635" s="48" t="s">
        <v>111</v>
      </c>
      <c r="H635" s="44">
        <v>3715</v>
      </c>
      <c r="I635" s="44">
        <v>48911</v>
      </c>
      <c r="J635" s="44">
        <v>73</v>
      </c>
      <c r="K635" s="44">
        <v>710</v>
      </c>
    </row>
    <row r="636" spans="1:11" ht="15" x14ac:dyDescent="0.2">
      <c r="A636" s="24"/>
      <c r="B636" s="17" t="s">
        <v>25</v>
      </c>
      <c r="C636" s="46">
        <v>17458</v>
      </c>
      <c r="D636" s="47">
        <v>16781</v>
      </c>
      <c r="E636" s="42">
        <v>602962</v>
      </c>
      <c r="F636" s="48" t="s">
        <v>111</v>
      </c>
      <c r="G636" s="48" t="s">
        <v>111</v>
      </c>
      <c r="H636" s="44">
        <v>3747</v>
      </c>
      <c r="I636" s="44">
        <v>52067</v>
      </c>
      <c r="J636" s="44">
        <v>3</v>
      </c>
      <c r="K636" s="44">
        <v>654</v>
      </c>
    </row>
    <row r="637" spans="1:11" ht="15" x14ac:dyDescent="0.2">
      <c r="A637" s="24"/>
      <c r="B637" s="17" t="s">
        <v>11</v>
      </c>
      <c r="C637" s="46">
        <v>17118</v>
      </c>
      <c r="D637" s="47">
        <v>16228</v>
      </c>
      <c r="E637" s="42">
        <v>604851</v>
      </c>
      <c r="F637" s="43">
        <v>816361.92</v>
      </c>
      <c r="G637" s="43">
        <v>11114494.32</v>
      </c>
      <c r="H637" s="44">
        <v>4160</v>
      </c>
      <c r="I637" s="44">
        <v>59511</v>
      </c>
      <c r="J637" s="44">
        <v>1</v>
      </c>
      <c r="K637" s="44">
        <v>901</v>
      </c>
    </row>
    <row r="638" spans="1:11" ht="15" x14ac:dyDescent="0.2">
      <c r="A638" s="24"/>
      <c r="B638" s="17"/>
      <c r="C638" s="46"/>
      <c r="D638" s="47"/>
      <c r="E638" s="42"/>
      <c r="F638" s="43"/>
      <c r="G638" s="43"/>
      <c r="H638" s="44"/>
      <c r="I638" s="44"/>
      <c r="J638" s="44"/>
      <c r="K638" s="44"/>
    </row>
    <row r="639" spans="1:11" ht="15.75" x14ac:dyDescent="0.25">
      <c r="A639" s="24" t="s">
        <v>19</v>
      </c>
      <c r="B639" s="16" t="s">
        <v>36</v>
      </c>
      <c r="C639" s="46"/>
      <c r="D639" s="47"/>
      <c r="E639" s="42"/>
      <c r="F639" s="48"/>
      <c r="G639" s="48"/>
      <c r="H639" s="44"/>
      <c r="I639" s="44"/>
      <c r="J639" s="44"/>
      <c r="K639" s="44"/>
    </row>
    <row r="640" spans="1:11" ht="15" x14ac:dyDescent="0.2">
      <c r="A640" s="24"/>
      <c r="B640" s="17" t="s">
        <v>12</v>
      </c>
      <c r="C640" s="46">
        <v>16449</v>
      </c>
      <c r="D640" s="47">
        <v>15708</v>
      </c>
      <c r="E640" s="42">
        <v>605838</v>
      </c>
      <c r="F640" s="48" t="s">
        <v>111</v>
      </c>
      <c r="G640" s="48" t="s">
        <v>111</v>
      </c>
      <c r="H640" s="44">
        <v>4821</v>
      </c>
      <c r="I640" s="44">
        <v>58379</v>
      </c>
      <c r="J640" s="44">
        <v>0</v>
      </c>
      <c r="K640" s="44">
        <v>369</v>
      </c>
    </row>
    <row r="641" spans="1:11" ht="15" x14ac:dyDescent="0.2">
      <c r="A641" s="24"/>
      <c r="B641" s="17" t="s">
        <v>13</v>
      </c>
      <c r="C641" s="46">
        <v>16094</v>
      </c>
      <c r="D641" s="47">
        <v>15798</v>
      </c>
      <c r="E641" s="42">
        <v>609712</v>
      </c>
      <c r="F641" s="48" t="s">
        <v>111</v>
      </c>
      <c r="G641" s="48" t="s">
        <v>111</v>
      </c>
      <c r="H641" s="44">
        <v>3461</v>
      </c>
      <c r="I641" s="44">
        <v>38372</v>
      </c>
      <c r="J641" s="44">
        <v>1</v>
      </c>
      <c r="K641" s="44">
        <v>340</v>
      </c>
    </row>
    <row r="642" spans="1:11" ht="15" x14ac:dyDescent="0.2">
      <c r="A642" s="24"/>
      <c r="B642" s="17" t="s">
        <v>14</v>
      </c>
      <c r="C642" s="46">
        <v>17120</v>
      </c>
      <c r="D642" s="47">
        <v>17345</v>
      </c>
      <c r="E642" s="42">
        <v>607291</v>
      </c>
      <c r="F642" s="43">
        <f>1048848</f>
        <v>1048848</v>
      </c>
      <c r="G642" s="43">
        <v>11605646</v>
      </c>
      <c r="H642" s="44">
        <v>3407</v>
      </c>
      <c r="I642" s="44">
        <v>45693</v>
      </c>
      <c r="J642" s="44">
        <v>22</v>
      </c>
      <c r="K642" s="44">
        <v>310</v>
      </c>
    </row>
    <row r="643" spans="1:11" ht="15" x14ac:dyDescent="0.2">
      <c r="A643" s="24"/>
      <c r="B643" s="17"/>
      <c r="C643" s="46"/>
      <c r="D643" s="47"/>
      <c r="E643" s="42"/>
      <c r="F643" s="43"/>
      <c r="G643" s="43"/>
      <c r="H643" s="44"/>
      <c r="I643" s="44"/>
      <c r="J643" s="44"/>
      <c r="K643" s="44"/>
    </row>
    <row r="644" spans="1:11" ht="15.75" x14ac:dyDescent="0.25">
      <c r="A644" s="24" t="s">
        <v>19</v>
      </c>
      <c r="B644" s="16" t="s">
        <v>37</v>
      </c>
      <c r="C644" s="46"/>
      <c r="D644" s="47"/>
      <c r="E644" s="42"/>
      <c r="F644" s="48"/>
      <c r="G644" s="48"/>
      <c r="H644" s="44"/>
      <c r="I644" s="44"/>
      <c r="J644" s="44"/>
      <c r="K644" s="44"/>
    </row>
    <row r="645" spans="1:11" ht="15" x14ac:dyDescent="0.2">
      <c r="A645" s="24">
        <v>2004</v>
      </c>
      <c r="B645" s="17" t="s">
        <v>15</v>
      </c>
      <c r="C645" s="46">
        <v>18727</v>
      </c>
      <c r="D645" s="47">
        <v>19077</v>
      </c>
      <c r="E645" s="42">
        <v>607545</v>
      </c>
      <c r="F645" s="48" t="s">
        <v>111</v>
      </c>
      <c r="G645" s="48" t="s">
        <v>111</v>
      </c>
      <c r="H645" s="44">
        <v>4681</v>
      </c>
      <c r="I645" s="44">
        <v>51228</v>
      </c>
      <c r="J645" s="44">
        <v>1</v>
      </c>
      <c r="K645" s="44">
        <v>358</v>
      </c>
    </row>
    <row r="646" spans="1:11" ht="15" x14ac:dyDescent="0.2">
      <c r="A646" s="24"/>
      <c r="B646" s="17" t="s">
        <v>16</v>
      </c>
      <c r="C646" s="46">
        <v>20542</v>
      </c>
      <c r="D646" s="47">
        <v>20433</v>
      </c>
      <c r="E646" s="42">
        <v>608541</v>
      </c>
      <c r="F646" s="48" t="s">
        <v>111</v>
      </c>
      <c r="G646" s="48" t="s">
        <v>111</v>
      </c>
      <c r="H646" s="44">
        <v>3979</v>
      </c>
      <c r="I646" s="44">
        <v>50461</v>
      </c>
      <c r="J646" s="44">
        <v>1</v>
      </c>
      <c r="K646" s="44">
        <v>533</v>
      </c>
    </row>
    <row r="647" spans="1:11" ht="15" x14ac:dyDescent="0.2">
      <c r="A647" s="24"/>
      <c r="B647" s="17" t="s">
        <v>17</v>
      </c>
      <c r="C647" s="46">
        <v>21653</v>
      </c>
      <c r="D647" s="47">
        <v>21440</v>
      </c>
      <c r="E647" s="42">
        <v>607606</v>
      </c>
      <c r="F647" s="43">
        <v>1242171.72</v>
      </c>
      <c r="G647" s="43">
        <v>10421871.48</v>
      </c>
      <c r="H647" s="44">
        <v>4020</v>
      </c>
      <c r="I647" s="44">
        <v>49530</v>
      </c>
      <c r="J647" s="44">
        <v>0</v>
      </c>
      <c r="K647" s="44">
        <v>581</v>
      </c>
    </row>
    <row r="648" spans="1:11" ht="15" x14ac:dyDescent="0.2">
      <c r="A648" s="24"/>
      <c r="B648" s="17"/>
      <c r="C648" s="46"/>
      <c r="D648" s="47"/>
      <c r="E648" s="42"/>
      <c r="F648" s="43"/>
      <c r="G648" s="43"/>
      <c r="H648" s="44"/>
      <c r="I648" s="44"/>
      <c r="J648" s="44"/>
      <c r="K648" s="44"/>
    </row>
    <row r="649" spans="1:11" ht="15.75" x14ac:dyDescent="0.25">
      <c r="A649" s="24" t="s">
        <v>19</v>
      </c>
      <c r="B649" s="16" t="s">
        <v>38</v>
      </c>
      <c r="C649" s="46"/>
      <c r="D649" s="47"/>
      <c r="E649" s="42"/>
      <c r="F649" s="48"/>
      <c r="G649" s="48"/>
      <c r="H649" s="44"/>
      <c r="I649" s="44"/>
      <c r="J649" s="44"/>
      <c r="K649" s="44"/>
    </row>
    <row r="650" spans="1:11" ht="15" x14ac:dyDescent="0.2">
      <c r="A650" s="24"/>
      <c r="B650" s="17" t="s">
        <v>20</v>
      </c>
      <c r="C650" s="46">
        <v>22276</v>
      </c>
      <c r="D650" s="47">
        <v>21668</v>
      </c>
      <c r="E650" s="42">
        <v>607485</v>
      </c>
      <c r="F650" s="48" t="s">
        <v>111</v>
      </c>
      <c r="G650" s="48" t="s">
        <v>111</v>
      </c>
      <c r="H650" s="44">
        <v>3188</v>
      </c>
      <c r="I650" s="44">
        <v>46428</v>
      </c>
      <c r="J650" s="44">
        <v>46</v>
      </c>
      <c r="K650" s="44">
        <v>758</v>
      </c>
    </row>
    <row r="651" spans="1:11" ht="15" x14ac:dyDescent="0.2">
      <c r="A651" s="24"/>
      <c r="B651" s="17" t="s">
        <v>21</v>
      </c>
      <c r="C651" s="46">
        <v>22616</v>
      </c>
      <c r="D651" s="47">
        <v>21651</v>
      </c>
      <c r="E651" s="42">
        <v>608743</v>
      </c>
      <c r="F651" s="48" t="s">
        <v>111</v>
      </c>
      <c r="G651" s="48" t="s">
        <v>111</v>
      </c>
      <c r="H651" s="44">
        <v>2294</v>
      </c>
      <c r="I651" s="44">
        <v>40482</v>
      </c>
      <c r="J651" s="44">
        <v>190</v>
      </c>
      <c r="K651" s="44">
        <v>586</v>
      </c>
    </row>
    <row r="652" spans="1:11" ht="15" x14ac:dyDescent="0.2">
      <c r="A652" s="24"/>
      <c r="B652" s="17" t="s">
        <v>22</v>
      </c>
      <c r="C652" s="46">
        <v>21763</v>
      </c>
      <c r="D652" s="47">
        <v>16162</v>
      </c>
      <c r="E652" s="42">
        <v>615355</v>
      </c>
      <c r="F652" s="43">
        <v>979097.97</v>
      </c>
      <c r="G652" s="43">
        <v>9403556.1999999993</v>
      </c>
      <c r="H652" s="44">
        <v>2555</v>
      </c>
      <c r="I652" s="44">
        <v>46097</v>
      </c>
      <c r="J652" s="44">
        <v>128</v>
      </c>
      <c r="K652" s="44">
        <v>721</v>
      </c>
    </row>
    <row r="653" spans="1:11" ht="15" x14ac:dyDescent="0.2">
      <c r="A653" s="24"/>
      <c r="B653" s="17"/>
      <c r="C653" s="46"/>
      <c r="D653" s="47"/>
      <c r="E653" s="42"/>
      <c r="F653" s="43"/>
      <c r="G653" s="43"/>
      <c r="H653" s="44"/>
      <c r="I653" s="44"/>
      <c r="J653" s="44"/>
      <c r="K653" s="44"/>
    </row>
    <row r="654" spans="1:11" ht="15.75" x14ac:dyDescent="0.25">
      <c r="A654" s="24" t="s">
        <v>19</v>
      </c>
      <c r="B654" s="16" t="s">
        <v>39</v>
      </c>
      <c r="C654" s="46"/>
      <c r="D654" s="47"/>
      <c r="E654" s="42"/>
      <c r="F654" s="48"/>
      <c r="G654" s="48"/>
      <c r="H654" s="44"/>
      <c r="I654" s="44"/>
      <c r="J654" s="44"/>
      <c r="K654" s="44"/>
    </row>
    <row r="655" spans="1:11" ht="15" x14ac:dyDescent="0.2">
      <c r="A655" s="24"/>
      <c r="B655" s="17" t="s">
        <v>24</v>
      </c>
      <c r="C655" s="46">
        <v>16439</v>
      </c>
      <c r="D655" s="47">
        <v>15610</v>
      </c>
      <c r="E655" s="42">
        <v>617715</v>
      </c>
      <c r="F655" s="48" t="s">
        <v>111</v>
      </c>
      <c r="G655" s="48" t="s">
        <v>111</v>
      </c>
      <c r="H655" s="44">
        <v>2356</v>
      </c>
      <c r="I655" s="44">
        <v>46867</v>
      </c>
      <c r="J655" s="44">
        <v>68</v>
      </c>
      <c r="K655" s="44">
        <v>607</v>
      </c>
    </row>
    <row r="656" spans="1:11" ht="15" x14ac:dyDescent="0.2">
      <c r="A656" s="24"/>
      <c r="B656" s="17" t="s">
        <v>25</v>
      </c>
      <c r="C656" s="46">
        <v>15958</v>
      </c>
      <c r="D656" s="47">
        <v>15036</v>
      </c>
      <c r="E656" s="42">
        <v>618936</v>
      </c>
      <c r="F656" s="48" t="s">
        <v>111</v>
      </c>
      <c r="G656" s="48" t="s">
        <v>111</v>
      </c>
      <c r="H656" s="44">
        <v>2745</v>
      </c>
      <c r="I656" s="44">
        <v>56948</v>
      </c>
      <c r="J656" s="44">
        <v>100</v>
      </c>
      <c r="K656" s="44">
        <v>1059</v>
      </c>
    </row>
    <row r="657" spans="1:11" ht="15" x14ac:dyDescent="0.2">
      <c r="A657" s="24"/>
      <c r="B657" s="17" t="s">
        <v>11</v>
      </c>
      <c r="C657" s="46">
        <v>15369</v>
      </c>
      <c r="D657" s="47">
        <v>14512</v>
      </c>
      <c r="E657" s="42">
        <v>621379</v>
      </c>
      <c r="F657" s="43">
        <v>976395.79</v>
      </c>
      <c r="G657" s="43">
        <v>14532737.5</v>
      </c>
      <c r="H657" s="44">
        <v>2818</v>
      </c>
      <c r="I657" s="44">
        <v>61652</v>
      </c>
      <c r="J657" s="44">
        <v>75</v>
      </c>
      <c r="K657" s="44">
        <v>923</v>
      </c>
    </row>
    <row r="658" spans="1:11" ht="15" x14ac:dyDescent="0.2">
      <c r="A658" s="24"/>
      <c r="B658" s="17"/>
      <c r="C658" s="46"/>
      <c r="D658" s="47"/>
      <c r="E658" s="42"/>
      <c r="F658" s="43"/>
      <c r="G658" s="43"/>
      <c r="H658" s="44"/>
      <c r="I658" s="44"/>
      <c r="J658" s="44"/>
      <c r="K658" s="44"/>
    </row>
    <row r="659" spans="1:11" ht="15.75" x14ac:dyDescent="0.25">
      <c r="A659" s="24" t="s">
        <v>19</v>
      </c>
      <c r="B659" s="16" t="s">
        <v>40</v>
      </c>
      <c r="C659" s="46"/>
      <c r="D659" s="47"/>
      <c r="E659" s="42"/>
      <c r="F659" s="48"/>
      <c r="G659" s="48"/>
      <c r="H659" s="44"/>
      <c r="I659" s="44"/>
      <c r="J659" s="44"/>
      <c r="K659" s="44"/>
    </row>
    <row r="660" spans="1:11" ht="15" x14ac:dyDescent="0.2">
      <c r="A660" s="24"/>
      <c r="B660" s="17" t="s">
        <v>12</v>
      </c>
      <c r="C660" s="46">
        <v>14856</v>
      </c>
      <c r="D660" s="47">
        <v>14110</v>
      </c>
      <c r="E660" s="42">
        <v>623027</v>
      </c>
      <c r="F660" s="48" t="s">
        <v>111</v>
      </c>
      <c r="G660" s="48" t="s">
        <v>111</v>
      </c>
      <c r="H660" s="44">
        <v>3071</v>
      </c>
      <c r="I660" s="44">
        <v>53347</v>
      </c>
      <c r="J660" s="44">
        <v>32</v>
      </c>
      <c r="K660" s="44">
        <v>472</v>
      </c>
    </row>
    <row r="661" spans="1:11" ht="15" x14ac:dyDescent="0.2">
      <c r="A661" s="24"/>
      <c r="B661" s="17" t="s">
        <v>13</v>
      </c>
      <c r="C661" s="46">
        <v>14728</v>
      </c>
      <c r="D661" s="47">
        <v>14305</v>
      </c>
      <c r="E661" s="42">
        <v>626870</v>
      </c>
      <c r="F661" s="48" t="s">
        <v>111</v>
      </c>
      <c r="G661" s="48" t="s">
        <v>111</v>
      </c>
      <c r="H661" s="44">
        <v>2701</v>
      </c>
      <c r="I661" s="44">
        <v>42162</v>
      </c>
      <c r="J661" s="44">
        <v>17</v>
      </c>
      <c r="K661" s="44">
        <v>356</v>
      </c>
    </row>
    <row r="662" spans="1:11" ht="15" x14ac:dyDescent="0.2">
      <c r="A662" s="24"/>
      <c r="B662" s="17" t="s">
        <v>14</v>
      </c>
      <c r="C662" s="46">
        <v>15945</v>
      </c>
      <c r="D662" s="47">
        <v>16000</v>
      </c>
      <c r="E662" s="42">
        <v>625178</v>
      </c>
      <c r="F662" s="43">
        <v>790697.38</v>
      </c>
      <c r="G662" s="43">
        <v>12620921.439999999</v>
      </c>
      <c r="H662" s="44">
        <v>2435</v>
      </c>
      <c r="I662" s="44">
        <v>44236</v>
      </c>
      <c r="J662" s="44">
        <v>17</v>
      </c>
      <c r="K662" s="44">
        <v>232</v>
      </c>
    </row>
    <row r="663" spans="1:11" ht="15" x14ac:dyDescent="0.2">
      <c r="A663" s="24"/>
      <c r="B663" s="17"/>
      <c r="C663" s="46"/>
      <c r="D663" s="47"/>
      <c r="E663" s="42"/>
      <c r="F663" s="43"/>
      <c r="G663" s="43"/>
      <c r="H663" s="44"/>
      <c r="I663" s="44"/>
      <c r="J663" s="44"/>
      <c r="K663" s="44"/>
    </row>
    <row r="664" spans="1:11" ht="15.75" x14ac:dyDescent="0.25">
      <c r="A664" s="24" t="s">
        <v>19</v>
      </c>
      <c r="B664" s="16" t="s">
        <v>41</v>
      </c>
      <c r="C664" s="46"/>
      <c r="D664" s="47"/>
      <c r="E664" s="42"/>
      <c r="F664" s="48"/>
      <c r="G664" s="48"/>
      <c r="H664" s="44"/>
      <c r="I664" s="44"/>
      <c r="J664" s="44"/>
      <c r="K664" s="44"/>
    </row>
    <row r="665" spans="1:11" ht="15" x14ac:dyDescent="0.2">
      <c r="A665" s="24">
        <v>2005</v>
      </c>
      <c r="B665" s="17" t="s">
        <v>15</v>
      </c>
      <c r="C665" s="46">
        <v>17449</v>
      </c>
      <c r="D665" s="47">
        <v>17162</v>
      </c>
      <c r="E665" s="42">
        <v>626248</v>
      </c>
      <c r="F665" s="48" t="s">
        <v>111</v>
      </c>
      <c r="G665" s="48" t="s">
        <v>111</v>
      </c>
      <c r="H665" s="44">
        <v>3693</v>
      </c>
      <c r="I665" s="44">
        <v>53875</v>
      </c>
      <c r="J665" s="44">
        <v>23</v>
      </c>
      <c r="K665" s="44">
        <v>511</v>
      </c>
    </row>
    <row r="666" spans="1:11" ht="15" x14ac:dyDescent="0.2">
      <c r="A666" s="24"/>
      <c r="B666" s="17" t="s">
        <v>16</v>
      </c>
      <c r="C666" s="46">
        <v>18124</v>
      </c>
      <c r="D666" s="47">
        <v>18481</v>
      </c>
      <c r="E666" s="42">
        <v>627011</v>
      </c>
      <c r="F666" s="48" t="s">
        <v>111</v>
      </c>
      <c r="G666" s="48" t="s">
        <v>111</v>
      </c>
      <c r="H666" s="44">
        <v>3214</v>
      </c>
      <c r="I666" s="44">
        <v>49243</v>
      </c>
      <c r="J666" s="44">
        <v>30</v>
      </c>
      <c r="K666" s="44">
        <v>492</v>
      </c>
    </row>
    <row r="667" spans="1:11" ht="15" x14ac:dyDescent="0.2">
      <c r="A667" s="24"/>
      <c r="B667" s="17" t="s">
        <v>17</v>
      </c>
      <c r="C667" s="46">
        <v>19555</v>
      </c>
      <c r="D667" s="47">
        <v>19340</v>
      </c>
      <c r="E667" s="42">
        <v>626754</v>
      </c>
      <c r="F667" s="43">
        <v>755896.21</v>
      </c>
      <c r="G667" s="43">
        <v>9557795.0700000003</v>
      </c>
      <c r="H667" s="44">
        <v>2960</v>
      </c>
      <c r="I667" s="44">
        <v>49939</v>
      </c>
      <c r="J667" s="44">
        <v>41</v>
      </c>
      <c r="K667" s="44">
        <v>521</v>
      </c>
    </row>
    <row r="668" spans="1:11" ht="15" x14ac:dyDescent="0.2">
      <c r="A668" s="24"/>
      <c r="B668" s="17"/>
      <c r="C668" s="46"/>
      <c r="D668" s="47"/>
      <c r="E668" s="42"/>
      <c r="F668" s="43"/>
      <c r="G668" s="43"/>
      <c r="H668" s="44"/>
      <c r="I668" s="44"/>
      <c r="J668" s="44"/>
      <c r="K668" s="44"/>
    </row>
    <row r="669" spans="1:11" ht="15.75" x14ac:dyDescent="0.25">
      <c r="A669" s="24" t="s">
        <v>19</v>
      </c>
      <c r="B669" s="16" t="s">
        <v>42</v>
      </c>
      <c r="C669" s="46"/>
      <c r="D669" s="47"/>
      <c r="E669" s="42"/>
      <c r="F669" s="48"/>
      <c r="G669" s="48"/>
      <c r="H669" s="44"/>
      <c r="I669" s="44"/>
      <c r="J669" s="44"/>
      <c r="K669" s="44"/>
    </row>
    <row r="670" spans="1:11" ht="15" x14ac:dyDescent="0.2">
      <c r="A670" s="24"/>
      <c r="B670" s="17" t="s">
        <v>20</v>
      </c>
      <c r="C670" s="46">
        <v>20895</v>
      </c>
      <c r="D670" s="47">
        <v>20818</v>
      </c>
      <c r="E670" s="42">
        <v>626181</v>
      </c>
      <c r="F670" s="48" t="s">
        <v>111</v>
      </c>
      <c r="G670" s="48" t="s">
        <v>111</v>
      </c>
      <c r="H670" s="44">
        <v>3167</v>
      </c>
      <c r="I670" s="44">
        <v>45745</v>
      </c>
      <c r="J670" s="44">
        <v>59</v>
      </c>
      <c r="K670" s="44">
        <v>681</v>
      </c>
    </row>
    <row r="671" spans="1:11" ht="15" x14ac:dyDescent="0.2">
      <c r="A671" s="24"/>
      <c r="B671" s="17" t="s">
        <v>21</v>
      </c>
      <c r="C671" s="46">
        <v>21513</v>
      </c>
      <c r="D671" s="47">
        <v>20870</v>
      </c>
      <c r="E671" s="42">
        <v>626904</v>
      </c>
      <c r="F671" s="48" t="s">
        <v>111</v>
      </c>
      <c r="G671" s="48" t="s">
        <v>111</v>
      </c>
      <c r="H671" s="44">
        <v>3204</v>
      </c>
      <c r="I671" s="44">
        <v>47599</v>
      </c>
      <c r="J671" s="44">
        <v>74</v>
      </c>
      <c r="K671" s="44">
        <v>735</v>
      </c>
    </row>
    <row r="672" spans="1:11" ht="18" customHeight="1" x14ac:dyDescent="0.2">
      <c r="A672" s="24"/>
      <c r="B672" s="17" t="s">
        <v>22</v>
      </c>
      <c r="C672" s="46">
        <v>21185</v>
      </c>
      <c r="D672" s="47">
        <v>20305</v>
      </c>
      <c r="E672" s="42">
        <v>627186</v>
      </c>
      <c r="F672" s="43">
        <v>852623</v>
      </c>
      <c r="G672" s="43">
        <v>8921062</v>
      </c>
      <c r="H672" s="44">
        <v>3274</v>
      </c>
      <c r="I672" s="44">
        <v>48367</v>
      </c>
      <c r="J672" s="44">
        <v>77</v>
      </c>
      <c r="K672" s="44">
        <v>755</v>
      </c>
    </row>
    <row r="673" spans="1:14" ht="15" x14ac:dyDescent="0.2">
      <c r="A673" s="56" t="s">
        <v>113</v>
      </c>
      <c r="B673" s="17"/>
      <c r="C673" s="46"/>
      <c r="D673" s="47" t="s">
        <v>19</v>
      </c>
      <c r="E673" s="42"/>
      <c r="F673" s="43"/>
      <c r="G673" s="43"/>
      <c r="H673" s="44"/>
      <c r="I673" s="44"/>
      <c r="J673" s="44"/>
      <c r="K673" s="44"/>
    </row>
    <row r="674" spans="1:14" ht="15.75" x14ac:dyDescent="0.25">
      <c r="A674" s="89" t="s">
        <v>104</v>
      </c>
      <c r="B674" s="16"/>
      <c r="C674" s="18"/>
      <c r="D674" s="18"/>
      <c r="E674" s="18"/>
      <c r="F674" s="18"/>
      <c r="G674" s="18"/>
      <c r="H674" s="18"/>
      <c r="I674" s="18"/>
      <c r="J674" s="18"/>
      <c r="K674" s="18"/>
    </row>
    <row r="675" spans="1:14" ht="27.75" x14ac:dyDescent="0.55000000000000004">
      <c r="A675" s="82"/>
      <c r="B675" s="16"/>
      <c r="C675" s="18"/>
      <c r="D675" s="18"/>
      <c r="E675" s="18"/>
      <c r="F675" s="18"/>
      <c r="G675" s="18"/>
      <c r="H675" s="105" t="s">
        <v>157</v>
      </c>
      <c r="I675" s="105"/>
      <c r="J675" s="105"/>
      <c r="K675" s="105"/>
    </row>
    <row r="676" spans="1:14" ht="27.75" x14ac:dyDescent="0.55000000000000004">
      <c r="A676" s="82"/>
      <c r="B676" s="16"/>
      <c r="C676" s="18"/>
      <c r="D676" s="105" t="s">
        <v>158</v>
      </c>
      <c r="E676" s="105"/>
      <c r="F676" s="105" t="s">
        <v>159</v>
      </c>
      <c r="G676" s="105"/>
      <c r="H676" s="105" t="s">
        <v>105</v>
      </c>
      <c r="I676" s="105"/>
      <c r="J676" s="105" t="s">
        <v>106</v>
      </c>
      <c r="K676" s="105"/>
    </row>
    <row r="677" spans="1:14" ht="15.75" x14ac:dyDescent="0.25">
      <c r="A677" s="21" t="s">
        <v>8</v>
      </c>
      <c r="B677" s="16" t="s">
        <v>32</v>
      </c>
      <c r="C677" s="40" t="s">
        <v>107</v>
      </c>
      <c r="D677" s="40" t="s">
        <v>108</v>
      </c>
      <c r="E677" s="40" t="s">
        <v>109</v>
      </c>
      <c r="F677" s="40" t="s">
        <v>108</v>
      </c>
      <c r="G677" s="40" t="s">
        <v>109</v>
      </c>
      <c r="H677" s="40" t="s">
        <v>108</v>
      </c>
      <c r="I677" s="40" t="s">
        <v>109</v>
      </c>
      <c r="J677" s="40" t="s">
        <v>108</v>
      </c>
      <c r="K677" s="40" t="s">
        <v>109</v>
      </c>
    </row>
    <row r="678" spans="1:14" ht="18" customHeight="1" x14ac:dyDescent="0.2">
      <c r="A678" s="24"/>
      <c r="B678" s="17"/>
      <c r="C678" s="46"/>
      <c r="D678" s="47"/>
      <c r="E678" s="42"/>
      <c r="F678" s="43"/>
      <c r="G678" s="43"/>
      <c r="H678" s="44"/>
      <c r="I678" s="44"/>
      <c r="J678" s="44"/>
      <c r="K678" s="44"/>
    </row>
    <row r="679" spans="1:14" ht="15.75" x14ac:dyDescent="0.25">
      <c r="A679" s="24" t="s">
        <v>19</v>
      </c>
      <c r="B679" s="16" t="s">
        <v>43</v>
      </c>
      <c r="C679" s="46"/>
      <c r="D679" s="47"/>
      <c r="E679" s="42"/>
      <c r="F679" s="48"/>
      <c r="G679" s="48"/>
      <c r="H679" s="44"/>
      <c r="I679" s="44"/>
      <c r="J679" s="44"/>
      <c r="K679" s="44"/>
    </row>
    <row r="680" spans="1:14" ht="15" x14ac:dyDescent="0.2">
      <c r="A680" s="24">
        <v>2005</v>
      </c>
      <c r="B680" s="17" t="s">
        <v>24</v>
      </c>
      <c r="C680" s="46">
        <v>20478</v>
      </c>
      <c r="D680" s="47">
        <v>19684</v>
      </c>
      <c r="E680" s="42">
        <v>630691</v>
      </c>
      <c r="F680" s="48" t="s">
        <v>111</v>
      </c>
      <c r="G680" s="48" t="s">
        <v>111</v>
      </c>
      <c r="H680" s="44">
        <v>3042</v>
      </c>
      <c r="I680" s="44">
        <v>47248</v>
      </c>
      <c r="J680" s="44">
        <v>66</v>
      </c>
      <c r="K680" s="44">
        <v>610</v>
      </c>
    </row>
    <row r="681" spans="1:14" ht="15" x14ac:dyDescent="0.2">
      <c r="A681" s="24"/>
      <c r="B681" s="17" t="s">
        <v>25</v>
      </c>
      <c r="C681" s="46">
        <v>19953</v>
      </c>
      <c r="D681" s="47">
        <v>19090</v>
      </c>
      <c r="E681" s="42">
        <v>632714</v>
      </c>
      <c r="F681" s="48" t="s">
        <v>111</v>
      </c>
      <c r="G681" s="48" t="s">
        <v>111</v>
      </c>
      <c r="H681" s="44">
        <v>3824</v>
      </c>
      <c r="I681" s="44">
        <v>59643</v>
      </c>
      <c r="J681" s="44">
        <v>84</v>
      </c>
      <c r="K681" s="44">
        <v>854</v>
      </c>
    </row>
    <row r="682" spans="1:14" ht="15" x14ac:dyDescent="0.2">
      <c r="A682" s="24"/>
      <c r="B682" s="17" t="s">
        <v>11</v>
      </c>
      <c r="C682" s="46">
        <v>19470</v>
      </c>
      <c r="D682" s="47">
        <v>18604</v>
      </c>
      <c r="E682" s="42">
        <v>632969</v>
      </c>
      <c r="F682" s="43">
        <v>994108</v>
      </c>
      <c r="G682" s="43">
        <f>13888782+242+390</f>
        <v>13889414</v>
      </c>
      <c r="H682" s="44">
        <v>3652</v>
      </c>
      <c r="I682" s="44">
        <v>61655</v>
      </c>
      <c r="J682" s="44">
        <v>53</v>
      </c>
      <c r="K682" s="44">
        <v>604</v>
      </c>
    </row>
    <row r="683" spans="1:14" ht="15" x14ac:dyDescent="0.2">
      <c r="A683" s="24"/>
      <c r="B683" s="17"/>
      <c r="C683" s="46"/>
      <c r="D683" s="47"/>
      <c r="E683" s="42"/>
      <c r="F683" s="43"/>
      <c r="G683" s="43"/>
      <c r="H683" s="44"/>
      <c r="I683" s="44"/>
      <c r="J683" s="44"/>
      <c r="K683" s="44"/>
      <c r="N683" t="s">
        <v>19</v>
      </c>
    </row>
    <row r="684" spans="1:14" ht="15.75" x14ac:dyDescent="0.25">
      <c r="A684" s="24" t="s">
        <v>19</v>
      </c>
      <c r="B684" s="16" t="s">
        <v>44</v>
      </c>
      <c r="C684" s="46"/>
      <c r="D684" s="47"/>
      <c r="E684" s="42"/>
      <c r="F684" s="48"/>
      <c r="G684" s="48"/>
      <c r="H684" s="44"/>
      <c r="I684" s="44"/>
      <c r="J684" s="44"/>
      <c r="K684" s="44"/>
    </row>
    <row r="685" spans="1:14" ht="15" x14ac:dyDescent="0.2">
      <c r="A685" s="24"/>
      <c r="B685" s="17" t="s">
        <v>12</v>
      </c>
      <c r="C685" s="46">
        <v>18949</v>
      </c>
      <c r="D685" s="47">
        <v>17994</v>
      </c>
      <c r="E685" s="42">
        <v>634708</v>
      </c>
      <c r="F685" s="48" t="s">
        <v>111</v>
      </c>
      <c r="G685" s="48" t="s">
        <v>111</v>
      </c>
      <c r="H685" s="44">
        <v>3992</v>
      </c>
      <c r="I685" s="44">
        <v>58986</v>
      </c>
      <c r="J685" s="44">
        <v>64</v>
      </c>
      <c r="K685" s="44">
        <v>595</v>
      </c>
    </row>
    <row r="686" spans="1:14" ht="15" x14ac:dyDescent="0.2">
      <c r="A686" s="24"/>
      <c r="B686" s="17" t="s">
        <v>13</v>
      </c>
      <c r="C686" s="46">
        <v>18457</v>
      </c>
      <c r="D686" s="47">
        <v>18244</v>
      </c>
      <c r="E686" s="42">
        <v>638222</v>
      </c>
      <c r="F686" s="48" t="s">
        <v>111</v>
      </c>
      <c r="G686" s="48" t="s">
        <v>111</v>
      </c>
      <c r="H686" s="44">
        <v>3122</v>
      </c>
      <c r="I686" s="44">
        <v>42629</v>
      </c>
      <c r="J686" s="44">
        <v>33</v>
      </c>
      <c r="K686" s="44">
        <v>422</v>
      </c>
    </row>
    <row r="687" spans="1:14" ht="15" x14ac:dyDescent="0.2">
      <c r="A687" s="24"/>
      <c r="B687" s="17" t="s">
        <v>14</v>
      </c>
      <c r="C687" s="46">
        <v>19195</v>
      </c>
      <c r="D687" s="47">
        <v>18990</v>
      </c>
      <c r="E687" s="42">
        <v>638737</v>
      </c>
      <c r="F687" s="43">
        <v>572411</v>
      </c>
      <c r="G687" s="43">
        <v>8559274</v>
      </c>
      <c r="H687" s="44">
        <v>3092</v>
      </c>
      <c r="I687" s="44">
        <v>43927</v>
      </c>
      <c r="J687" s="44">
        <v>21</v>
      </c>
      <c r="K687" s="44">
        <v>186</v>
      </c>
    </row>
    <row r="688" spans="1:14" ht="15" x14ac:dyDescent="0.2">
      <c r="A688" s="24"/>
      <c r="B688" s="17"/>
      <c r="C688" s="46"/>
      <c r="D688" s="47"/>
      <c r="E688" s="42"/>
      <c r="F688" s="43"/>
      <c r="G688" s="43"/>
      <c r="H688" s="44"/>
      <c r="I688" s="44"/>
      <c r="J688" s="44"/>
      <c r="K688" s="44"/>
      <c r="N688" t="s">
        <v>19</v>
      </c>
    </row>
    <row r="689" spans="1:11" ht="15.75" x14ac:dyDescent="0.25">
      <c r="A689" s="24" t="s">
        <v>19</v>
      </c>
      <c r="B689" s="16" t="s">
        <v>45</v>
      </c>
      <c r="C689" s="46"/>
      <c r="D689" s="47"/>
      <c r="E689" s="42"/>
      <c r="F689" s="48"/>
      <c r="G689" s="48"/>
      <c r="H689" s="44"/>
      <c r="I689" s="44"/>
      <c r="J689" s="44"/>
      <c r="K689" s="44"/>
    </row>
    <row r="690" spans="1:11" ht="15" x14ac:dyDescent="0.2">
      <c r="A690" s="24">
        <v>2006</v>
      </c>
      <c r="B690" s="17" t="s">
        <v>15</v>
      </c>
      <c r="C690" s="46">
        <v>20768</v>
      </c>
      <c r="D690" s="47">
        <v>21462</v>
      </c>
      <c r="E690" s="42">
        <v>638705</v>
      </c>
      <c r="F690" s="48" t="s">
        <v>111</v>
      </c>
      <c r="G690" s="48" t="s">
        <v>111</v>
      </c>
      <c r="H690" s="44">
        <v>4590</v>
      </c>
      <c r="I690" s="44">
        <v>52811</v>
      </c>
      <c r="J690" s="44">
        <v>54</v>
      </c>
      <c r="K690" s="44">
        <v>585</v>
      </c>
    </row>
    <row r="691" spans="1:11" ht="15" x14ac:dyDescent="0.2">
      <c r="A691" s="24"/>
      <c r="B691" s="17" t="s">
        <v>16</v>
      </c>
      <c r="C691" s="46">
        <v>22662</v>
      </c>
      <c r="D691" s="47">
        <v>23228</v>
      </c>
      <c r="E691" s="42">
        <v>639045</v>
      </c>
      <c r="F691" s="48" t="s">
        <v>111</v>
      </c>
      <c r="G691" s="48" t="s">
        <v>111</v>
      </c>
      <c r="H691" s="44">
        <v>3992</v>
      </c>
      <c r="I691" s="44">
        <v>51791</v>
      </c>
      <c r="J691" s="44">
        <v>26</v>
      </c>
      <c r="K691" s="44">
        <v>498</v>
      </c>
    </row>
    <row r="692" spans="1:11" ht="15" x14ac:dyDescent="0.2">
      <c r="A692" s="24"/>
      <c r="B692" s="17" t="s">
        <v>17</v>
      </c>
      <c r="C692" s="46">
        <v>24654</v>
      </c>
      <c r="D692" s="47">
        <v>24867</v>
      </c>
      <c r="E692" s="42">
        <v>638184</v>
      </c>
      <c r="F692" s="43">
        <v>939008.58</v>
      </c>
      <c r="G692" s="43">
        <f>9558181.77+57.04+789.88</f>
        <v>9559028.6899999995</v>
      </c>
      <c r="H692" s="44">
        <v>3812</v>
      </c>
      <c r="I692" s="44">
        <v>52645</v>
      </c>
      <c r="J692" s="44">
        <v>48</v>
      </c>
      <c r="K692" s="44">
        <v>541</v>
      </c>
    </row>
    <row r="693" spans="1:11" ht="18" customHeight="1" x14ac:dyDescent="0.2">
      <c r="A693" s="24"/>
      <c r="B693" s="17"/>
      <c r="C693" s="46"/>
      <c r="D693" s="47"/>
      <c r="E693" s="42"/>
      <c r="F693" s="43"/>
      <c r="G693" s="43"/>
      <c r="H693" s="44"/>
      <c r="I693" s="44"/>
      <c r="J693" s="44"/>
      <c r="K693" s="44"/>
    </row>
    <row r="694" spans="1:11" ht="15.75" x14ac:dyDescent="0.25">
      <c r="A694" s="24" t="s">
        <v>19</v>
      </c>
      <c r="B694" s="16" t="s">
        <v>46</v>
      </c>
      <c r="C694" s="46"/>
      <c r="D694" s="47"/>
      <c r="E694" s="42"/>
      <c r="F694" s="48"/>
      <c r="G694" s="48"/>
      <c r="H694" s="44"/>
      <c r="I694" s="44"/>
      <c r="J694" s="44"/>
      <c r="K694" s="44"/>
    </row>
    <row r="695" spans="1:11" ht="15" x14ac:dyDescent="0.2">
      <c r="A695" s="24"/>
      <c r="B695" s="17" t="s">
        <v>20</v>
      </c>
      <c r="C695" s="46">
        <v>25990</v>
      </c>
      <c r="D695" s="47">
        <v>25758</v>
      </c>
      <c r="E695" s="42">
        <v>637657</v>
      </c>
      <c r="F695" s="48" t="s">
        <v>111</v>
      </c>
      <c r="G695" s="48" t="s">
        <v>111</v>
      </c>
      <c r="H695" s="44">
        <v>4017</v>
      </c>
      <c r="I695" s="44">
        <v>47669</v>
      </c>
      <c r="J695" s="44">
        <v>86</v>
      </c>
      <c r="K695" s="44">
        <v>763</v>
      </c>
    </row>
    <row r="696" spans="1:11" ht="15" x14ac:dyDescent="0.2">
      <c r="A696" s="24"/>
      <c r="B696" s="17" t="s">
        <v>21</v>
      </c>
      <c r="C696" s="46">
        <v>26722</v>
      </c>
      <c r="D696" s="47">
        <v>26134</v>
      </c>
      <c r="E696" s="42">
        <v>638924</v>
      </c>
      <c r="F696" s="48" t="s">
        <v>111</v>
      </c>
      <c r="G696" s="48" t="s">
        <v>111</v>
      </c>
      <c r="H696" s="44">
        <v>4547</v>
      </c>
      <c r="I696" s="44">
        <v>52078</v>
      </c>
      <c r="J696" s="44">
        <v>71</v>
      </c>
      <c r="K696" s="44">
        <v>623</v>
      </c>
    </row>
    <row r="697" spans="1:11" ht="15" x14ac:dyDescent="0.2">
      <c r="A697" s="24"/>
      <c r="B697" s="17" t="s">
        <v>22</v>
      </c>
      <c r="C697" s="46">
        <v>26797</v>
      </c>
      <c r="D697" s="47">
        <v>25999</v>
      </c>
      <c r="E697" s="42">
        <v>639354</v>
      </c>
      <c r="F697" s="43">
        <v>1025471.05</v>
      </c>
      <c r="G697" s="43">
        <f>8667683.42+57.04+675.89</f>
        <v>8668416.3499999996</v>
      </c>
      <c r="H697" s="44">
        <v>4384</v>
      </c>
      <c r="I697" s="44">
        <v>48206</v>
      </c>
      <c r="J697" s="44">
        <v>96</v>
      </c>
      <c r="K697" s="44">
        <v>626</v>
      </c>
    </row>
    <row r="698" spans="1:11" ht="18" customHeight="1" x14ac:dyDescent="0.2">
      <c r="A698" s="24"/>
      <c r="B698" s="17"/>
      <c r="C698" s="46"/>
      <c r="D698" s="47"/>
      <c r="E698" s="42"/>
      <c r="F698" s="43"/>
      <c r="G698" s="43"/>
      <c r="H698" s="44"/>
      <c r="I698" s="44"/>
      <c r="J698" s="44"/>
      <c r="K698" s="44"/>
    </row>
    <row r="699" spans="1:11" ht="15.75" x14ac:dyDescent="0.25">
      <c r="A699" s="24" t="s">
        <v>19</v>
      </c>
      <c r="B699" s="16" t="s">
        <v>47</v>
      </c>
      <c r="C699" s="46"/>
      <c r="D699" s="47"/>
      <c r="E699" s="42"/>
      <c r="F699" s="48"/>
      <c r="G699" s="48"/>
      <c r="H699" s="44"/>
      <c r="I699" s="44"/>
      <c r="J699" s="44"/>
      <c r="K699" s="44"/>
    </row>
    <row r="700" spans="1:11" ht="15" x14ac:dyDescent="0.2">
      <c r="A700" s="24"/>
      <c r="B700" s="17" t="s">
        <v>24</v>
      </c>
      <c r="C700" s="46">
        <v>26448</v>
      </c>
      <c r="D700" s="47">
        <v>25615</v>
      </c>
      <c r="E700" s="42">
        <v>643282</v>
      </c>
      <c r="F700" s="48">
        <v>1134359.33</v>
      </c>
      <c r="G700" s="48">
        <v>10403199.5</v>
      </c>
      <c r="H700" s="44">
        <v>3656</v>
      </c>
      <c r="I700" s="44">
        <v>48651</v>
      </c>
      <c r="J700" s="44">
        <v>83</v>
      </c>
      <c r="K700" s="44">
        <v>565</v>
      </c>
    </row>
    <row r="701" spans="1:11" ht="15" x14ac:dyDescent="0.2">
      <c r="A701" s="24"/>
      <c r="B701" s="17" t="s">
        <v>25</v>
      </c>
      <c r="C701" s="46">
        <v>25489</v>
      </c>
      <c r="D701" s="47">
        <v>24005</v>
      </c>
      <c r="E701" s="42">
        <v>644406</v>
      </c>
      <c r="F701" s="48">
        <v>952816.26</v>
      </c>
      <c r="G701" s="48">
        <v>12294331.939999999</v>
      </c>
      <c r="H701" s="44">
        <v>3143</v>
      </c>
      <c r="I701" s="44">
        <v>65024</v>
      </c>
      <c r="J701" s="44">
        <v>70</v>
      </c>
      <c r="K701" s="44">
        <v>762</v>
      </c>
    </row>
    <row r="702" spans="1:11" ht="15" x14ac:dyDescent="0.2">
      <c r="A702" s="24"/>
      <c r="B702" s="17" t="s">
        <v>11</v>
      </c>
      <c r="C702" s="46">
        <v>23798</v>
      </c>
      <c r="D702" s="47">
        <v>21779</v>
      </c>
      <c r="E702" s="42">
        <v>648384</v>
      </c>
      <c r="F702" s="43">
        <v>1085106.98</v>
      </c>
      <c r="G702" s="43">
        <v>16012899.939999999</v>
      </c>
      <c r="H702" s="44">
        <v>3409</v>
      </c>
      <c r="I702" s="44">
        <v>62740</v>
      </c>
      <c r="J702" s="44">
        <v>31</v>
      </c>
      <c r="K702" s="44">
        <v>635</v>
      </c>
    </row>
    <row r="703" spans="1:11" ht="18" customHeight="1" x14ac:dyDescent="0.2">
      <c r="A703" s="24"/>
      <c r="B703" s="17"/>
      <c r="C703" s="46"/>
      <c r="D703" s="47"/>
      <c r="E703" s="42"/>
      <c r="F703" s="43"/>
      <c r="G703" s="43"/>
      <c r="H703" s="44"/>
      <c r="I703" s="44"/>
      <c r="J703" s="44"/>
      <c r="K703" s="44"/>
    </row>
    <row r="704" spans="1:11" ht="15.75" x14ac:dyDescent="0.25">
      <c r="A704" s="24" t="s">
        <v>19</v>
      </c>
      <c r="B704" s="16" t="s">
        <v>48</v>
      </c>
      <c r="C704" s="46"/>
      <c r="D704" s="47"/>
      <c r="E704" s="42"/>
      <c r="F704" s="48"/>
      <c r="G704" s="48"/>
      <c r="H704" s="44"/>
      <c r="I704" s="44"/>
      <c r="J704" s="44"/>
      <c r="K704" s="44"/>
    </row>
    <row r="705" spans="1:11" ht="15" x14ac:dyDescent="0.2">
      <c r="A705" s="24"/>
      <c r="B705" s="17" t="s">
        <v>12</v>
      </c>
      <c r="C705" s="46">
        <v>22392</v>
      </c>
      <c r="D705" s="47">
        <v>21613</v>
      </c>
      <c r="E705" s="42">
        <v>650513</v>
      </c>
      <c r="F705" s="48">
        <v>1037989.96</v>
      </c>
      <c r="G705" s="48">
        <f>15264741.04+57.04+382.6</f>
        <v>15265180.679999998</v>
      </c>
      <c r="H705" s="44">
        <v>4622</v>
      </c>
      <c r="I705" s="44">
        <v>61546</v>
      </c>
      <c r="J705" s="44">
        <v>61</v>
      </c>
      <c r="K705" s="44">
        <v>541</v>
      </c>
    </row>
    <row r="706" spans="1:11" ht="15" x14ac:dyDescent="0.2">
      <c r="A706" s="24"/>
      <c r="B706" s="17" t="s">
        <v>13</v>
      </c>
      <c r="C706" s="46">
        <v>22153</v>
      </c>
      <c r="D706" s="47">
        <v>21733</v>
      </c>
      <c r="E706" s="42">
        <v>653794</v>
      </c>
      <c r="F706" s="48">
        <v>1001336.06</v>
      </c>
      <c r="G706" s="48">
        <f>13570937.05+57.04+382.6</f>
        <v>13571376.689999999</v>
      </c>
      <c r="H706" s="44">
        <v>3304</v>
      </c>
      <c r="I706" s="44">
        <v>42877</v>
      </c>
      <c r="J706" s="44">
        <v>29</v>
      </c>
      <c r="K706" s="44">
        <v>362</v>
      </c>
    </row>
    <row r="707" spans="1:11" ht="15" x14ac:dyDescent="0.2">
      <c r="A707" s="24"/>
      <c r="B707" s="17" t="s">
        <v>14</v>
      </c>
      <c r="C707" s="46">
        <v>22788</v>
      </c>
      <c r="D707" s="47">
        <v>22938</v>
      </c>
      <c r="E707" s="42">
        <v>654608</v>
      </c>
      <c r="F707" s="43">
        <f>1017018.65</f>
        <v>1017018.65</v>
      </c>
      <c r="G707" s="43">
        <f>13092734.97+57.04+382.6</f>
        <v>13093174.609999999</v>
      </c>
      <c r="H707" s="44">
        <v>3160</v>
      </c>
      <c r="I707" s="44">
        <v>40979</v>
      </c>
      <c r="J707" s="44">
        <v>26</v>
      </c>
      <c r="K707" s="44">
        <v>175</v>
      </c>
    </row>
    <row r="708" spans="1:11" ht="18" customHeight="1" x14ac:dyDescent="0.2">
      <c r="A708" s="24"/>
      <c r="B708" s="17"/>
      <c r="C708" s="46"/>
      <c r="D708" s="47"/>
      <c r="E708" s="42"/>
      <c r="F708" s="43"/>
      <c r="G708" s="43"/>
      <c r="H708" s="44"/>
      <c r="I708" s="44"/>
      <c r="J708" s="44"/>
      <c r="K708" s="44"/>
    </row>
    <row r="709" spans="1:11" ht="15.75" x14ac:dyDescent="0.25">
      <c r="A709" s="24" t="s">
        <v>19</v>
      </c>
      <c r="B709" s="16" t="s">
        <v>49</v>
      </c>
      <c r="C709" s="46"/>
      <c r="D709" s="47"/>
      <c r="E709" s="42"/>
      <c r="F709" s="48"/>
      <c r="G709" s="48"/>
      <c r="H709" s="44"/>
      <c r="I709" s="44"/>
      <c r="J709" s="44"/>
      <c r="K709" s="44"/>
    </row>
    <row r="710" spans="1:11" ht="15" x14ac:dyDescent="0.2">
      <c r="A710" s="24">
        <v>2007</v>
      </c>
      <c r="B710" s="17" t="s">
        <v>15</v>
      </c>
      <c r="C710" s="46">
        <v>24192</v>
      </c>
      <c r="D710" s="47">
        <v>24573</v>
      </c>
      <c r="E710" s="42">
        <v>654814</v>
      </c>
      <c r="F710" s="48">
        <v>1052828.6499999999</v>
      </c>
      <c r="G710" s="48">
        <f>11374226.35+57.04+382.6</f>
        <v>11374665.989999998</v>
      </c>
      <c r="H710" s="44">
        <v>5160</v>
      </c>
      <c r="I710" s="44">
        <v>54200</v>
      </c>
      <c r="J710" s="44">
        <v>27</v>
      </c>
      <c r="K710" s="44">
        <v>228</v>
      </c>
    </row>
    <row r="711" spans="1:11" ht="15" x14ac:dyDescent="0.2">
      <c r="A711" s="24"/>
      <c r="B711" s="17" t="s">
        <v>16</v>
      </c>
      <c r="C711" s="46">
        <v>25691</v>
      </c>
      <c r="D711" s="47">
        <v>25750</v>
      </c>
      <c r="E711" s="42">
        <v>655741</v>
      </c>
      <c r="F711" s="48">
        <v>1056265.43</v>
      </c>
      <c r="G711" s="48">
        <f>11594931.33+57.04+382.6</f>
        <v>11595370.969999999</v>
      </c>
      <c r="H711" s="44">
        <v>4493</v>
      </c>
      <c r="I711" s="44">
        <v>52999</v>
      </c>
      <c r="J711" s="44">
        <v>47</v>
      </c>
      <c r="K711" s="44">
        <v>488</v>
      </c>
    </row>
    <row r="712" spans="1:11" ht="15" x14ac:dyDescent="0.2">
      <c r="A712" s="24"/>
      <c r="B712" s="17" t="s">
        <v>17</v>
      </c>
      <c r="C712" s="46">
        <v>26962</v>
      </c>
      <c r="D712" s="47">
        <v>26747</v>
      </c>
      <c r="E712" s="42">
        <v>654998</v>
      </c>
      <c r="F712" s="43">
        <v>1119572.5</v>
      </c>
      <c r="G712" s="43">
        <f>10705676.33+57.04+382.6</f>
        <v>10706115.969999999</v>
      </c>
      <c r="H712" s="44">
        <v>4059</v>
      </c>
      <c r="I712" s="44">
        <v>52154</v>
      </c>
      <c r="J712" s="44">
        <v>61</v>
      </c>
      <c r="K712" s="44">
        <v>474</v>
      </c>
    </row>
    <row r="713" spans="1:11" ht="18" customHeight="1" x14ac:dyDescent="0.2">
      <c r="A713" s="24"/>
      <c r="B713" s="17"/>
      <c r="C713" s="46"/>
      <c r="D713" s="47"/>
      <c r="E713" s="42"/>
      <c r="F713" s="43"/>
      <c r="G713" s="43"/>
      <c r="H713" s="44"/>
      <c r="I713" s="44"/>
      <c r="J713" s="44"/>
      <c r="K713" s="44"/>
    </row>
    <row r="714" spans="1:11" ht="15.75" x14ac:dyDescent="0.25">
      <c r="A714" s="24" t="s">
        <v>19</v>
      </c>
      <c r="B714" s="16" t="s">
        <v>50</v>
      </c>
      <c r="C714" s="46"/>
      <c r="D714" s="47"/>
      <c r="E714" s="42"/>
      <c r="F714" s="48"/>
      <c r="G714" s="48"/>
      <c r="H714" s="44"/>
      <c r="I714" s="44"/>
      <c r="J714" s="44"/>
      <c r="K714" s="44"/>
    </row>
    <row r="715" spans="1:11" ht="15" x14ac:dyDescent="0.2">
      <c r="A715" s="24"/>
      <c r="B715" s="17" t="s">
        <v>20</v>
      </c>
      <c r="C715" s="46">
        <v>27784</v>
      </c>
      <c r="D715" s="47">
        <v>27391</v>
      </c>
      <c r="E715" s="42">
        <v>656290</v>
      </c>
      <c r="F715" s="48">
        <v>1198940.71</v>
      </c>
      <c r="G715" s="48">
        <f>10679468.98+57.04+474.16</f>
        <v>10680000.18</v>
      </c>
      <c r="H715" s="44">
        <v>3693</v>
      </c>
      <c r="I715" s="44">
        <v>50794</v>
      </c>
      <c r="J715" s="44">
        <v>91</v>
      </c>
      <c r="K715" s="44">
        <v>681</v>
      </c>
    </row>
    <row r="716" spans="1:11" ht="15" x14ac:dyDescent="0.2">
      <c r="A716" s="24"/>
      <c r="B716" s="17" t="s">
        <v>21</v>
      </c>
      <c r="C716" s="46">
        <v>27953</v>
      </c>
      <c r="D716" s="47">
        <v>27185</v>
      </c>
      <c r="E716" s="42">
        <v>656382</v>
      </c>
      <c r="F716" s="48">
        <v>1173250.1499999999</v>
      </c>
      <c r="G716" s="48">
        <f>9669493.61+57.04+556.38</f>
        <v>9670107.0299999993</v>
      </c>
      <c r="H716" s="44">
        <v>3727</v>
      </c>
      <c r="I716" s="44">
        <v>50367</v>
      </c>
      <c r="J716" s="44">
        <v>90</v>
      </c>
      <c r="K716" s="44">
        <v>649</v>
      </c>
    </row>
    <row r="717" spans="1:11" ht="15" x14ac:dyDescent="0.2">
      <c r="A717" s="24"/>
      <c r="B717" s="17" t="s">
        <v>22</v>
      </c>
      <c r="C717" s="46">
        <v>24218</v>
      </c>
      <c r="D717" s="47">
        <v>21918</v>
      </c>
      <c r="E717" s="42">
        <v>661646</v>
      </c>
      <c r="F717" s="43">
        <v>1018335.63</v>
      </c>
      <c r="G717" s="43">
        <f>9060530.15+57.04+556.39</f>
        <v>9061143.5800000001</v>
      </c>
      <c r="H717" s="44">
        <v>3580</v>
      </c>
      <c r="I717" s="44">
        <v>48599</v>
      </c>
      <c r="J717" s="44">
        <v>81</v>
      </c>
      <c r="K717" s="44">
        <v>619</v>
      </c>
    </row>
    <row r="718" spans="1:11" ht="18" customHeight="1" x14ac:dyDescent="0.2">
      <c r="A718" s="24"/>
      <c r="B718" s="17"/>
      <c r="C718" s="46"/>
      <c r="D718" s="47"/>
      <c r="E718" s="42"/>
      <c r="F718" s="43"/>
      <c r="G718" s="43"/>
      <c r="H718" s="44"/>
      <c r="I718" s="44"/>
      <c r="J718" s="44"/>
      <c r="K718" s="44"/>
    </row>
    <row r="719" spans="1:11" ht="15.75" x14ac:dyDescent="0.25">
      <c r="A719" s="24" t="s">
        <v>19</v>
      </c>
      <c r="B719" s="16" t="s">
        <v>51</v>
      </c>
      <c r="C719" s="46"/>
      <c r="D719" s="47"/>
      <c r="E719" s="42"/>
      <c r="F719" s="48"/>
      <c r="G719" s="48"/>
      <c r="H719" s="44"/>
      <c r="I719" s="44"/>
      <c r="J719" s="44"/>
      <c r="K719" s="44"/>
    </row>
    <row r="720" spans="1:11" ht="15" x14ac:dyDescent="0.2">
      <c r="A720" s="24"/>
      <c r="B720" s="17" t="s">
        <v>24</v>
      </c>
      <c r="C720" s="46">
        <v>22561</v>
      </c>
      <c r="D720" s="47">
        <v>21905</v>
      </c>
      <c r="E720" s="42">
        <v>664433</v>
      </c>
      <c r="F720" s="48">
        <v>1141511.3</v>
      </c>
      <c r="G720" s="48">
        <v>11136456.1</v>
      </c>
      <c r="H720" s="44">
        <v>3976</v>
      </c>
      <c r="I720" s="44">
        <v>51730</v>
      </c>
      <c r="J720" s="44">
        <v>52</v>
      </c>
      <c r="K720" s="44">
        <v>483</v>
      </c>
    </row>
    <row r="721" spans="1:11" ht="15" x14ac:dyDescent="0.2">
      <c r="A721" s="24"/>
      <c r="B721" s="17" t="s">
        <v>25</v>
      </c>
      <c r="C721" s="46">
        <v>22269</v>
      </c>
      <c r="D721" s="47">
        <v>21460</v>
      </c>
      <c r="E721" s="42">
        <v>664423</v>
      </c>
      <c r="F721" s="48">
        <v>1211151.42</v>
      </c>
      <c r="G721" s="48">
        <v>13365261.300000001</v>
      </c>
      <c r="H721" s="44">
        <v>5012</v>
      </c>
      <c r="I721" s="44">
        <v>66463</v>
      </c>
      <c r="J721" s="44">
        <v>109</v>
      </c>
      <c r="K721" s="44">
        <v>719</v>
      </c>
    </row>
    <row r="722" spans="1:11" ht="15" x14ac:dyDescent="0.2">
      <c r="A722" s="24"/>
      <c r="B722" s="17" t="s">
        <v>11</v>
      </c>
      <c r="C722" s="46">
        <v>22015</v>
      </c>
      <c r="D722" s="47">
        <v>21149</v>
      </c>
      <c r="E722" s="42">
        <v>665346</v>
      </c>
      <c r="F722" s="43">
        <v>1435177</v>
      </c>
      <c r="G722" s="43">
        <v>19749962</v>
      </c>
      <c r="H722" s="44">
        <v>4357</v>
      </c>
      <c r="I722" s="44">
        <v>61960</v>
      </c>
      <c r="J722" s="44">
        <v>76</v>
      </c>
      <c r="K722" s="44">
        <v>561</v>
      </c>
    </row>
    <row r="723" spans="1:11" ht="18" customHeight="1" x14ac:dyDescent="0.2">
      <c r="A723" s="24"/>
      <c r="B723" s="17"/>
      <c r="C723" s="46"/>
      <c r="D723" s="47"/>
      <c r="E723" s="42"/>
      <c r="F723" s="43"/>
      <c r="G723" s="43"/>
      <c r="H723" s="44"/>
      <c r="I723" s="44"/>
      <c r="J723" s="44"/>
      <c r="K723" s="44"/>
    </row>
    <row r="724" spans="1:11" ht="15.75" x14ac:dyDescent="0.25">
      <c r="A724" s="24" t="s">
        <v>19</v>
      </c>
      <c r="B724" s="16" t="s">
        <v>52</v>
      </c>
      <c r="C724" s="46"/>
      <c r="D724" s="47"/>
      <c r="E724" s="42"/>
      <c r="F724" s="48"/>
      <c r="G724" s="48"/>
      <c r="H724" s="44"/>
      <c r="I724" s="44"/>
      <c r="J724" s="44"/>
      <c r="K724" s="44"/>
    </row>
    <row r="725" spans="1:11" ht="15" x14ac:dyDescent="0.2">
      <c r="A725" s="24"/>
      <c r="B725" s="17" t="s">
        <v>12</v>
      </c>
      <c r="C725" s="46">
        <v>21684</v>
      </c>
      <c r="D725" s="47">
        <v>21008</v>
      </c>
      <c r="E725" s="42">
        <v>665914</v>
      </c>
      <c r="F725" s="48">
        <v>1502463</v>
      </c>
      <c r="G725" s="48">
        <v>21459745</v>
      </c>
      <c r="H725" s="44">
        <v>5395</v>
      </c>
      <c r="I725" s="44">
        <v>70386</v>
      </c>
      <c r="J725" s="44">
        <v>12</v>
      </c>
      <c r="K725" s="44">
        <v>106</v>
      </c>
    </row>
    <row r="726" spans="1:11" ht="15" x14ac:dyDescent="0.2">
      <c r="A726" s="24"/>
      <c r="B726" s="17" t="s">
        <v>13</v>
      </c>
      <c r="C726" s="46">
        <v>21467</v>
      </c>
      <c r="D726" s="47">
        <v>20917</v>
      </c>
      <c r="E726" s="42">
        <v>668178</v>
      </c>
      <c r="F726" s="48">
        <v>1360562</v>
      </c>
      <c r="G726" s="48">
        <v>17936134</v>
      </c>
      <c r="H726" s="44">
        <v>3560</v>
      </c>
      <c r="I726" s="44">
        <v>48373</v>
      </c>
      <c r="J726" s="44">
        <v>41</v>
      </c>
      <c r="K726" s="44">
        <v>271</v>
      </c>
    </row>
    <row r="727" spans="1:11" ht="15" x14ac:dyDescent="0.2">
      <c r="A727" s="24"/>
      <c r="B727" s="17" t="s">
        <v>14</v>
      </c>
      <c r="C727" s="46">
        <v>22025</v>
      </c>
      <c r="D727" s="47">
        <v>21877</v>
      </c>
      <c r="E727" s="42">
        <v>668265</v>
      </c>
      <c r="F727" s="43">
        <v>1333604</v>
      </c>
      <c r="G727" s="43">
        <v>16066333</v>
      </c>
      <c r="H727" s="44">
        <v>3600</v>
      </c>
      <c r="I727" s="44">
        <v>49121</v>
      </c>
      <c r="J727" s="44">
        <v>15</v>
      </c>
      <c r="K727" s="44">
        <v>119</v>
      </c>
    </row>
    <row r="728" spans="1:11" ht="15.75" x14ac:dyDescent="0.25">
      <c r="A728" s="89" t="s">
        <v>104</v>
      </c>
      <c r="B728" s="16"/>
      <c r="C728" s="18"/>
      <c r="D728" s="18"/>
      <c r="E728" s="18"/>
      <c r="F728" s="18"/>
      <c r="G728" s="18"/>
      <c r="H728" s="18"/>
      <c r="I728" s="18"/>
      <c r="J728" s="18"/>
      <c r="K728" s="18"/>
    </row>
    <row r="729" spans="1:11" ht="27.75" x14ac:dyDescent="0.55000000000000004">
      <c r="A729" s="82"/>
      <c r="B729" s="16"/>
      <c r="C729" s="18"/>
      <c r="D729" s="18"/>
      <c r="E729" s="18"/>
      <c r="F729" s="18"/>
      <c r="G729" s="18"/>
      <c r="H729" s="105" t="s">
        <v>157</v>
      </c>
      <c r="I729" s="105"/>
      <c r="J729" s="105"/>
      <c r="K729" s="105"/>
    </row>
    <row r="730" spans="1:11" ht="27.75" x14ac:dyDescent="0.55000000000000004">
      <c r="A730" s="82"/>
      <c r="B730" s="16"/>
      <c r="C730" s="18"/>
      <c r="D730" s="105" t="s">
        <v>158</v>
      </c>
      <c r="E730" s="105"/>
      <c r="F730" s="105" t="s">
        <v>159</v>
      </c>
      <c r="G730" s="105"/>
      <c r="H730" s="105" t="s">
        <v>105</v>
      </c>
      <c r="I730" s="105"/>
      <c r="J730" s="105" t="s">
        <v>106</v>
      </c>
      <c r="K730" s="105"/>
    </row>
    <row r="731" spans="1:11" ht="15.75" x14ac:dyDescent="0.25">
      <c r="A731" s="21" t="s">
        <v>8</v>
      </c>
      <c r="B731" s="16" t="s">
        <v>32</v>
      </c>
      <c r="C731" s="40" t="s">
        <v>107</v>
      </c>
      <c r="D731" s="40" t="s">
        <v>108</v>
      </c>
      <c r="E731" s="40" t="s">
        <v>109</v>
      </c>
      <c r="F731" s="40" t="s">
        <v>108</v>
      </c>
      <c r="G731" s="40" t="s">
        <v>109</v>
      </c>
      <c r="H731" s="40" t="s">
        <v>108</v>
      </c>
      <c r="I731" s="40" t="s">
        <v>109</v>
      </c>
      <c r="J731" s="40" t="s">
        <v>108</v>
      </c>
      <c r="K731" s="40" t="s">
        <v>109</v>
      </c>
    </row>
    <row r="732" spans="1:11" ht="18" customHeight="1" x14ac:dyDescent="0.2">
      <c r="A732" s="24"/>
      <c r="B732" s="17"/>
      <c r="C732" s="46"/>
      <c r="D732" s="47"/>
      <c r="E732" s="42"/>
      <c r="F732" s="43"/>
      <c r="G732" s="43"/>
      <c r="H732" s="44"/>
      <c r="I732" s="44"/>
      <c r="J732" s="44"/>
      <c r="K732" s="44"/>
    </row>
    <row r="733" spans="1:11" ht="15.75" x14ac:dyDescent="0.25">
      <c r="A733" s="24" t="s">
        <v>19</v>
      </c>
      <c r="B733" s="16" t="s">
        <v>54</v>
      </c>
      <c r="C733" s="46"/>
      <c r="D733" s="47"/>
      <c r="E733" s="42"/>
      <c r="F733" s="48"/>
      <c r="G733" s="48"/>
      <c r="H733" s="44"/>
      <c r="I733" s="44"/>
      <c r="J733" s="44"/>
      <c r="K733" s="44"/>
    </row>
    <row r="734" spans="1:11" ht="15" x14ac:dyDescent="0.2">
      <c r="A734" s="24">
        <v>2008</v>
      </c>
      <c r="B734" s="17" t="s">
        <v>15</v>
      </c>
      <c r="C734" s="46">
        <v>22855</v>
      </c>
      <c r="D734" s="47">
        <v>22797</v>
      </c>
      <c r="E734" s="42">
        <v>668544</v>
      </c>
      <c r="F734" s="48">
        <v>1327956.71</v>
      </c>
      <c r="G734" s="48">
        <f>15562735.51+57.04+600.19</f>
        <v>15563392.739999998</v>
      </c>
      <c r="H734" s="44">
        <v>5847</v>
      </c>
      <c r="I734" s="44">
        <v>60068</v>
      </c>
      <c r="J734" s="44">
        <v>20</v>
      </c>
      <c r="K734" s="44">
        <v>197</v>
      </c>
    </row>
    <row r="735" spans="1:11" ht="15" x14ac:dyDescent="0.2">
      <c r="A735" s="24"/>
      <c r="B735" s="17" t="s">
        <v>16</v>
      </c>
      <c r="C735" s="46">
        <v>24072</v>
      </c>
      <c r="D735" s="47">
        <v>24152</v>
      </c>
      <c r="E735" s="42">
        <v>668009</v>
      </c>
      <c r="F735" s="48">
        <v>1330734</v>
      </c>
      <c r="G735" s="48">
        <f>14489532+57+383</f>
        <v>14489972</v>
      </c>
      <c r="H735" s="44">
        <v>4883</v>
      </c>
      <c r="I735" s="44">
        <v>58680</v>
      </c>
      <c r="J735" s="44">
        <v>34</v>
      </c>
      <c r="K735" s="44">
        <v>496</v>
      </c>
    </row>
    <row r="736" spans="1:11" ht="15" x14ac:dyDescent="0.2">
      <c r="A736" s="24"/>
      <c r="B736" s="17" t="s">
        <v>17</v>
      </c>
      <c r="C736" s="46">
        <v>25735</v>
      </c>
      <c r="D736" s="47">
        <v>25814</v>
      </c>
      <c r="E736" s="42">
        <v>666940</v>
      </c>
      <c r="F736" s="43">
        <v>1370824.22</v>
      </c>
      <c r="G736" s="43">
        <f>13980741.77+57.04+382.6</f>
        <v>13981181.409999998</v>
      </c>
      <c r="H736" s="44">
        <v>3992</v>
      </c>
      <c r="I736" s="44">
        <v>53922</v>
      </c>
      <c r="J736" s="44">
        <v>54</v>
      </c>
      <c r="K736" s="44">
        <v>627</v>
      </c>
    </row>
    <row r="737" spans="1:11" ht="15" x14ac:dyDescent="0.2">
      <c r="A737" s="24"/>
      <c r="B737" s="17"/>
      <c r="C737" s="46"/>
      <c r="D737" s="47"/>
      <c r="E737" s="42"/>
      <c r="F737" s="43"/>
      <c r="G737" s="43"/>
      <c r="H737" s="44"/>
      <c r="I737" s="44"/>
      <c r="J737" s="44"/>
      <c r="K737" s="44"/>
    </row>
    <row r="738" spans="1:11" ht="15.75" x14ac:dyDescent="0.25">
      <c r="A738" s="24" t="s">
        <v>19</v>
      </c>
      <c r="B738" s="16" t="s">
        <v>55</v>
      </c>
      <c r="C738" s="46"/>
      <c r="D738" s="47"/>
      <c r="E738" s="42"/>
      <c r="F738" s="48"/>
      <c r="G738" s="48"/>
      <c r="H738" s="44"/>
      <c r="I738" s="44"/>
      <c r="J738" s="44"/>
      <c r="K738" s="44"/>
    </row>
    <row r="739" spans="1:11" ht="15" x14ac:dyDescent="0.2">
      <c r="A739" s="24"/>
      <c r="B739" s="17" t="s">
        <v>20</v>
      </c>
      <c r="C739" s="46">
        <v>26784</v>
      </c>
      <c r="D739" s="47">
        <v>26730</v>
      </c>
      <c r="E739" s="42">
        <v>665938</v>
      </c>
      <c r="F739" s="48">
        <v>1346510</v>
      </c>
      <c r="G739" s="48">
        <f>12879656+57+383</f>
        <v>12880096</v>
      </c>
      <c r="H739" s="44">
        <v>3931</v>
      </c>
      <c r="I739" s="44">
        <v>56909</v>
      </c>
      <c r="J739" s="44">
        <v>106</v>
      </c>
      <c r="K739" s="44">
        <v>961</v>
      </c>
    </row>
    <row r="740" spans="1:11" ht="15" x14ac:dyDescent="0.2">
      <c r="A740" s="24"/>
      <c r="B740" s="17" t="s">
        <v>21</v>
      </c>
      <c r="C740" s="46">
        <v>27584</v>
      </c>
      <c r="D740" s="47">
        <v>27187</v>
      </c>
      <c r="E740" s="42">
        <v>664785</v>
      </c>
      <c r="F740" s="48">
        <v>1313748</v>
      </c>
      <c r="G740" s="48">
        <f>11824732+57+383</f>
        <v>11825172</v>
      </c>
      <c r="H740" s="44">
        <v>2049</v>
      </c>
      <c r="I740" s="44">
        <v>52155</v>
      </c>
      <c r="J740" s="44">
        <v>42</v>
      </c>
      <c r="K740" s="44">
        <v>656</v>
      </c>
    </row>
    <row r="741" spans="1:11" ht="15" x14ac:dyDescent="0.2">
      <c r="A741" s="24"/>
      <c r="B741" s="17" t="s">
        <v>22</v>
      </c>
      <c r="C741" s="46">
        <v>26882</v>
      </c>
      <c r="D741" s="47">
        <v>22489</v>
      </c>
      <c r="E741" s="42">
        <v>669399</v>
      </c>
      <c r="F741" s="43">
        <v>1135566</v>
      </c>
      <c r="G741" s="43">
        <f>10934489+57+383</f>
        <v>10934929</v>
      </c>
      <c r="H741" s="44">
        <v>3296</v>
      </c>
      <c r="I741" s="44">
        <v>50250</v>
      </c>
      <c r="J741" s="44">
        <v>51</v>
      </c>
      <c r="K741" s="44">
        <v>623</v>
      </c>
    </row>
    <row r="742" spans="1:11" ht="15" x14ac:dyDescent="0.2">
      <c r="A742" s="24"/>
      <c r="B742" s="17"/>
      <c r="C742" s="46"/>
      <c r="D742" s="47"/>
      <c r="E742" s="42"/>
      <c r="F742" s="43"/>
      <c r="G742" s="43"/>
      <c r="H742" s="44"/>
      <c r="I742" s="44"/>
      <c r="J742" s="44"/>
      <c r="K742" s="44"/>
    </row>
    <row r="743" spans="1:11" ht="15.75" x14ac:dyDescent="0.25">
      <c r="A743" s="24" t="s">
        <v>19</v>
      </c>
      <c r="B743" s="16" t="s">
        <v>56</v>
      </c>
      <c r="C743" s="46"/>
      <c r="D743" s="47"/>
      <c r="E743" s="42"/>
      <c r="F743" s="48"/>
      <c r="G743" s="48"/>
      <c r="H743" s="44"/>
      <c r="I743" s="44"/>
      <c r="J743" s="44"/>
      <c r="K743" s="44"/>
    </row>
    <row r="744" spans="1:11" s="6" customFormat="1" ht="15" x14ac:dyDescent="0.2">
      <c r="A744" s="24"/>
      <c r="B744" s="17" t="s">
        <v>24</v>
      </c>
      <c r="C744" s="46">
        <v>22988</v>
      </c>
      <c r="D744" s="47">
        <v>22183</v>
      </c>
      <c r="E744" s="42">
        <v>670873</v>
      </c>
      <c r="F744" s="48">
        <v>1153617</v>
      </c>
      <c r="G744" s="48">
        <f>11073454+57+1181</f>
        <v>11074692</v>
      </c>
      <c r="H744" s="44">
        <v>3706</v>
      </c>
      <c r="I744" s="44">
        <v>51892</v>
      </c>
      <c r="J744" s="44">
        <v>46</v>
      </c>
      <c r="K744" s="44">
        <v>410</v>
      </c>
    </row>
    <row r="745" spans="1:11" s="6" customFormat="1" ht="15" x14ac:dyDescent="0.2">
      <c r="A745" s="24"/>
      <c r="B745" s="17" t="s">
        <v>25</v>
      </c>
      <c r="C745" s="46">
        <v>22662</v>
      </c>
      <c r="D745" s="47">
        <v>21899</v>
      </c>
      <c r="E745" s="42">
        <v>671736</v>
      </c>
      <c r="F745" s="48">
        <v>1288794</v>
      </c>
      <c r="G745" s="48">
        <f>13174104+57+1181</f>
        <v>13175342</v>
      </c>
      <c r="H745" s="44">
        <v>4410</v>
      </c>
      <c r="I745" s="44">
        <v>62498</v>
      </c>
      <c r="J745" s="44">
        <v>52</v>
      </c>
      <c r="K745" s="44">
        <v>528</v>
      </c>
    </row>
    <row r="746" spans="1:11" s="6" customFormat="1" ht="15" x14ac:dyDescent="0.2">
      <c r="A746" s="24"/>
      <c r="B746" s="17" t="s">
        <v>11</v>
      </c>
      <c r="C746" s="46">
        <v>22472</v>
      </c>
      <c r="D746" s="47">
        <v>21632</v>
      </c>
      <c r="E746" s="42">
        <v>672749</v>
      </c>
      <c r="F746" s="43">
        <v>1532293</v>
      </c>
      <c r="G746" s="43">
        <f>19335355+57+383</f>
        <v>19335795</v>
      </c>
      <c r="H746" s="44">
        <v>4785</v>
      </c>
      <c r="I746" s="44">
        <v>68954</v>
      </c>
      <c r="J746" s="44">
        <v>43</v>
      </c>
      <c r="K746" s="44">
        <v>424</v>
      </c>
    </row>
    <row r="747" spans="1:11" ht="15" x14ac:dyDescent="0.2">
      <c r="A747" s="24"/>
      <c r="B747" s="17"/>
      <c r="C747" s="46"/>
      <c r="D747" s="47"/>
      <c r="E747" s="42"/>
      <c r="F747" s="43"/>
      <c r="G747" s="43"/>
      <c r="H747" s="44"/>
      <c r="I747" s="44"/>
      <c r="J747" s="44"/>
      <c r="K747" s="44"/>
    </row>
    <row r="748" spans="1:11" ht="15.75" x14ac:dyDescent="0.25">
      <c r="A748" s="24" t="s">
        <v>19</v>
      </c>
      <c r="B748" s="16" t="s">
        <v>57</v>
      </c>
      <c r="C748" s="46"/>
      <c r="D748" s="47"/>
      <c r="E748" s="42"/>
      <c r="F748" s="48"/>
      <c r="G748" s="48"/>
      <c r="H748" s="44"/>
      <c r="I748" s="44"/>
      <c r="J748" s="44"/>
      <c r="K748" s="44"/>
    </row>
    <row r="749" spans="1:11" s="6" customFormat="1" ht="15" x14ac:dyDescent="0.2">
      <c r="A749" s="24"/>
      <c r="B749" s="17" t="s">
        <v>12</v>
      </c>
      <c r="C749" s="46">
        <v>22192</v>
      </c>
      <c r="D749" s="47">
        <v>21333</v>
      </c>
      <c r="E749" s="42">
        <v>673024</v>
      </c>
      <c r="F749" s="48">
        <v>1504434</v>
      </c>
      <c r="G749" s="48">
        <f>18625365+57+383</f>
        <v>18625805</v>
      </c>
      <c r="H749" s="44">
        <v>5480</v>
      </c>
      <c r="I749" s="44">
        <v>72739</v>
      </c>
      <c r="J749" s="44">
        <v>61</v>
      </c>
      <c r="K749" s="44">
        <v>500</v>
      </c>
    </row>
    <row r="750" spans="1:11" s="6" customFormat="1" ht="15" x14ac:dyDescent="0.2">
      <c r="A750" s="24"/>
      <c r="B750" s="17" t="s">
        <v>13</v>
      </c>
      <c r="C750" s="46">
        <v>21883</v>
      </c>
      <c r="D750" s="47">
        <v>21363</v>
      </c>
      <c r="E750" s="42">
        <v>673685</v>
      </c>
      <c r="F750" s="48">
        <v>1584095</v>
      </c>
      <c r="G750" s="48">
        <f>17528536+57+383</f>
        <v>17528976</v>
      </c>
      <c r="H750" s="44">
        <v>3681</v>
      </c>
      <c r="I750" s="44">
        <v>47931</v>
      </c>
      <c r="J750" s="44">
        <v>39</v>
      </c>
      <c r="K750" s="44">
        <v>317</v>
      </c>
    </row>
    <row r="751" spans="1:11" s="6" customFormat="1" ht="15" x14ac:dyDescent="0.2">
      <c r="A751" s="24"/>
      <c r="B751" s="17" t="s">
        <v>14</v>
      </c>
      <c r="C751" s="46">
        <v>22684</v>
      </c>
      <c r="D751" s="47">
        <v>22715</v>
      </c>
      <c r="E751" s="42">
        <v>672157</v>
      </c>
      <c r="F751" s="43">
        <v>1473220</v>
      </c>
      <c r="G751" s="43">
        <f>16982776+57+383</f>
        <v>16983216</v>
      </c>
      <c r="H751" s="44">
        <v>3995</v>
      </c>
      <c r="I751" s="44">
        <v>56229</v>
      </c>
      <c r="J751" s="44">
        <v>16</v>
      </c>
      <c r="K751" s="44">
        <v>188</v>
      </c>
    </row>
    <row r="752" spans="1:11" ht="15" x14ac:dyDescent="0.2">
      <c r="A752" s="24"/>
      <c r="B752" s="17"/>
      <c r="C752" s="46"/>
      <c r="D752" s="47"/>
      <c r="E752" s="42"/>
      <c r="F752" s="43"/>
      <c r="G752" s="43"/>
      <c r="H752" s="44"/>
      <c r="I752" s="44"/>
      <c r="J752" s="44"/>
      <c r="K752" s="44"/>
    </row>
    <row r="753" spans="1:11" ht="15.75" x14ac:dyDescent="0.25">
      <c r="A753" s="24" t="s">
        <v>19</v>
      </c>
      <c r="B753" s="16" t="s">
        <v>58</v>
      </c>
      <c r="C753" s="46"/>
      <c r="D753" s="47"/>
      <c r="E753" s="42"/>
      <c r="F753" s="48"/>
      <c r="G753" s="48"/>
      <c r="H753" s="44"/>
      <c r="I753" s="44"/>
      <c r="J753" s="44"/>
      <c r="K753" s="44"/>
    </row>
    <row r="754" spans="1:11" s="6" customFormat="1" ht="15" x14ac:dyDescent="0.2">
      <c r="A754" s="24">
        <v>2009</v>
      </c>
      <c r="B754" s="17" t="s">
        <v>15</v>
      </c>
      <c r="C754" s="46">
        <v>23953</v>
      </c>
      <c r="D754" s="47">
        <v>24224</v>
      </c>
      <c r="E754" s="42">
        <v>671466</v>
      </c>
      <c r="F754" s="48">
        <v>1524877</v>
      </c>
      <c r="G754" s="48">
        <f>15013319+57+383</f>
        <v>15013759</v>
      </c>
      <c r="H754" s="44">
        <v>6013</v>
      </c>
      <c r="I754" s="44">
        <v>58405</v>
      </c>
      <c r="J754" s="44">
        <v>29</v>
      </c>
      <c r="K754" s="44">
        <v>283</v>
      </c>
    </row>
    <row r="755" spans="1:11" s="6" customFormat="1" ht="15" x14ac:dyDescent="0.2">
      <c r="A755" s="24"/>
      <c r="B755" s="17" t="s">
        <v>16</v>
      </c>
      <c r="C755" s="46">
        <v>26497</v>
      </c>
      <c r="D755" s="47">
        <v>26797</v>
      </c>
      <c r="E755" s="42">
        <v>669585</v>
      </c>
      <c r="F755" s="48">
        <v>1524877</v>
      </c>
      <c r="G755" s="48">
        <v>15013759</v>
      </c>
      <c r="H755" s="44">
        <v>4349</v>
      </c>
      <c r="I755" s="44">
        <v>56875</v>
      </c>
      <c r="J755" s="44">
        <v>37</v>
      </c>
      <c r="K755" s="44">
        <v>515</v>
      </c>
    </row>
    <row r="756" spans="1:11" s="6" customFormat="1" ht="15" x14ac:dyDescent="0.2">
      <c r="A756" s="24"/>
      <c r="B756" s="17" t="s">
        <v>17</v>
      </c>
      <c r="C756" s="46">
        <v>28611</v>
      </c>
      <c r="D756" s="47">
        <v>28682</v>
      </c>
      <c r="E756" s="42">
        <v>667902</v>
      </c>
      <c r="F756" s="43">
        <v>1472764</v>
      </c>
      <c r="G756" s="43">
        <f>13290665+57+383</f>
        <v>13291105</v>
      </c>
      <c r="H756" s="44">
        <v>3740</v>
      </c>
      <c r="I756" s="44">
        <v>54808</v>
      </c>
      <c r="J756" s="44">
        <v>42</v>
      </c>
      <c r="K756" s="44">
        <v>582</v>
      </c>
    </row>
    <row r="757" spans="1:11" ht="15" x14ac:dyDescent="0.2">
      <c r="A757" s="24"/>
      <c r="B757" s="17"/>
      <c r="C757" s="46"/>
      <c r="D757" s="47"/>
      <c r="E757" s="42"/>
      <c r="F757" s="43"/>
      <c r="G757" s="43"/>
      <c r="H757" s="44"/>
      <c r="I757" s="44"/>
      <c r="J757" s="44"/>
      <c r="K757" s="44"/>
    </row>
    <row r="758" spans="1:11" ht="15.75" x14ac:dyDescent="0.25">
      <c r="A758" s="24" t="s">
        <v>19</v>
      </c>
      <c r="B758" s="16" t="s">
        <v>59</v>
      </c>
      <c r="C758" s="46"/>
      <c r="D758" s="47"/>
      <c r="E758" s="42"/>
      <c r="F758" s="48"/>
      <c r="G758" s="48"/>
      <c r="H758" s="44"/>
      <c r="I758" s="44"/>
      <c r="J758" s="44"/>
      <c r="K758" s="44"/>
    </row>
    <row r="759" spans="1:11" s="6" customFormat="1" ht="15" x14ac:dyDescent="0.2">
      <c r="A759" s="24"/>
      <c r="B759" s="17" t="s">
        <v>20</v>
      </c>
      <c r="C759" s="46">
        <v>30165</v>
      </c>
      <c r="D759" s="47">
        <v>30427</v>
      </c>
      <c r="E759" s="42">
        <v>666044</v>
      </c>
      <c r="F759" s="48">
        <v>1506776.19</v>
      </c>
      <c r="G759" s="48">
        <f>11893688.79+57.04+382.6</f>
        <v>11894128.429999998</v>
      </c>
      <c r="H759" s="44">
        <v>4398</v>
      </c>
      <c r="I759" s="44">
        <v>53700</v>
      </c>
      <c r="J759" s="44">
        <v>36</v>
      </c>
      <c r="K759" s="44">
        <v>508</v>
      </c>
    </row>
    <row r="760" spans="1:11" s="6" customFormat="1" ht="15" x14ac:dyDescent="0.2">
      <c r="A760" s="24"/>
      <c r="B760" s="17" t="s">
        <v>21</v>
      </c>
      <c r="C760" s="46">
        <v>30997</v>
      </c>
      <c r="D760" s="47">
        <v>30062</v>
      </c>
      <c r="E760" s="42">
        <v>665989</v>
      </c>
      <c r="F760" s="48">
        <v>1495456</v>
      </c>
      <c r="G760" s="48">
        <f>11759357+57+383</f>
        <v>11759797</v>
      </c>
      <c r="H760" s="44">
        <v>3877</v>
      </c>
      <c r="I760" s="44">
        <v>48693</v>
      </c>
      <c r="J760" s="44">
        <v>46</v>
      </c>
      <c r="K760" s="44">
        <v>425</v>
      </c>
    </row>
    <row r="761" spans="1:11" s="6" customFormat="1" ht="15" x14ac:dyDescent="0.2">
      <c r="A761" s="24"/>
      <c r="B761" s="17" t="s">
        <v>22</v>
      </c>
      <c r="C761" s="46">
        <v>30681</v>
      </c>
      <c r="D761" s="47">
        <v>29677</v>
      </c>
      <c r="E761" s="42">
        <v>666805</v>
      </c>
      <c r="F761" s="43">
        <v>1509390</v>
      </c>
      <c r="G761" s="43">
        <f>11288190+57+383</f>
        <v>11288630</v>
      </c>
      <c r="H761" s="44">
        <v>5031</v>
      </c>
      <c r="I761" s="44">
        <v>53572</v>
      </c>
      <c r="J761" s="44">
        <v>47</v>
      </c>
      <c r="K761" s="44">
        <v>360</v>
      </c>
    </row>
    <row r="762" spans="1:11" ht="15" x14ac:dyDescent="0.2">
      <c r="A762" s="24"/>
      <c r="B762" s="17"/>
      <c r="C762" s="46"/>
      <c r="D762" s="47"/>
      <c r="E762" s="42"/>
      <c r="F762" s="43"/>
      <c r="G762" s="43"/>
      <c r="H762" s="44"/>
      <c r="I762" s="44"/>
      <c r="J762" s="44"/>
      <c r="K762" s="44"/>
    </row>
    <row r="763" spans="1:11" ht="15.75" x14ac:dyDescent="0.25">
      <c r="A763" s="24" t="s">
        <v>19</v>
      </c>
      <c r="B763" s="16" t="s">
        <v>60</v>
      </c>
      <c r="C763" s="46"/>
      <c r="D763" s="47"/>
      <c r="E763" s="42"/>
      <c r="F763" s="48"/>
      <c r="G763" s="48"/>
      <c r="H763" s="44"/>
      <c r="I763" s="44"/>
      <c r="J763" s="44"/>
      <c r="K763" s="44"/>
    </row>
    <row r="764" spans="1:11" s="6" customFormat="1" ht="15" x14ac:dyDescent="0.2">
      <c r="A764" s="24"/>
      <c r="B764" s="17" t="s">
        <v>24</v>
      </c>
      <c r="C764" s="46">
        <v>28657</v>
      </c>
      <c r="D764" s="47">
        <v>25334</v>
      </c>
      <c r="E764" s="42">
        <v>671650</v>
      </c>
      <c r="F764" s="48">
        <v>1410280</v>
      </c>
      <c r="G764" s="48">
        <f>11701390+57+383</f>
        <v>11701830</v>
      </c>
      <c r="H764" s="44">
        <v>4554</v>
      </c>
      <c r="I764" s="44">
        <v>56632</v>
      </c>
      <c r="J764" s="44">
        <v>52</v>
      </c>
      <c r="K764" s="44">
        <v>370</v>
      </c>
    </row>
    <row r="765" spans="1:11" s="6" customFormat="1" ht="15" x14ac:dyDescent="0.2">
      <c r="A765" s="24"/>
      <c r="B765" s="17" t="s">
        <v>25</v>
      </c>
      <c r="C765" s="46">
        <v>25965</v>
      </c>
      <c r="D765" s="47">
        <v>24936</v>
      </c>
      <c r="E765" s="42">
        <v>671719</v>
      </c>
      <c r="F765" s="48">
        <v>1479885</v>
      </c>
      <c r="G765" s="48">
        <f>13106661+57+508</f>
        <v>13107226</v>
      </c>
      <c r="H765" s="44">
        <v>5062</v>
      </c>
      <c r="I765" s="44">
        <v>62227</v>
      </c>
      <c r="J765" s="44">
        <v>62</v>
      </c>
      <c r="K765" s="44">
        <v>444</v>
      </c>
    </row>
    <row r="766" spans="1:11" s="6" customFormat="1" ht="15" x14ac:dyDescent="0.2">
      <c r="A766" s="24"/>
      <c r="B766" s="17" t="s">
        <v>11</v>
      </c>
      <c r="C766" s="46">
        <v>25581</v>
      </c>
      <c r="D766" s="47">
        <v>24617</v>
      </c>
      <c r="E766" s="42">
        <v>673133</v>
      </c>
      <c r="F766" s="43">
        <v>1767618.83</v>
      </c>
      <c r="G766" s="43">
        <f>18625019.67+57.04+543.33</f>
        <v>18625620.039999999</v>
      </c>
      <c r="H766" s="44">
        <v>5694</v>
      </c>
      <c r="I766" s="44">
        <v>70913</v>
      </c>
      <c r="J766" s="44">
        <v>83</v>
      </c>
      <c r="K766" s="44">
        <v>474</v>
      </c>
    </row>
    <row r="767" spans="1:11" ht="15" x14ac:dyDescent="0.2">
      <c r="A767" s="24"/>
      <c r="B767" s="17"/>
      <c r="C767" s="46"/>
      <c r="D767" s="47"/>
      <c r="E767" s="42"/>
      <c r="F767" s="43"/>
      <c r="G767" s="43"/>
      <c r="H767" s="44"/>
      <c r="I767" s="44"/>
      <c r="J767" s="44"/>
      <c r="K767" s="44"/>
    </row>
    <row r="768" spans="1:11" ht="15.75" x14ac:dyDescent="0.25">
      <c r="A768" s="24" t="s">
        <v>19</v>
      </c>
      <c r="B768" s="16" t="s">
        <v>61</v>
      </c>
      <c r="C768" s="46"/>
      <c r="D768" s="47"/>
      <c r="E768" s="42"/>
      <c r="F768" s="48"/>
      <c r="G768" s="48"/>
      <c r="H768" s="44"/>
      <c r="I768" s="44"/>
      <c r="J768" s="44"/>
      <c r="K768" s="44"/>
    </row>
    <row r="769" spans="1:11" s="6" customFormat="1" ht="15" x14ac:dyDescent="0.2">
      <c r="A769" s="24"/>
      <c r="B769" s="17" t="s">
        <v>12</v>
      </c>
      <c r="C769" s="46">
        <v>25196</v>
      </c>
      <c r="D769" s="47">
        <v>24299</v>
      </c>
      <c r="E769" s="42">
        <v>673825</v>
      </c>
      <c r="F769" s="48">
        <v>1786761</v>
      </c>
      <c r="G769" s="48">
        <f>18958355+57+403</f>
        <v>18958815</v>
      </c>
      <c r="H769" s="44">
        <v>6325</v>
      </c>
      <c r="I769" s="44">
        <v>68788</v>
      </c>
      <c r="J769" s="44">
        <v>57</v>
      </c>
      <c r="K769" s="44">
        <v>609</v>
      </c>
    </row>
    <row r="770" spans="1:11" s="6" customFormat="1" ht="15" x14ac:dyDescent="0.2">
      <c r="A770" s="24"/>
      <c r="B770" s="17" t="s">
        <v>13</v>
      </c>
      <c r="C770" s="46">
        <v>24941</v>
      </c>
      <c r="D770" s="47">
        <v>24595</v>
      </c>
      <c r="E770" s="42">
        <v>675701</v>
      </c>
      <c r="F770" s="48">
        <v>1841031</v>
      </c>
      <c r="G770" s="48">
        <f>18357654+57+1091</f>
        <v>18358802</v>
      </c>
      <c r="H770" s="44">
        <v>4671</v>
      </c>
      <c r="I770" s="44">
        <v>50269</v>
      </c>
      <c r="J770" s="44">
        <v>50</v>
      </c>
      <c r="K770" s="44">
        <v>439</v>
      </c>
    </row>
    <row r="771" spans="1:11" s="6" customFormat="1" ht="15" x14ac:dyDescent="0.2">
      <c r="A771" s="24"/>
      <c r="B771" s="17" t="s">
        <v>14</v>
      </c>
      <c r="C771" s="46">
        <v>25937</v>
      </c>
      <c r="D771" s="47">
        <v>25960</v>
      </c>
      <c r="E771" s="42">
        <v>674319</v>
      </c>
      <c r="F771" s="43">
        <v>1756324</v>
      </c>
      <c r="G771" s="43">
        <f>16173443+57+1095</f>
        <v>16174595</v>
      </c>
      <c r="H771" s="44">
        <v>4783</v>
      </c>
      <c r="I771" s="44">
        <v>56609</v>
      </c>
      <c r="J771" s="44">
        <v>13</v>
      </c>
      <c r="K771" s="44">
        <v>185</v>
      </c>
    </row>
    <row r="772" spans="1:11" ht="15" x14ac:dyDescent="0.2">
      <c r="A772" s="24"/>
      <c r="B772" s="17"/>
      <c r="C772" s="46"/>
      <c r="D772" s="47"/>
      <c r="E772" s="42"/>
      <c r="F772" s="43"/>
      <c r="G772" s="43"/>
      <c r="H772" s="44"/>
      <c r="I772" s="44"/>
      <c r="J772" s="44"/>
      <c r="K772" s="44"/>
    </row>
    <row r="773" spans="1:11" ht="15.75" x14ac:dyDescent="0.25">
      <c r="A773" s="24" t="s">
        <v>19</v>
      </c>
      <c r="B773" s="16" t="s">
        <v>62</v>
      </c>
      <c r="C773" s="46"/>
      <c r="D773" s="47"/>
      <c r="E773" s="42"/>
      <c r="F773" s="48"/>
      <c r="G773" s="48"/>
      <c r="H773" s="44"/>
      <c r="I773" s="44"/>
      <c r="J773" s="44"/>
      <c r="K773" s="44"/>
    </row>
    <row r="774" spans="1:11" s="6" customFormat="1" ht="15" x14ac:dyDescent="0.2">
      <c r="A774" s="24">
        <v>2010</v>
      </c>
      <c r="B774" s="17" t="s">
        <v>15</v>
      </c>
      <c r="C774" s="46">
        <v>27268</v>
      </c>
      <c r="D774" s="47">
        <v>27235</v>
      </c>
      <c r="E774" s="42">
        <f>674141+493</f>
        <v>674634</v>
      </c>
      <c r="F774" s="48">
        <v>1780744</v>
      </c>
      <c r="G774" s="48">
        <f>17035407+57+1099</f>
        <v>17036563</v>
      </c>
      <c r="H774" s="44">
        <v>6492</v>
      </c>
      <c r="I774" s="44">
        <v>57987</v>
      </c>
      <c r="J774" s="44">
        <v>37</v>
      </c>
      <c r="K774" s="44">
        <v>416</v>
      </c>
    </row>
    <row r="775" spans="1:11" s="6" customFormat="1" ht="15" x14ac:dyDescent="0.2">
      <c r="A775" s="24"/>
      <c r="B775" s="17" t="s">
        <v>16</v>
      </c>
      <c r="C775" s="46">
        <v>29218</v>
      </c>
      <c r="D775" s="47">
        <v>29838</v>
      </c>
      <c r="E775" s="42">
        <f>671340+496</f>
        <v>671836</v>
      </c>
      <c r="F775" s="48">
        <v>1899503</v>
      </c>
      <c r="G775" s="48">
        <f>16508797+57+1104</f>
        <v>16509958</v>
      </c>
      <c r="H775" s="44">
        <v>5385</v>
      </c>
      <c r="I775" s="44">
        <v>57109</v>
      </c>
      <c r="J775" s="44">
        <v>44</v>
      </c>
      <c r="K775" s="44">
        <v>515</v>
      </c>
    </row>
    <row r="776" spans="1:11" s="6" customFormat="1" ht="15" x14ac:dyDescent="0.2">
      <c r="A776" s="24"/>
      <c r="B776" s="17" t="s">
        <v>17</v>
      </c>
      <c r="C776" s="46">
        <v>31588</v>
      </c>
      <c r="D776" s="47">
        <v>32118</v>
      </c>
      <c r="E776" s="42">
        <f>668171+513</f>
        <v>668684</v>
      </c>
      <c r="F776" s="43">
        <v>1728690</v>
      </c>
      <c r="G776" s="43">
        <f>14702037+57+818</f>
        <v>14702912</v>
      </c>
      <c r="H776" s="44">
        <v>4903</v>
      </c>
      <c r="I776" s="44">
        <v>58351</v>
      </c>
      <c r="J776" s="44">
        <v>54</v>
      </c>
      <c r="K776" s="44">
        <v>614</v>
      </c>
    </row>
    <row r="777" spans="1:11" ht="15" x14ac:dyDescent="0.2">
      <c r="A777" s="24"/>
      <c r="B777" s="17"/>
      <c r="C777" s="46"/>
      <c r="D777" s="47"/>
      <c r="E777" s="42"/>
      <c r="F777" s="43"/>
      <c r="G777" s="43"/>
      <c r="H777" s="44"/>
      <c r="I777" s="44"/>
      <c r="J777" s="44"/>
      <c r="K777" s="44"/>
    </row>
    <row r="778" spans="1:11" ht="15.75" x14ac:dyDescent="0.25">
      <c r="A778" s="24" t="s">
        <v>19</v>
      </c>
      <c r="B778" s="16" t="s">
        <v>63</v>
      </c>
      <c r="C778" s="46"/>
      <c r="D778" s="47"/>
      <c r="E778" s="42"/>
      <c r="F778" s="48"/>
      <c r="G778" s="48"/>
      <c r="H778" s="44"/>
      <c r="I778" s="44"/>
      <c r="J778" s="44"/>
      <c r="K778" s="44"/>
    </row>
    <row r="779" spans="1:11" s="6" customFormat="1" ht="15" x14ac:dyDescent="0.2">
      <c r="A779" s="24"/>
      <c r="B779" s="17" t="s">
        <v>20</v>
      </c>
      <c r="C779" s="46">
        <v>33960</v>
      </c>
      <c r="D779" s="47">
        <v>34076</v>
      </c>
      <c r="E779" s="42">
        <f>666711+517</f>
        <v>667228</v>
      </c>
      <c r="F779" s="48">
        <v>1795004.69</v>
      </c>
      <c r="G779" s="48">
        <f>13689167.54+57.04+822.51</f>
        <v>13690047.089999998</v>
      </c>
      <c r="H779" s="44">
        <v>6222</v>
      </c>
      <c r="I779" s="44">
        <v>55208</v>
      </c>
      <c r="J779" s="44">
        <v>75</v>
      </c>
      <c r="K779" s="44">
        <v>518</v>
      </c>
    </row>
    <row r="780" spans="1:11" s="6" customFormat="1" ht="15" x14ac:dyDescent="0.2">
      <c r="A780" s="24"/>
      <c r="B780" s="17" t="s">
        <v>21</v>
      </c>
      <c r="C780" s="46">
        <v>35732</v>
      </c>
      <c r="D780" s="47">
        <v>35404</v>
      </c>
      <c r="E780" s="42">
        <f>664993+519</f>
        <v>665512</v>
      </c>
      <c r="F780" s="48">
        <v>1850436</v>
      </c>
      <c r="G780" s="48">
        <f>12342263+57+823</f>
        <v>12343143</v>
      </c>
      <c r="H780" s="44">
        <v>5243</v>
      </c>
      <c r="I780" s="44">
        <v>49405</v>
      </c>
      <c r="J780" s="44">
        <v>72</v>
      </c>
      <c r="K780" s="44">
        <v>462</v>
      </c>
    </row>
    <row r="781" spans="1:11" s="6" customFormat="1" ht="15" x14ac:dyDescent="0.2">
      <c r="A781" s="24"/>
      <c r="B781" s="17" t="s">
        <v>22</v>
      </c>
      <c r="C781" s="46">
        <v>36494</v>
      </c>
      <c r="D781" s="47">
        <v>35252</v>
      </c>
      <c r="E781" s="42">
        <f>665825+549</f>
        <v>666374</v>
      </c>
      <c r="F781" s="43">
        <v>1863495</v>
      </c>
      <c r="G781" s="43">
        <f>11938402+57+383</f>
        <v>11938842</v>
      </c>
      <c r="H781" s="44">
        <v>6005</v>
      </c>
      <c r="I781" s="44">
        <v>52587</v>
      </c>
      <c r="J781" s="44">
        <v>108</v>
      </c>
      <c r="K781" s="44">
        <v>514</v>
      </c>
    </row>
    <row r="782" spans="1:11" ht="15.75" x14ac:dyDescent="0.25">
      <c r="A782" s="89" t="s">
        <v>114</v>
      </c>
      <c r="B782" s="17"/>
      <c r="C782" s="18"/>
      <c r="D782" s="18"/>
      <c r="E782" s="18"/>
      <c r="F782" s="18"/>
      <c r="G782" s="18"/>
      <c r="H782" s="18"/>
      <c r="I782" s="18"/>
      <c r="J782" s="18"/>
      <c r="K782" s="18"/>
    </row>
    <row r="783" spans="1:11" ht="27.75" x14ac:dyDescent="0.55000000000000004">
      <c r="A783" s="82"/>
      <c r="B783" s="16"/>
      <c r="C783" s="18"/>
      <c r="D783" s="105" t="s">
        <v>158</v>
      </c>
      <c r="E783" s="105"/>
      <c r="F783" s="105" t="s">
        <v>159</v>
      </c>
      <c r="G783" s="105"/>
      <c r="H783" s="105" t="s">
        <v>105</v>
      </c>
      <c r="I783" s="105"/>
      <c r="J783" s="105" t="s">
        <v>106</v>
      </c>
      <c r="K783" s="105"/>
    </row>
    <row r="784" spans="1:11" ht="15.75" x14ac:dyDescent="0.25">
      <c r="A784" s="21" t="s">
        <v>8</v>
      </c>
      <c r="B784" s="16" t="s">
        <v>32</v>
      </c>
      <c r="C784" s="40" t="s">
        <v>107</v>
      </c>
      <c r="D784" s="40" t="s">
        <v>108</v>
      </c>
      <c r="E784" s="40" t="s">
        <v>109</v>
      </c>
      <c r="F784" s="40" t="s">
        <v>108</v>
      </c>
      <c r="G784" s="40" t="s">
        <v>109</v>
      </c>
      <c r="H784" s="40" t="s">
        <v>108</v>
      </c>
      <c r="I784" s="40" t="s">
        <v>109</v>
      </c>
      <c r="J784" s="40" t="s">
        <v>108</v>
      </c>
      <c r="K784" s="40" t="s">
        <v>109</v>
      </c>
    </row>
    <row r="785" spans="1:11" ht="15" x14ac:dyDescent="0.2">
      <c r="A785" s="24"/>
      <c r="B785" s="17"/>
      <c r="C785" s="46"/>
      <c r="D785" s="47"/>
      <c r="E785" s="42"/>
      <c r="F785" s="43"/>
      <c r="G785" s="43"/>
      <c r="H785" s="44"/>
      <c r="I785" s="44"/>
      <c r="J785" s="44"/>
      <c r="K785" s="44"/>
    </row>
    <row r="786" spans="1:11" ht="15.75" x14ac:dyDescent="0.25">
      <c r="A786" s="24" t="s">
        <v>19</v>
      </c>
      <c r="B786" s="16" t="s">
        <v>64</v>
      </c>
      <c r="C786" s="46"/>
      <c r="D786" s="47"/>
      <c r="E786" s="42"/>
      <c r="F786" s="48"/>
      <c r="G786" s="48"/>
      <c r="H786" s="44"/>
      <c r="I786" s="44"/>
      <c r="J786" s="44"/>
      <c r="K786" s="44"/>
    </row>
    <row r="787" spans="1:11" s="6" customFormat="1" ht="15" x14ac:dyDescent="0.2">
      <c r="A787" s="24">
        <v>2010</v>
      </c>
      <c r="B787" s="17" t="s">
        <v>24</v>
      </c>
      <c r="C787" s="46">
        <v>33960</v>
      </c>
      <c r="D787" s="47">
        <v>34894</v>
      </c>
      <c r="E787" s="42">
        <f>666696+575</f>
        <v>667271</v>
      </c>
      <c r="F787" s="48">
        <v>1880340</v>
      </c>
      <c r="G787" s="48">
        <f>11719704+57+383</f>
        <v>11720144</v>
      </c>
      <c r="H787" s="44">
        <v>5418</v>
      </c>
      <c r="I787" s="44">
        <v>49379</v>
      </c>
      <c r="J787" s="44">
        <v>84</v>
      </c>
      <c r="K787" s="44">
        <v>365</v>
      </c>
    </row>
    <row r="788" spans="1:11" s="6" customFormat="1" ht="15" x14ac:dyDescent="0.2">
      <c r="A788" s="24"/>
      <c r="B788" s="17" t="s">
        <v>25</v>
      </c>
      <c r="C788" s="46">
        <v>35732</v>
      </c>
      <c r="D788" s="47">
        <v>30755</v>
      </c>
      <c r="E788" s="42">
        <f>670980+593</f>
        <v>671573</v>
      </c>
      <c r="F788" s="48">
        <v>1945834</v>
      </c>
      <c r="G788" s="48">
        <f>15673689+57+512</f>
        <v>15674258</v>
      </c>
      <c r="H788" s="44">
        <v>6717</v>
      </c>
      <c r="I788" s="44">
        <v>62164</v>
      </c>
      <c r="J788" s="44">
        <v>126</v>
      </c>
      <c r="K788" s="44">
        <v>616</v>
      </c>
    </row>
    <row r="789" spans="1:11" s="6" customFormat="1" ht="15" x14ac:dyDescent="0.2">
      <c r="A789" s="24"/>
      <c r="B789" s="17" t="s">
        <v>11</v>
      </c>
      <c r="C789" s="46">
        <v>36494</v>
      </c>
      <c r="D789" s="47">
        <v>30708</v>
      </c>
      <c r="E789" s="42">
        <f>671173+607</f>
        <v>671780</v>
      </c>
      <c r="F789" s="43">
        <v>2323449</v>
      </c>
      <c r="G789" s="43">
        <f>20419184+57+512</f>
        <v>20419753</v>
      </c>
      <c r="H789" s="44">
        <v>7125</v>
      </c>
      <c r="I789" s="44">
        <v>69069</v>
      </c>
      <c r="J789" s="44">
        <v>62</v>
      </c>
      <c r="K789" s="44">
        <v>333</v>
      </c>
    </row>
    <row r="790" spans="1:11" ht="18" customHeight="1" x14ac:dyDescent="0.2">
      <c r="A790" s="24"/>
      <c r="B790" s="17"/>
      <c r="C790" s="46"/>
      <c r="D790" s="47"/>
      <c r="E790" s="42"/>
      <c r="F790" s="43"/>
      <c r="G790" s="43"/>
      <c r="H790" s="44"/>
      <c r="I790" s="44"/>
      <c r="J790" s="44"/>
      <c r="K790" s="44"/>
    </row>
    <row r="791" spans="1:11" ht="15.75" x14ac:dyDescent="0.25">
      <c r="A791" s="24" t="s">
        <v>19</v>
      </c>
      <c r="B791" s="16" t="s">
        <v>65</v>
      </c>
      <c r="C791" s="46"/>
      <c r="D791" s="47"/>
      <c r="E791" s="42"/>
      <c r="F791" s="48"/>
      <c r="G791" s="48"/>
      <c r="H791" s="44"/>
      <c r="I791" s="44"/>
      <c r="J791" s="44"/>
      <c r="K791" s="44"/>
    </row>
    <row r="792" spans="1:11" s="6" customFormat="1" ht="15" x14ac:dyDescent="0.2">
      <c r="A792" s="24" t="s">
        <v>19</v>
      </c>
      <c r="B792" s="17" t="s">
        <v>12</v>
      </c>
      <c r="C792" s="46">
        <v>31404</v>
      </c>
      <c r="D792" s="47">
        <v>30218</v>
      </c>
      <c r="E792" s="42">
        <f>671824+644</f>
        <v>672468</v>
      </c>
      <c r="F792" s="48">
        <v>2290070</v>
      </c>
      <c r="G792" s="48">
        <f>20890482+57+512</f>
        <v>20891051</v>
      </c>
      <c r="H792" s="44">
        <v>6325</v>
      </c>
      <c r="I792" s="44">
        <v>64412</v>
      </c>
      <c r="J792" s="44">
        <v>132</v>
      </c>
      <c r="K792" s="44">
        <v>560</v>
      </c>
    </row>
    <row r="793" spans="1:11" s="6" customFormat="1" ht="15" x14ac:dyDescent="0.2">
      <c r="A793" s="24"/>
      <c r="B793" s="17" t="s">
        <v>13</v>
      </c>
      <c r="C793" s="46">
        <v>30918</v>
      </c>
      <c r="D793" s="47">
        <v>29682</v>
      </c>
      <c r="E793" s="42">
        <f>673899+664</f>
        <v>674563</v>
      </c>
      <c r="F793" s="48">
        <v>2255131</v>
      </c>
      <c r="G793" s="48">
        <f>19250256+57+817</f>
        <v>19251130</v>
      </c>
      <c r="H793" s="44">
        <v>5162</v>
      </c>
      <c r="I793" s="44">
        <v>50807</v>
      </c>
      <c r="J793" s="44">
        <v>59</v>
      </c>
      <c r="K793" s="44">
        <v>432</v>
      </c>
    </row>
    <row r="794" spans="1:11" s="6" customFormat="1" ht="15" x14ac:dyDescent="0.2">
      <c r="A794" s="24"/>
      <c r="B794" s="17" t="s">
        <v>14</v>
      </c>
      <c r="C794" s="46">
        <v>30313</v>
      </c>
      <c r="D794" s="47">
        <v>29287</v>
      </c>
      <c r="E794" s="42">
        <f>674840+687</f>
        <v>675527</v>
      </c>
      <c r="F794" s="43">
        <v>2155162</v>
      </c>
      <c r="G794" s="43">
        <f>18250703+57+512</f>
        <v>18251272</v>
      </c>
      <c r="H794" s="44">
        <v>5210</v>
      </c>
      <c r="I794" s="44">
        <v>51909</v>
      </c>
      <c r="J794" s="44">
        <v>27</v>
      </c>
      <c r="K794" s="44">
        <v>209</v>
      </c>
    </row>
    <row r="795" spans="1:11" ht="15" x14ac:dyDescent="0.2">
      <c r="A795" s="24"/>
      <c r="B795" s="17"/>
      <c r="C795" s="43"/>
      <c r="D795" s="43"/>
      <c r="E795" s="44"/>
      <c r="F795" s="44"/>
      <c r="G795" s="43"/>
      <c r="H795" s="43"/>
      <c r="I795" s="43"/>
      <c r="J795" s="43"/>
      <c r="K795" s="18"/>
    </row>
    <row r="796" spans="1:11" ht="15.75" x14ac:dyDescent="0.25">
      <c r="A796" s="24" t="s">
        <v>19</v>
      </c>
      <c r="B796" s="16" t="s">
        <v>66</v>
      </c>
      <c r="C796" s="46"/>
      <c r="D796" s="47"/>
      <c r="E796" s="42"/>
      <c r="F796" s="48"/>
      <c r="G796" s="48"/>
      <c r="H796" s="44"/>
      <c r="I796" s="44"/>
      <c r="J796" s="44"/>
      <c r="K796" s="44"/>
    </row>
    <row r="797" spans="1:11" s="6" customFormat="1" ht="15" x14ac:dyDescent="0.2">
      <c r="A797" s="24">
        <v>2011</v>
      </c>
      <c r="B797" s="17" t="s">
        <v>15</v>
      </c>
      <c r="C797" s="46">
        <v>29860</v>
      </c>
      <c r="D797" s="47">
        <v>28856</v>
      </c>
      <c r="E797" s="42">
        <f>676105+709</f>
        <v>676814</v>
      </c>
      <c r="F797" s="48">
        <v>1953360.1</v>
      </c>
      <c r="G797" s="48">
        <f>16421418+57+383</f>
        <v>16421858</v>
      </c>
      <c r="H797" s="44">
        <v>5767</v>
      </c>
      <c r="I797" s="44">
        <v>60903</v>
      </c>
      <c r="J797" s="44">
        <v>44</v>
      </c>
      <c r="K797" s="44">
        <v>533</v>
      </c>
    </row>
    <row r="798" spans="1:11" s="6" customFormat="1" ht="15" x14ac:dyDescent="0.2">
      <c r="A798" s="24"/>
      <c r="B798" s="17" t="s">
        <v>16</v>
      </c>
      <c r="C798" s="46">
        <v>29629</v>
      </c>
      <c r="D798" s="47">
        <v>28484</v>
      </c>
      <c r="E798" s="42">
        <f>676882+740</f>
        <v>677622</v>
      </c>
      <c r="F798" s="48">
        <v>1720089</v>
      </c>
      <c r="G798" s="48">
        <f>15664933+57+383</f>
        <v>15665373</v>
      </c>
      <c r="H798" s="44">
        <v>4756</v>
      </c>
      <c r="I798" s="44">
        <v>55737</v>
      </c>
      <c r="J798" s="44">
        <v>47</v>
      </c>
      <c r="K798" s="44">
        <v>463</v>
      </c>
    </row>
    <row r="799" spans="1:11" s="6" customFormat="1" ht="15" x14ac:dyDescent="0.2">
      <c r="A799" s="24"/>
      <c r="B799" s="17" t="s">
        <v>17</v>
      </c>
      <c r="C799" s="46">
        <v>29138</v>
      </c>
      <c r="D799" s="47">
        <v>28084</v>
      </c>
      <c r="E799" s="42">
        <f>677837+752</f>
        <v>678589</v>
      </c>
      <c r="F799" s="43">
        <v>1524369</v>
      </c>
      <c r="G799" s="43">
        <f>14483235+57+383</f>
        <v>14483675</v>
      </c>
      <c r="H799" s="44">
        <v>4643</v>
      </c>
      <c r="I799" s="44">
        <v>58834</v>
      </c>
      <c r="J799" s="44">
        <v>68</v>
      </c>
      <c r="K799" s="44">
        <v>602</v>
      </c>
    </row>
    <row r="800" spans="1:11" ht="15" x14ac:dyDescent="0.2">
      <c r="A800" s="24"/>
      <c r="B800" s="17"/>
      <c r="C800" s="43"/>
      <c r="D800" s="43"/>
      <c r="E800" s="44"/>
      <c r="F800" s="44"/>
      <c r="G800" s="43"/>
      <c r="H800" s="43"/>
      <c r="I800" s="43"/>
      <c r="J800" s="43"/>
      <c r="K800" s="18"/>
    </row>
    <row r="801" spans="1:11" ht="15.75" x14ac:dyDescent="0.25">
      <c r="A801" s="24" t="s">
        <v>19</v>
      </c>
      <c r="B801" s="16" t="s">
        <v>67</v>
      </c>
      <c r="C801" s="46"/>
      <c r="D801" s="47"/>
      <c r="E801" s="42"/>
      <c r="F801" s="48"/>
      <c r="G801" s="48"/>
      <c r="H801" s="44"/>
      <c r="I801" s="44"/>
      <c r="J801" s="44"/>
      <c r="K801" s="44"/>
    </row>
    <row r="802" spans="1:11" s="6" customFormat="1" ht="15" x14ac:dyDescent="0.2">
      <c r="A802" s="24"/>
      <c r="B802" s="17" t="s">
        <v>20</v>
      </c>
      <c r="C802" s="46">
        <v>37135</v>
      </c>
      <c r="D802" s="47">
        <v>39270</v>
      </c>
      <c r="E802" s="42">
        <f>666512+756</f>
        <v>667268</v>
      </c>
      <c r="F802" s="48">
        <v>1857774</v>
      </c>
      <c r="G802" s="48">
        <v>10654710</v>
      </c>
      <c r="H802" s="44">
        <v>6328</v>
      </c>
      <c r="I802" s="44">
        <v>52388</v>
      </c>
      <c r="J802" s="44">
        <v>71</v>
      </c>
      <c r="K802" s="44">
        <v>379</v>
      </c>
    </row>
    <row r="803" spans="1:11" s="6" customFormat="1" ht="15" x14ac:dyDescent="0.2">
      <c r="A803" s="24"/>
      <c r="B803" s="17" t="s">
        <v>21</v>
      </c>
      <c r="C803" s="46">
        <v>40319</v>
      </c>
      <c r="D803" s="47">
        <v>38842</v>
      </c>
      <c r="E803" s="42">
        <f>667316+773</f>
        <v>668089</v>
      </c>
      <c r="F803" s="48">
        <v>2081224</v>
      </c>
      <c r="G803" s="48">
        <f>12003020+57+383</f>
        <v>12003460</v>
      </c>
      <c r="H803" s="44">
        <v>6505</v>
      </c>
      <c r="I803" s="44">
        <v>51537</v>
      </c>
      <c r="J803" s="44">
        <v>117</v>
      </c>
      <c r="K803" s="44">
        <v>478</v>
      </c>
    </row>
    <row r="804" spans="1:11" s="6" customFormat="1" ht="15" x14ac:dyDescent="0.2">
      <c r="A804" s="24"/>
      <c r="B804" s="17" t="s">
        <v>22</v>
      </c>
      <c r="C804" s="46">
        <v>39514</v>
      </c>
      <c r="D804" s="47">
        <v>38228</v>
      </c>
      <c r="E804" s="42">
        <f>666817+795</f>
        <v>667612</v>
      </c>
      <c r="F804" s="43">
        <v>2000083</v>
      </c>
      <c r="G804" s="43">
        <f>10857152+57+383</f>
        <v>10857592</v>
      </c>
      <c r="H804" s="44">
        <v>7439</v>
      </c>
      <c r="I804" s="44">
        <v>53156</v>
      </c>
      <c r="J804" s="44">
        <v>138</v>
      </c>
      <c r="K804" s="44">
        <v>470</v>
      </c>
    </row>
    <row r="805" spans="1:11" ht="15" x14ac:dyDescent="0.2">
      <c r="A805" s="24"/>
      <c r="B805" s="17"/>
      <c r="C805" s="43"/>
      <c r="D805" s="43"/>
      <c r="E805" s="44"/>
      <c r="F805" s="44"/>
      <c r="G805" s="43"/>
      <c r="H805" s="43"/>
      <c r="I805" s="43"/>
      <c r="J805" s="43"/>
      <c r="K805" s="18"/>
    </row>
    <row r="806" spans="1:11" ht="15.75" x14ac:dyDescent="0.25">
      <c r="A806" s="24" t="s">
        <v>19</v>
      </c>
      <c r="B806" s="16" t="s">
        <v>68</v>
      </c>
      <c r="C806" s="46"/>
      <c r="D806" s="47"/>
      <c r="E806" s="42"/>
      <c r="F806" s="48"/>
      <c r="G806" s="48"/>
      <c r="H806" s="44"/>
      <c r="I806" s="44"/>
      <c r="J806" s="44"/>
      <c r="K806" s="44"/>
    </row>
    <row r="807" spans="1:11" s="6" customFormat="1" ht="15" x14ac:dyDescent="0.2">
      <c r="A807" s="24"/>
      <c r="B807" s="17" t="s">
        <v>24</v>
      </c>
      <c r="C807" s="46">
        <v>34697</v>
      </c>
      <c r="D807" s="47">
        <v>30240</v>
      </c>
      <c r="E807" s="42">
        <f>675214+805</f>
        <v>676019</v>
      </c>
      <c r="F807" s="48">
        <v>1779402</v>
      </c>
      <c r="G807" s="48">
        <f>11960964+57+383</f>
        <v>11961404</v>
      </c>
      <c r="H807" s="44">
        <v>5078</v>
      </c>
      <c r="I807" s="44">
        <v>49177</v>
      </c>
      <c r="J807" s="44">
        <v>106</v>
      </c>
      <c r="K807" s="44">
        <v>353</v>
      </c>
    </row>
    <row r="808" spans="1:11" s="6" customFormat="1" ht="15" x14ac:dyDescent="0.2">
      <c r="A808" s="24"/>
      <c r="B808" s="17" t="s">
        <v>25</v>
      </c>
      <c r="C808" s="46">
        <v>30969</v>
      </c>
      <c r="D808" s="47">
        <v>29946</v>
      </c>
      <c r="E808" s="42">
        <f>675803+815</f>
        <v>676618</v>
      </c>
      <c r="F808" s="48">
        <v>1884672</v>
      </c>
      <c r="G808" s="48">
        <f>13594631+57+383</f>
        <v>13595071</v>
      </c>
      <c r="H808" s="44">
        <v>7191</v>
      </c>
      <c r="I808" s="44">
        <v>65334</v>
      </c>
      <c r="J808" s="44">
        <v>147</v>
      </c>
      <c r="K808" s="44">
        <v>697</v>
      </c>
    </row>
    <row r="809" spans="1:11" s="6" customFormat="1" ht="15" x14ac:dyDescent="0.2">
      <c r="A809" s="24"/>
      <c r="B809" s="17" t="s">
        <v>11</v>
      </c>
      <c r="C809" s="46">
        <v>30706</v>
      </c>
      <c r="D809" s="47">
        <v>29543</v>
      </c>
      <c r="E809" s="42">
        <f>676747+836</f>
        <v>677583</v>
      </c>
      <c r="F809" s="43">
        <v>2201151</v>
      </c>
      <c r="G809" s="43">
        <f>18450078+57+383</f>
        <v>18450518</v>
      </c>
      <c r="H809" s="44">
        <v>7049</v>
      </c>
      <c r="I809" s="44">
        <v>66480</v>
      </c>
      <c r="J809" s="44">
        <v>127</v>
      </c>
      <c r="K809" s="44">
        <v>481</v>
      </c>
    </row>
    <row r="810" spans="1:11" ht="15" x14ac:dyDescent="0.2">
      <c r="A810" s="24"/>
      <c r="B810" s="17"/>
      <c r="C810" s="43"/>
      <c r="D810" s="43"/>
      <c r="E810" s="44"/>
      <c r="F810" s="44"/>
      <c r="G810" s="43"/>
      <c r="H810" s="43"/>
      <c r="I810" s="43"/>
      <c r="J810" s="43"/>
      <c r="K810" s="18"/>
    </row>
    <row r="811" spans="1:11" ht="15.75" x14ac:dyDescent="0.25">
      <c r="A811" s="24" t="s">
        <v>19</v>
      </c>
      <c r="B811" s="16" t="s">
        <v>69</v>
      </c>
      <c r="C811" s="46"/>
      <c r="D811" s="47"/>
      <c r="E811" s="42"/>
      <c r="F811" s="48"/>
      <c r="G811" s="48"/>
      <c r="H811" s="44"/>
      <c r="I811" s="44"/>
      <c r="J811" s="44"/>
      <c r="K811" s="44"/>
    </row>
    <row r="812" spans="1:11" s="6" customFormat="1" ht="15" x14ac:dyDescent="0.2">
      <c r="A812" s="24"/>
      <c r="B812" s="17" t="s">
        <v>12</v>
      </c>
      <c r="C812" s="46">
        <v>30233</v>
      </c>
      <c r="D812" s="47">
        <v>29046</v>
      </c>
      <c r="E812" s="42">
        <f>677400+859</f>
        <v>678259</v>
      </c>
      <c r="F812" s="48">
        <v>2353044</v>
      </c>
      <c r="G812" s="48">
        <f>20971346+57+383</f>
        <v>20971786</v>
      </c>
      <c r="H812" s="44">
        <v>7793</v>
      </c>
      <c r="I812" s="44">
        <v>66747</v>
      </c>
      <c r="J812" s="44">
        <v>108</v>
      </c>
      <c r="K812" s="44">
        <v>523</v>
      </c>
    </row>
    <row r="813" spans="1:11" s="6" customFormat="1" ht="15" x14ac:dyDescent="0.2">
      <c r="A813" s="24"/>
      <c r="B813" s="17" t="s">
        <v>13</v>
      </c>
      <c r="C813" s="46">
        <v>30296</v>
      </c>
      <c r="D813" s="47">
        <v>29649</v>
      </c>
      <c r="E813" s="42">
        <f>678247+899</f>
        <v>679146</v>
      </c>
      <c r="F813" s="48">
        <v>2353044</v>
      </c>
      <c r="G813" s="48">
        <f>20971346+57+383</f>
        <v>20971786</v>
      </c>
      <c r="H813" s="44">
        <v>6060</v>
      </c>
      <c r="I813" s="44">
        <v>51629</v>
      </c>
      <c r="J813" s="44">
        <v>61</v>
      </c>
      <c r="K813" s="44">
        <v>393</v>
      </c>
    </row>
    <row r="814" spans="1:11" s="6" customFormat="1" ht="15" x14ac:dyDescent="0.2">
      <c r="A814" s="24"/>
      <c r="B814" s="17" t="s">
        <v>14</v>
      </c>
      <c r="C814" s="46">
        <v>31132</v>
      </c>
      <c r="D814" s="47">
        <v>30698</v>
      </c>
      <c r="E814" s="42">
        <f>677989+934</f>
        <v>678923</v>
      </c>
      <c r="F814" s="43">
        <v>2124897</v>
      </c>
      <c r="G814" s="43">
        <f>18050407+57+405</f>
        <v>18050869</v>
      </c>
      <c r="H814" s="44">
        <v>5894</v>
      </c>
      <c r="I814" s="44">
        <v>53756</v>
      </c>
      <c r="J814" s="44">
        <v>32</v>
      </c>
      <c r="K814" s="44">
        <v>182</v>
      </c>
    </row>
    <row r="815" spans="1:11" s="6" customFormat="1" ht="15" x14ac:dyDescent="0.2">
      <c r="A815" s="24"/>
      <c r="B815" s="17"/>
      <c r="C815" s="46"/>
      <c r="D815" s="47"/>
      <c r="E815" s="42"/>
      <c r="F815" s="43"/>
      <c r="G815" s="43"/>
      <c r="H815" s="44"/>
      <c r="I815" s="44"/>
      <c r="J815" s="44"/>
      <c r="K815" s="44"/>
    </row>
    <row r="816" spans="1:11" ht="15.75" x14ac:dyDescent="0.25">
      <c r="A816" s="24" t="s">
        <v>19</v>
      </c>
      <c r="B816" s="16" t="s">
        <v>70</v>
      </c>
      <c r="C816" s="46"/>
      <c r="D816" s="47"/>
      <c r="E816" s="42"/>
      <c r="F816" s="48"/>
      <c r="G816" s="48"/>
      <c r="H816" s="44"/>
      <c r="I816" s="44"/>
      <c r="J816" s="44"/>
      <c r="K816" s="44"/>
    </row>
    <row r="817" spans="1:11" s="6" customFormat="1" ht="15" x14ac:dyDescent="0.2">
      <c r="A817" s="24">
        <v>2012</v>
      </c>
      <c r="B817" s="17" t="s">
        <v>15</v>
      </c>
      <c r="C817" s="46">
        <v>32452</v>
      </c>
      <c r="D817" s="47">
        <v>32388</v>
      </c>
      <c r="E817" s="42">
        <f>676959+983</f>
        <v>677942</v>
      </c>
      <c r="F817" s="48">
        <v>2234905</v>
      </c>
      <c r="G817" s="48">
        <f>16891863+57+405</f>
        <v>16892325</v>
      </c>
      <c r="H817" s="44">
        <v>7891</v>
      </c>
      <c r="I817" s="44">
        <v>59476</v>
      </c>
      <c r="J817" s="44">
        <v>79</v>
      </c>
      <c r="K817" s="44">
        <v>525</v>
      </c>
    </row>
    <row r="818" spans="1:11" s="6" customFormat="1" ht="15" x14ac:dyDescent="0.2">
      <c r="A818" s="24"/>
      <c r="B818" s="17" t="s">
        <v>16</v>
      </c>
      <c r="C818" s="46">
        <v>33941</v>
      </c>
      <c r="D818" s="47">
        <v>33795</v>
      </c>
      <c r="E818" s="42">
        <f>676548+1032</f>
        <v>677580</v>
      </c>
      <c r="F818" s="48">
        <v>2190066</v>
      </c>
      <c r="G818" s="48">
        <f>16237837+57+405</f>
        <v>16238299</v>
      </c>
      <c r="H818" s="44">
        <v>6736</v>
      </c>
      <c r="I818" s="44">
        <v>51528</v>
      </c>
      <c r="J818" s="44">
        <v>81</v>
      </c>
      <c r="K818" s="44">
        <v>490</v>
      </c>
    </row>
    <row r="819" spans="1:11" s="6" customFormat="1" ht="15" x14ac:dyDescent="0.2">
      <c r="A819" s="24"/>
      <c r="B819" s="17" t="s">
        <v>17</v>
      </c>
      <c r="C819" s="46">
        <v>35519</v>
      </c>
      <c r="D819" s="47">
        <v>34934</v>
      </c>
      <c r="E819" s="42">
        <f>675975+1074</f>
        <v>677049</v>
      </c>
      <c r="F819" s="43">
        <v>2147408</v>
      </c>
      <c r="G819" s="43">
        <f>14979108+57+405</f>
        <v>14979570</v>
      </c>
      <c r="H819" s="44">
        <v>6074</v>
      </c>
      <c r="I819" s="44">
        <v>49962</v>
      </c>
      <c r="J819" s="44">
        <v>88</v>
      </c>
      <c r="K819" s="44">
        <v>427</v>
      </c>
    </row>
    <row r="820" spans="1:11" s="6" customFormat="1" ht="15" x14ac:dyDescent="0.2">
      <c r="A820" s="24"/>
      <c r="B820" s="17"/>
      <c r="C820" s="46"/>
      <c r="D820" s="47"/>
      <c r="E820" s="42"/>
      <c r="F820" s="43"/>
      <c r="G820" s="43"/>
      <c r="H820" s="44"/>
      <c r="I820" s="44"/>
      <c r="J820" s="44"/>
      <c r="K820" s="44"/>
    </row>
    <row r="821" spans="1:11" ht="15.75" x14ac:dyDescent="0.25">
      <c r="A821" s="24" t="s">
        <v>19</v>
      </c>
      <c r="B821" s="16" t="s">
        <v>71</v>
      </c>
      <c r="C821" s="46"/>
      <c r="D821" s="47"/>
      <c r="E821" s="42"/>
      <c r="F821" s="48"/>
      <c r="G821" s="48"/>
      <c r="H821" s="44"/>
      <c r="I821" s="44"/>
      <c r="J821" s="44"/>
      <c r="K821" s="44"/>
    </row>
    <row r="822" spans="1:11" s="6" customFormat="1" ht="15" x14ac:dyDescent="0.2">
      <c r="A822" s="24" t="s">
        <v>19</v>
      </c>
      <c r="B822" s="17" t="s">
        <v>20</v>
      </c>
      <c r="C822" s="46">
        <v>36407</v>
      </c>
      <c r="D822" s="47">
        <v>35460</v>
      </c>
      <c r="E822" s="42">
        <f>675971+1103</f>
        <v>677074</v>
      </c>
      <c r="F822" s="48">
        <v>2148573</v>
      </c>
      <c r="G822" s="48">
        <f>14523918+57+405</f>
        <v>14524380</v>
      </c>
      <c r="H822" s="44">
        <v>6653</v>
      </c>
      <c r="I822" s="44">
        <v>49103</v>
      </c>
      <c r="J822" s="44">
        <v>105</v>
      </c>
      <c r="K822" s="44">
        <v>461</v>
      </c>
    </row>
    <row r="823" spans="1:11" s="6" customFormat="1" ht="15" x14ac:dyDescent="0.2">
      <c r="A823" s="24"/>
      <c r="B823" s="17" t="s">
        <v>21</v>
      </c>
      <c r="C823" s="46">
        <v>36620</v>
      </c>
      <c r="D823" s="47">
        <v>35693</v>
      </c>
      <c r="E823" s="42">
        <f>676020+1129</f>
        <v>677149</v>
      </c>
      <c r="F823" s="48">
        <v>2032649</v>
      </c>
      <c r="G823" s="48">
        <f>12236080+57+383</f>
        <v>12236520</v>
      </c>
      <c r="H823" s="44">
        <v>6670</v>
      </c>
      <c r="I823" s="44">
        <v>48944</v>
      </c>
      <c r="J823" s="44">
        <v>138</v>
      </c>
      <c r="K823" s="44">
        <v>484</v>
      </c>
    </row>
    <row r="824" spans="1:11" s="6" customFormat="1" ht="15" x14ac:dyDescent="0.2">
      <c r="A824" s="24"/>
      <c r="B824" s="17" t="s">
        <v>22</v>
      </c>
      <c r="C824" s="46">
        <v>36507</v>
      </c>
      <c r="D824" s="47">
        <v>35182</v>
      </c>
      <c r="E824" s="42">
        <f>676565+1149</f>
        <v>677714</v>
      </c>
      <c r="F824" s="43">
        <v>1883095</v>
      </c>
      <c r="G824" s="43">
        <f>10857577+57+383</f>
        <v>10858017</v>
      </c>
      <c r="H824" s="44">
        <v>6300</v>
      </c>
      <c r="I824" s="44">
        <v>47093</v>
      </c>
      <c r="J824" s="44">
        <v>116</v>
      </c>
      <c r="K824" s="44">
        <v>470</v>
      </c>
    </row>
    <row r="825" spans="1:11" s="6" customFormat="1" ht="15" x14ac:dyDescent="0.2">
      <c r="A825" s="24"/>
      <c r="B825" s="17"/>
      <c r="C825" s="46"/>
      <c r="D825" s="47"/>
      <c r="E825" s="42"/>
      <c r="F825" s="43"/>
      <c r="G825" s="43"/>
      <c r="H825" s="44"/>
      <c r="I825" s="44"/>
      <c r="J825" s="44"/>
      <c r="K825" s="44"/>
    </row>
    <row r="826" spans="1:11" ht="15.75" x14ac:dyDescent="0.25">
      <c r="A826" s="24" t="s">
        <v>19</v>
      </c>
      <c r="B826" s="16" t="s">
        <v>72</v>
      </c>
      <c r="C826" s="46"/>
      <c r="D826" s="47"/>
      <c r="E826" s="42"/>
      <c r="F826" s="48"/>
      <c r="G826" s="48"/>
      <c r="H826" s="44"/>
      <c r="I826" s="44"/>
      <c r="J826" s="44"/>
      <c r="K826" s="44"/>
    </row>
    <row r="827" spans="1:11" s="6" customFormat="1" ht="15" x14ac:dyDescent="0.2">
      <c r="A827" s="24" t="s">
        <v>19</v>
      </c>
      <c r="B827" s="17" t="s">
        <v>24</v>
      </c>
      <c r="C827" s="46">
        <v>35904</v>
      </c>
      <c r="D827" s="47">
        <v>34671</v>
      </c>
      <c r="E827" s="42">
        <f>679203+1172</f>
        <v>680375</v>
      </c>
      <c r="F827" s="48">
        <v>1883095</v>
      </c>
      <c r="G827" s="48">
        <v>10858017</v>
      </c>
      <c r="H827" s="44">
        <v>4798</v>
      </c>
      <c r="I827" s="44">
        <v>49579</v>
      </c>
      <c r="J827" s="44">
        <v>127</v>
      </c>
      <c r="K827" s="44">
        <v>436</v>
      </c>
    </row>
    <row r="828" spans="1:11" s="6" customFormat="1" ht="15" x14ac:dyDescent="0.2">
      <c r="A828" s="24"/>
      <c r="B828" s="17" t="s">
        <v>25</v>
      </c>
      <c r="C828" s="46">
        <v>29882</v>
      </c>
      <c r="D828" s="47">
        <v>26381</v>
      </c>
      <c r="E828" s="42">
        <f>687312+1210</f>
        <v>688522</v>
      </c>
      <c r="F828" s="48">
        <v>1877898</v>
      </c>
      <c r="G828" s="48">
        <f>17012528+57+383</f>
        <v>17012968</v>
      </c>
      <c r="H828" s="44">
        <v>6415</v>
      </c>
      <c r="I828" s="44">
        <v>61532</v>
      </c>
      <c r="J828" s="44">
        <v>128</v>
      </c>
      <c r="K828" s="44">
        <v>557</v>
      </c>
    </row>
    <row r="829" spans="1:11" s="6" customFormat="1" ht="18" customHeight="1" x14ac:dyDescent="0.2">
      <c r="A829" s="24"/>
      <c r="B829" s="17" t="s">
        <v>11</v>
      </c>
      <c r="C829" s="46">
        <v>27127</v>
      </c>
      <c r="D829" s="47">
        <v>26010</v>
      </c>
      <c r="E829" s="42">
        <f>688301+1252</f>
        <v>689553</v>
      </c>
      <c r="F829" s="43">
        <v>2301753</v>
      </c>
      <c r="G829" s="43">
        <f>26412403+57+383</f>
        <v>26412843</v>
      </c>
      <c r="H829" s="44">
        <v>5543</v>
      </c>
      <c r="I829" s="44">
        <v>58831</v>
      </c>
      <c r="J829" s="44">
        <v>109</v>
      </c>
      <c r="K829" s="44">
        <v>505</v>
      </c>
    </row>
    <row r="830" spans="1:11" s="6" customFormat="1" ht="15" x14ac:dyDescent="0.2">
      <c r="A830" s="24"/>
      <c r="B830" s="17"/>
      <c r="C830" s="46"/>
      <c r="D830" s="47"/>
      <c r="E830" s="42"/>
      <c r="F830" s="43"/>
      <c r="G830" s="43"/>
      <c r="H830" s="44"/>
      <c r="I830" s="44"/>
      <c r="J830" s="44"/>
      <c r="K830" s="44"/>
    </row>
    <row r="831" spans="1:11" ht="15.75" x14ac:dyDescent="0.25">
      <c r="A831" s="24" t="s">
        <v>19</v>
      </c>
      <c r="B831" s="16" t="s">
        <v>73</v>
      </c>
      <c r="C831" s="46"/>
      <c r="D831" s="47"/>
      <c r="E831" s="42"/>
      <c r="F831" s="48"/>
      <c r="G831" s="48"/>
      <c r="H831" s="44"/>
      <c r="I831" s="44"/>
      <c r="J831" s="44"/>
      <c r="K831" s="44"/>
    </row>
    <row r="832" spans="1:11" s="6" customFormat="1" ht="15" x14ac:dyDescent="0.2">
      <c r="A832" s="24" t="s">
        <v>19</v>
      </c>
      <c r="B832" s="17" t="s">
        <v>12</v>
      </c>
      <c r="C832" s="46">
        <v>26772</v>
      </c>
      <c r="D832" s="47">
        <v>25621</v>
      </c>
      <c r="E832" s="42">
        <f>689823+1284</f>
        <v>691107</v>
      </c>
      <c r="F832" s="48">
        <v>2389413</v>
      </c>
      <c r="G832" s="48">
        <v>30930638</v>
      </c>
      <c r="H832" s="44">
        <v>6299</v>
      </c>
      <c r="I832" s="44">
        <v>56819</v>
      </c>
      <c r="J832" s="44">
        <v>142</v>
      </c>
      <c r="K832" s="44">
        <v>692</v>
      </c>
    </row>
    <row r="833" spans="1:11" s="6" customFormat="1" ht="15" x14ac:dyDescent="0.2">
      <c r="A833" s="24"/>
      <c r="B833" s="17" t="s">
        <v>13</v>
      </c>
      <c r="C833" s="46">
        <v>26588</v>
      </c>
      <c r="D833" s="47">
        <v>25884</v>
      </c>
      <c r="E833" s="42">
        <f>691575+1308</f>
        <v>692883</v>
      </c>
      <c r="F833" s="48">
        <v>2232436</v>
      </c>
      <c r="G833" s="48">
        <v>26697286</v>
      </c>
      <c r="H833" s="44">
        <v>4639</v>
      </c>
      <c r="I833" s="44">
        <v>42716</v>
      </c>
      <c r="J833" s="44">
        <v>68</v>
      </c>
      <c r="K833" s="44">
        <v>381</v>
      </c>
    </row>
    <row r="834" spans="1:11" s="6" customFormat="1" ht="15" x14ac:dyDescent="0.2">
      <c r="A834" s="24"/>
      <c r="B834" s="17" t="s">
        <v>14</v>
      </c>
      <c r="C834" s="46">
        <v>27078</v>
      </c>
      <c r="D834" s="47">
        <v>26755</v>
      </c>
      <c r="E834" s="42">
        <f>691562+1350</f>
        <v>692912</v>
      </c>
      <c r="F834" s="43">
        <v>2102984</v>
      </c>
      <c r="G834" s="43">
        <v>23362353</v>
      </c>
      <c r="H834" s="44">
        <v>4768</v>
      </c>
      <c r="I834" s="44">
        <v>42647</v>
      </c>
      <c r="J834" s="44">
        <v>26</v>
      </c>
      <c r="K834" s="44">
        <v>197</v>
      </c>
    </row>
    <row r="835" spans="1:11" ht="15.75" x14ac:dyDescent="0.25">
      <c r="A835" s="89" t="s">
        <v>114</v>
      </c>
      <c r="B835" s="17"/>
      <c r="C835" s="18"/>
      <c r="D835" s="18"/>
      <c r="E835" s="18"/>
      <c r="F835" s="18"/>
      <c r="G835" s="18"/>
      <c r="H835" s="18"/>
      <c r="I835" s="18"/>
      <c r="J835" s="18"/>
      <c r="K835" s="18"/>
    </row>
    <row r="836" spans="1:11" ht="27.75" x14ac:dyDescent="0.55000000000000004">
      <c r="A836" s="82"/>
      <c r="B836" s="16"/>
      <c r="C836" s="18"/>
      <c r="D836" s="105" t="s">
        <v>158</v>
      </c>
      <c r="E836" s="105"/>
      <c r="F836" s="105" t="s">
        <v>159</v>
      </c>
      <c r="G836" s="105"/>
      <c r="H836" s="105" t="s">
        <v>105</v>
      </c>
      <c r="I836" s="105"/>
      <c r="J836" s="105" t="s">
        <v>106</v>
      </c>
      <c r="K836" s="105"/>
    </row>
    <row r="837" spans="1:11" ht="15.75" x14ac:dyDescent="0.25">
      <c r="A837" s="21" t="s">
        <v>8</v>
      </c>
      <c r="B837" s="16" t="s">
        <v>32</v>
      </c>
      <c r="C837" s="40" t="s">
        <v>107</v>
      </c>
      <c r="D837" s="40" t="s">
        <v>108</v>
      </c>
      <c r="E837" s="40" t="s">
        <v>109</v>
      </c>
      <c r="F837" s="40" t="s">
        <v>108</v>
      </c>
      <c r="G837" s="40" t="s">
        <v>109</v>
      </c>
      <c r="H837" s="40" t="s">
        <v>108</v>
      </c>
      <c r="I837" s="40" t="s">
        <v>109</v>
      </c>
      <c r="J837" s="40" t="s">
        <v>108</v>
      </c>
      <c r="K837" s="40" t="s">
        <v>109</v>
      </c>
    </row>
    <row r="838" spans="1:11" s="6" customFormat="1" ht="15" x14ac:dyDescent="0.2">
      <c r="A838" s="24"/>
      <c r="B838" s="17"/>
      <c r="C838" s="46"/>
      <c r="D838" s="47"/>
      <c r="E838" s="42"/>
      <c r="F838" s="43"/>
      <c r="G838" s="43"/>
      <c r="H838" s="44"/>
      <c r="I838" s="44"/>
      <c r="J838" s="44"/>
      <c r="K838" s="44"/>
    </row>
    <row r="839" spans="1:11" ht="15.75" x14ac:dyDescent="0.25">
      <c r="A839" s="24" t="s">
        <v>19</v>
      </c>
      <c r="B839" s="16" t="s">
        <v>74</v>
      </c>
      <c r="C839" s="46"/>
      <c r="D839" s="47"/>
      <c r="E839" s="42"/>
      <c r="F839" s="48"/>
      <c r="G839" s="48"/>
      <c r="H839" s="44"/>
      <c r="I839" s="44"/>
      <c r="J839" s="44"/>
      <c r="K839" s="44"/>
    </row>
    <row r="840" spans="1:11" s="6" customFormat="1" ht="15" x14ac:dyDescent="0.2">
      <c r="A840" s="24">
        <v>2013</v>
      </c>
      <c r="B840" s="17" t="s">
        <v>15</v>
      </c>
      <c r="C840" s="46">
        <v>27840</v>
      </c>
      <c r="D840" s="47">
        <v>27601</v>
      </c>
      <c r="E840" s="42">
        <f>692104+1379</f>
        <v>693483</v>
      </c>
      <c r="F840" s="48">
        <v>2110033</v>
      </c>
      <c r="G840" s="48">
        <v>22246022</v>
      </c>
      <c r="H840" s="44">
        <v>6988</v>
      </c>
      <c r="I840" s="44">
        <v>49737</v>
      </c>
      <c r="J840" s="44">
        <v>55</v>
      </c>
      <c r="K840" s="44">
        <v>422</v>
      </c>
    </row>
    <row r="841" spans="1:11" s="6" customFormat="1" ht="15" x14ac:dyDescent="0.2">
      <c r="A841" s="24"/>
      <c r="B841" s="17" t="s">
        <v>16</v>
      </c>
      <c r="C841" s="46">
        <v>29223</v>
      </c>
      <c r="D841" s="47">
        <v>29089</v>
      </c>
      <c r="E841" s="42">
        <f>691410+1389</f>
        <v>692799</v>
      </c>
      <c r="F841" s="48">
        <v>2072665</v>
      </c>
      <c r="G841" s="48">
        <v>21703687</v>
      </c>
      <c r="H841" s="44">
        <v>5528</v>
      </c>
      <c r="I841" s="44">
        <v>46794</v>
      </c>
      <c r="J841" s="44">
        <v>66</v>
      </c>
      <c r="K841" s="44">
        <v>493</v>
      </c>
    </row>
    <row r="842" spans="1:11" s="6" customFormat="1" ht="15" x14ac:dyDescent="0.2">
      <c r="A842" s="24"/>
      <c r="B842" s="17" t="s">
        <v>17</v>
      </c>
      <c r="C842" s="46">
        <v>30963</v>
      </c>
      <c r="D842" s="47">
        <v>30642</v>
      </c>
      <c r="E842" s="42">
        <f>691018+1421</f>
        <v>692439</v>
      </c>
      <c r="F842" s="43">
        <v>2076837</v>
      </c>
      <c r="G842" s="43">
        <v>21037321</v>
      </c>
      <c r="H842" s="44">
        <v>4828</v>
      </c>
      <c r="I842" s="44">
        <v>44299</v>
      </c>
      <c r="J842" s="44">
        <v>80</v>
      </c>
      <c r="K842" s="44">
        <v>511</v>
      </c>
    </row>
    <row r="843" spans="1:11" ht="15" x14ac:dyDescent="0.2">
      <c r="A843" s="24"/>
      <c r="B843" s="17"/>
      <c r="C843" s="46"/>
      <c r="D843" s="47"/>
      <c r="E843" s="42"/>
      <c r="F843" s="43"/>
      <c r="G843" s="43"/>
      <c r="H843" s="44"/>
      <c r="I843" s="44"/>
      <c r="J843" s="44"/>
      <c r="K843" s="44"/>
    </row>
    <row r="844" spans="1:11" ht="15.75" x14ac:dyDescent="0.25">
      <c r="A844" s="24" t="s">
        <v>19</v>
      </c>
      <c r="B844" s="16" t="s">
        <v>75</v>
      </c>
      <c r="C844" s="46"/>
      <c r="D844" s="47"/>
      <c r="E844" s="42"/>
      <c r="F844" s="48"/>
      <c r="G844" s="48"/>
      <c r="H844" s="44"/>
      <c r="I844" s="44"/>
      <c r="J844" s="44"/>
      <c r="K844" s="44"/>
    </row>
    <row r="845" spans="1:11" s="6" customFormat="1" ht="15" x14ac:dyDescent="0.2">
      <c r="A845" s="24" t="s">
        <v>19</v>
      </c>
      <c r="B845" s="17" t="s">
        <v>20</v>
      </c>
      <c r="C845" s="46">
        <v>32389</v>
      </c>
      <c r="D845" s="47">
        <v>31739</v>
      </c>
      <c r="E845" s="42">
        <f>690703+1452</f>
        <v>692155</v>
      </c>
      <c r="F845" s="48">
        <v>1999573</v>
      </c>
      <c r="G845" s="48">
        <v>18568008</v>
      </c>
      <c r="H845" s="44">
        <v>5671</v>
      </c>
      <c r="I845" s="44">
        <v>44640</v>
      </c>
      <c r="J845" s="44">
        <v>95</v>
      </c>
      <c r="K845" s="44">
        <v>539</v>
      </c>
    </row>
    <row r="846" spans="1:11" s="6" customFormat="1" ht="15" x14ac:dyDescent="0.2">
      <c r="A846" s="24"/>
      <c r="B846" s="17" t="s">
        <v>21</v>
      </c>
      <c r="C846" s="46">
        <v>32711</v>
      </c>
      <c r="D846" s="47">
        <v>31781</v>
      </c>
      <c r="E846" s="42">
        <f>691085+1517</f>
        <v>692602</v>
      </c>
      <c r="F846" s="48">
        <v>1922495</v>
      </c>
      <c r="G846" s="48">
        <v>15870812</v>
      </c>
      <c r="H846" s="44">
        <v>5357</v>
      </c>
      <c r="I846" s="44">
        <v>43039</v>
      </c>
      <c r="J846" s="44">
        <v>101</v>
      </c>
      <c r="K846" s="44">
        <v>476</v>
      </c>
    </row>
    <row r="847" spans="1:11" s="6" customFormat="1" ht="15" x14ac:dyDescent="0.2">
      <c r="A847" s="24"/>
      <c r="B847" s="17" t="s">
        <v>22</v>
      </c>
      <c r="C847" s="46">
        <v>32329</v>
      </c>
      <c r="D847" s="47">
        <v>31233</v>
      </c>
      <c r="E847" s="42">
        <f>691442+1563</f>
        <v>693005</v>
      </c>
      <c r="F847" s="43">
        <v>1844727</v>
      </c>
      <c r="G847" s="43">
        <v>13708918</v>
      </c>
      <c r="H847" s="44">
        <v>4973</v>
      </c>
      <c r="I847" s="44">
        <v>41158</v>
      </c>
      <c r="J847" s="44">
        <v>114</v>
      </c>
      <c r="K847" s="44">
        <v>417</v>
      </c>
    </row>
    <row r="848" spans="1:11" ht="15" x14ac:dyDescent="0.2">
      <c r="A848" s="24"/>
      <c r="B848" s="17"/>
      <c r="C848" s="46"/>
      <c r="D848" s="47"/>
      <c r="E848" s="42"/>
      <c r="F848" s="43"/>
      <c r="G848" s="43"/>
      <c r="H848" s="44"/>
      <c r="I848" s="44"/>
      <c r="J848" s="44"/>
      <c r="K848" s="44"/>
    </row>
    <row r="849" spans="1:11" ht="15.75" x14ac:dyDescent="0.25">
      <c r="A849" s="24" t="s">
        <v>19</v>
      </c>
      <c r="B849" s="16" t="s">
        <v>76</v>
      </c>
      <c r="C849" s="46"/>
      <c r="D849" s="47"/>
      <c r="E849" s="42"/>
      <c r="F849" s="48"/>
      <c r="G849" s="48"/>
      <c r="H849" s="44"/>
      <c r="I849" s="44"/>
      <c r="J849" s="44"/>
      <c r="K849" s="44"/>
    </row>
    <row r="850" spans="1:11" s="6" customFormat="1" ht="15" x14ac:dyDescent="0.2">
      <c r="A850" s="24" t="s">
        <v>19</v>
      </c>
      <c r="B850" s="17" t="s">
        <v>24</v>
      </c>
      <c r="C850" s="46">
        <v>31882</v>
      </c>
      <c r="D850" s="47">
        <v>30794</v>
      </c>
      <c r="E850" s="42">
        <f>693439+1630</f>
        <v>695069</v>
      </c>
      <c r="F850" s="48">
        <v>1925820</v>
      </c>
      <c r="G850" s="48">
        <v>14729423</v>
      </c>
      <c r="H850" s="44">
        <v>4221</v>
      </c>
      <c r="I850" s="44">
        <v>46824</v>
      </c>
      <c r="J850" s="44">
        <v>142</v>
      </c>
      <c r="K850" s="44">
        <v>572</v>
      </c>
    </row>
    <row r="851" spans="1:11" s="6" customFormat="1" ht="15" x14ac:dyDescent="0.2">
      <c r="A851" s="24"/>
      <c r="B851" s="17" t="s">
        <v>25</v>
      </c>
      <c r="C851" s="46">
        <v>27173</v>
      </c>
      <c r="D851" s="47">
        <v>23505</v>
      </c>
      <c r="E851" s="42">
        <f>700282+1681</f>
        <v>701963</v>
      </c>
      <c r="F851" s="48">
        <v>1842609</v>
      </c>
      <c r="G851" s="48">
        <v>19870883</v>
      </c>
      <c r="H851" s="44">
        <v>5150</v>
      </c>
      <c r="I851" s="44">
        <v>53768</v>
      </c>
      <c r="J851" s="44">
        <v>114</v>
      </c>
      <c r="K851" s="44">
        <v>616</v>
      </c>
    </row>
    <row r="852" spans="1:11" s="6" customFormat="1" ht="15" x14ac:dyDescent="0.2">
      <c r="A852" s="24"/>
      <c r="B852" s="17" t="s">
        <v>11</v>
      </c>
      <c r="C852" s="46">
        <v>24261</v>
      </c>
      <c r="D852" s="47">
        <v>23321</v>
      </c>
      <c r="E852" s="42">
        <f>702158+1734</f>
        <v>703892</v>
      </c>
      <c r="F852" s="43">
        <v>2248463</v>
      </c>
      <c r="G852" s="43">
        <v>30461689</v>
      </c>
      <c r="H852" s="44">
        <v>4645</v>
      </c>
      <c r="I852" s="44">
        <v>54145</v>
      </c>
      <c r="J852" s="44">
        <v>114</v>
      </c>
      <c r="K852" s="44">
        <v>612</v>
      </c>
    </row>
    <row r="853" spans="1:11" ht="15" x14ac:dyDescent="0.2">
      <c r="A853" s="24"/>
      <c r="B853" s="17"/>
      <c r="C853" s="46"/>
      <c r="D853" s="47"/>
      <c r="E853" s="42"/>
      <c r="F853" s="43"/>
      <c r="G853" s="43"/>
      <c r="H853" s="44"/>
      <c r="I853" s="44"/>
      <c r="J853" s="44"/>
      <c r="K853" s="44"/>
    </row>
    <row r="854" spans="1:11" ht="15.75" x14ac:dyDescent="0.25">
      <c r="A854" s="24" t="s">
        <v>19</v>
      </c>
      <c r="B854" s="16" t="s">
        <v>77</v>
      </c>
      <c r="C854" s="46"/>
      <c r="D854" s="47"/>
      <c r="E854" s="42"/>
      <c r="F854" s="48"/>
      <c r="G854" s="48"/>
      <c r="H854" s="44"/>
      <c r="I854" s="44"/>
      <c r="J854" s="44"/>
      <c r="K854" s="44"/>
    </row>
    <row r="855" spans="1:11" s="6" customFormat="1" ht="15" x14ac:dyDescent="0.2">
      <c r="A855" s="24" t="s">
        <v>19</v>
      </c>
      <c r="B855" s="17" t="s">
        <v>12</v>
      </c>
      <c r="C855" s="46">
        <v>23941</v>
      </c>
      <c r="D855" s="47">
        <v>22966</v>
      </c>
      <c r="E855" s="42">
        <f>702351+1804</f>
        <v>704155</v>
      </c>
      <c r="F855" s="48">
        <v>2279900</v>
      </c>
      <c r="G855" s="48">
        <f>31757701+57+383</f>
        <v>31758141</v>
      </c>
      <c r="H855" s="44">
        <v>6026</v>
      </c>
      <c r="I855" s="44">
        <v>60097</v>
      </c>
      <c r="J855" s="44">
        <v>101</v>
      </c>
      <c r="K855" s="44">
        <v>594</v>
      </c>
    </row>
    <row r="856" spans="1:11" s="6" customFormat="1" ht="15" x14ac:dyDescent="0.2">
      <c r="A856" s="24"/>
      <c r="B856" s="17" t="s">
        <v>13</v>
      </c>
      <c r="C856" s="46">
        <v>23968</v>
      </c>
      <c r="D856" s="47">
        <v>23578</v>
      </c>
      <c r="E856" s="42">
        <f>704646+1860</f>
        <v>706506</v>
      </c>
      <c r="F856" s="48">
        <v>2078493</v>
      </c>
      <c r="G856" s="48">
        <f>28528751+57+383</f>
        <v>28529191</v>
      </c>
      <c r="H856" s="44">
        <v>4192</v>
      </c>
      <c r="I856" s="44">
        <v>41260</v>
      </c>
      <c r="J856" s="44">
        <v>61</v>
      </c>
      <c r="K856" s="44">
        <v>337</v>
      </c>
    </row>
    <row r="857" spans="1:11" s="6" customFormat="1" ht="15" x14ac:dyDescent="0.2">
      <c r="A857" s="24"/>
      <c r="B857" s="17" t="s">
        <v>14</v>
      </c>
      <c r="C857" s="46">
        <v>24737</v>
      </c>
      <c r="D857" s="47">
        <v>24419</v>
      </c>
      <c r="E857" s="42">
        <f>704529+1934</f>
        <v>706463</v>
      </c>
      <c r="F857" s="43">
        <v>1894285</v>
      </c>
      <c r="G857" s="43">
        <f>22936803+57+383</f>
        <v>22937243</v>
      </c>
      <c r="H857" s="44">
        <v>4092</v>
      </c>
      <c r="I857" s="44">
        <v>45900</v>
      </c>
      <c r="J857" s="44">
        <v>29</v>
      </c>
      <c r="K857" s="44">
        <v>194</v>
      </c>
    </row>
    <row r="858" spans="1:11" ht="15" x14ac:dyDescent="0.2">
      <c r="A858" s="24"/>
      <c r="B858" s="17"/>
      <c r="C858" s="46"/>
      <c r="D858" s="47"/>
      <c r="E858" s="42"/>
      <c r="F858" s="43"/>
      <c r="G858" s="43"/>
      <c r="H858" s="44"/>
      <c r="I858" s="44"/>
      <c r="J858" s="44"/>
      <c r="K858" s="44"/>
    </row>
    <row r="859" spans="1:11" ht="15.75" x14ac:dyDescent="0.25">
      <c r="A859" s="24" t="s">
        <v>19</v>
      </c>
      <c r="B859" s="16" t="s">
        <v>78</v>
      </c>
      <c r="C859" s="46"/>
      <c r="D859" s="47"/>
      <c r="E859" s="42"/>
      <c r="F859" s="48"/>
      <c r="G859" s="48"/>
      <c r="H859" s="44"/>
      <c r="I859" s="44"/>
      <c r="J859" s="44"/>
      <c r="K859" s="44"/>
    </row>
    <row r="860" spans="1:11" s="6" customFormat="1" ht="15" x14ac:dyDescent="0.2">
      <c r="A860" s="24">
        <v>2014</v>
      </c>
      <c r="B860" s="17" t="s">
        <v>15</v>
      </c>
      <c r="C860" s="46">
        <v>25961</v>
      </c>
      <c r="D860" s="47">
        <v>25702</v>
      </c>
      <c r="E860" s="42">
        <f>704620+2011</f>
        <v>706631</v>
      </c>
      <c r="F860" s="48">
        <v>2010069</v>
      </c>
      <c r="G860" s="48">
        <f>22303544+57.383</f>
        <v>22303601.383000001</v>
      </c>
      <c r="H860" s="44">
        <v>6493</v>
      </c>
      <c r="I860" s="44">
        <v>52140</v>
      </c>
      <c r="J860" s="44">
        <v>63</v>
      </c>
      <c r="K860" s="44">
        <v>483</v>
      </c>
    </row>
    <row r="861" spans="1:11" s="6" customFormat="1" ht="15" x14ac:dyDescent="0.2">
      <c r="A861" s="24"/>
      <c r="B861" s="17" t="s">
        <v>16</v>
      </c>
      <c r="C861" s="46">
        <v>27390</v>
      </c>
      <c r="D861" s="47">
        <v>26902</v>
      </c>
      <c r="E861" s="42">
        <f>704341+2075</f>
        <v>706416</v>
      </c>
      <c r="F861" s="48">
        <v>1896986</v>
      </c>
      <c r="G861" s="48">
        <f>21805011+57+383</f>
        <v>21805451</v>
      </c>
      <c r="H861" s="44">
        <v>5357</v>
      </c>
      <c r="I861" s="44">
        <v>48383</v>
      </c>
      <c r="J861" s="44">
        <v>51</v>
      </c>
      <c r="K861" s="44">
        <v>386</v>
      </c>
    </row>
    <row r="862" spans="1:11" s="6" customFormat="1" ht="15" x14ac:dyDescent="0.2">
      <c r="A862" s="24"/>
      <c r="B862" s="17" t="s">
        <v>17</v>
      </c>
      <c r="C862" s="46">
        <v>29319</v>
      </c>
      <c r="D862" s="47">
        <v>29226</v>
      </c>
      <c r="E862" s="42">
        <f>702566+2119</f>
        <v>704685</v>
      </c>
      <c r="F862" s="43">
        <v>1868676</v>
      </c>
      <c r="G862" s="43">
        <f>18296610+57+383</f>
        <v>18297050</v>
      </c>
      <c r="H862" s="44">
        <v>4630</v>
      </c>
      <c r="I862" s="44">
        <v>42871</v>
      </c>
      <c r="J862" s="44">
        <v>73</v>
      </c>
      <c r="K862" s="44">
        <v>374</v>
      </c>
    </row>
    <row r="863" spans="1:11" ht="15" x14ac:dyDescent="0.2">
      <c r="A863" s="24"/>
      <c r="B863" s="17"/>
      <c r="C863" s="46"/>
      <c r="D863" s="47"/>
      <c r="E863" s="42"/>
      <c r="F863" s="43"/>
      <c r="G863" s="43"/>
      <c r="H863" s="44"/>
      <c r="I863" s="44"/>
      <c r="J863" s="44"/>
      <c r="K863" s="44"/>
    </row>
    <row r="864" spans="1:11" ht="15.75" x14ac:dyDescent="0.25">
      <c r="A864" s="24" t="s">
        <v>19</v>
      </c>
      <c r="B864" s="16" t="s">
        <v>79</v>
      </c>
      <c r="C864" s="46"/>
      <c r="D864" s="47"/>
      <c r="E864" s="42"/>
      <c r="F864" s="48"/>
      <c r="G864" s="48"/>
      <c r="H864" s="44"/>
      <c r="I864" s="44"/>
      <c r="J864" s="44"/>
      <c r="K864" s="44"/>
    </row>
    <row r="865" spans="1:11" s="6" customFormat="1" ht="15" x14ac:dyDescent="0.2">
      <c r="A865" s="24" t="s">
        <v>19</v>
      </c>
      <c r="B865" s="17" t="s">
        <v>20</v>
      </c>
      <c r="C865" s="46">
        <v>30951</v>
      </c>
      <c r="D865" s="47">
        <v>30492</v>
      </c>
      <c r="E865" s="42">
        <f>701972+2201</f>
        <v>704173</v>
      </c>
      <c r="F865" s="48">
        <v>1790584</v>
      </c>
      <c r="G865" s="48">
        <f>15043878+57+383</f>
        <v>15044318</v>
      </c>
      <c r="H865" s="44">
        <v>5152</v>
      </c>
      <c r="I865" s="44">
        <v>42569</v>
      </c>
      <c r="J865" s="44">
        <v>69</v>
      </c>
      <c r="K865" s="44">
        <v>413</v>
      </c>
    </row>
    <row r="866" spans="1:11" s="6" customFormat="1" ht="15" x14ac:dyDescent="0.2">
      <c r="A866" s="24"/>
      <c r="B866" s="17" t="s">
        <v>21</v>
      </c>
      <c r="C866" s="46">
        <v>31362</v>
      </c>
      <c r="D866" s="47">
        <v>30444</v>
      </c>
      <c r="E866" s="42">
        <f>702537+2280</f>
        <v>704817</v>
      </c>
      <c r="F866" s="48">
        <v>1711705</v>
      </c>
      <c r="G866" s="48">
        <f>13385712+57+383</f>
        <v>13386152</v>
      </c>
      <c r="H866" s="44">
        <v>4984</v>
      </c>
      <c r="I866" s="44">
        <v>39677</v>
      </c>
      <c r="J866" s="44">
        <v>90</v>
      </c>
      <c r="K866" s="44">
        <v>368</v>
      </c>
    </row>
    <row r="867" spans="1:11" s="6" customFormat="1" ht="15" x14ac:dyDescent="0.2">
      <c r="A867" s="24"/>
      <c r="B867" s="17" t="s">
        <v>22</v>
      </c>
      <c r="C867" s="46">
        <v>31096</v>
      </c>
      <c r="D867" s="47">
        <v>30157</v>
      </c>
      <c r="E867" s="42">
        <f>703598+2360</f>
        <v>705958</v>
      </c>
      <c r="F867" s="43">
        <v>1639538</v>
      </c>
      <c r="G867" s="43">
        <f>12231853+57+383</f>
        <v>12232293</v>
      </c>
      <c r="H867" s="44">
        <v>4855</v>
      </c>
      <c r="I867" s="44">
        <v>39460</v>
      </c>
      <c r="J867" s="44">
        <v>110</v>
      </c>
      <c r="K867" s="44">
        <v>420</v>
      </c>
    </row>
    <row r="868" spans="1:11" ht="15" x14ac:dyDescent="0.2">
      <c r="A868" s="24"/>
      <c r="B868" s="17"/>
      <c r="C868" s="46"/>
      <c r="D868" s="47"/>
      <c r="E868" s="42"/>
      <c r="F868" s="43"/>
      <c r="G868" s="43"/>
      <c r="H868" s="44"/>
      <c r="I868" s="44"/>
      <c r="J868" s="44"/>
      <c r="K868" s="44"/>
    </row>
    <row r="869" spans="1:11" ht="15.75" x14ac:dyDescent="0.25">
      <c r="A869" s="24" t="s">
        <v>19</v>
      </c>
      <c r="B869" s="16" t="s">
        <v>80</v>
      </c>
      <c r="C869" s="46"/>
      <c r="D869" s="47"/>
      <c r="E869" s="42"/>
      <c r="F869" s="48"/>
      <c r="G869" s="48"/>
      <c r="H869" s="44"/>
      <c r="I869" s="44"/>
      <c r="J869" s="44"/>
      <c r="K869" s="44"/>
    </row>
    <row r="870" spans="1:11" s="6" customFormat="1" ht="15" x14ac:dyDescent="0.2">
      <c r="A870" s="24" t="s">
        <v>19</v>
      </c>
      <c r="B870" s="17" t="s">
        <v>24</v>
      </c>
      <c r="C870" s="46">
        <v>29255</v>
      </c>
      <c r="D870" s="47">
        <v>25076</v>
      </c>
      <c r="E870" s="42">
        <f>709152+2527</f>
        <v>711679</v>
      </c>
      <c r="F870" s="48">
        <v>1506825</v>
      </c>
      <c r="G870" s="48">
        <v>13139539</v>
      </c>
      <c r="H870" s="44">
        <v>4566</v>
      </c>
      <c r="I870" s="44">
        <v>43015</v>
      </c>
      <c r="J870" s="44">
        <v>77</v>
      </c>
      <c r="K870" s="44">
        <v>390</v>
      </c>
    </row>
    <row r="871" spans="1:11" s="6" customFormat="1" ht="15" x14ac:dyDescent="0.2">
      <c r="A871" s="24"/>
      <c r="B871" s="17" t="s">
        <v>25</v>
      </c>
      <c r="C871" s="46">
        <v>25758</v>
      </c>
      <c r="D871" s="47">
        <v>24773</v>
      </c>
      <c r="E871" s="42">
        <f>709125+2608</f>
        <v>711733</v>
      </c>
      <c r="F871" s="48">
        <v>1704199</v>
      </c>
      <c r="G871" s="48">
        <v>16533808</v>
      </c>
      <c r="H871" s="44">
        <v>4915</v>
      </c>
      <c r="I871" s="44">
        <v>48888</v>
      </c>
      <c r="J871" s="44">
        <v>70</v>
      </c>
      <c r="K871" s="44">
        <v>384</v>
      </c>
    </row>
    <row r="872" spans="1:11" s="6" customFormat="1" ht="15" x14ac:dyDescent="0.2">
      <c r="A872" s="24"/>
      <c r="B872" s="17" t="s">
        <v>11</v>
      </c>
      <c r="C872" s="46">
        <v>25454</v>
      </c>
      <c r="D872" s="47">
        <v>24502</v>
      </c>
      <c r="E872" s="42">
        <f>711353+2743</f>
        <v>714096</v>
      </c>
      <c r="F872" s="43">
        <v>2104541</v>
      </c>
      <c r="G872" s="43">
        <v>24412963</v>
      </c>
      <c r="H872" s="44">
        <v>5334</v>
      </c>
      <c r="I872" s="44">
        <v>52974</v>
      </c>
      <c r="J872" s="44">
        <v>73</v>
      </c>
      <c r="K872" s="44">
        <v>376</v>
      </c>
    </row>
    <row r="873" spans="1:11" ht="15" x14ac:dyDescent="0.2">
      <c r="A873" s="24"/>
      <c r="B873" s="17"/>
      <c r="C873" s="46"/>
      <c r="D873" s="47"/>
      <c r="E873" s="42"/>
      <c r="F873" s="43"/>
      <c r="G873" s="43"/>
      <c r="H873" s="44"/>
      <c r="I873" s="44"/>
      <c r="J873" s="44"/>
      <c r="K873" s="44"/>
    </row>
    <row r="874" spans="1:11" ht="15.75" x14ac:dyDescent="0.25">
      <c r="A874" s="24" t="s">
        <v>19</v>
      </c>
      <c r="B874" s="16" t="s">
        <v>81</v>
      </c>
      <c r="C874" s="46"/>
      <c r="D874" s="47"/>
      <c r="E874" s="42"/>
      <c r="F874" s="48"/>
      <c r="G874" s="48"/>
      <c r="H874" s="44"/>
      <c r="I874" s="44"/>
      <c r="J874" s="44"/>
      <c r="K874" s="44"/>
    </row>
    <row r="875" spans="1:11" s="6" customFormat="1" ht="15" x14ac:dyDescent="0.2">
      <c r="A875" s="24" t="s">
        <v>19</v>
      </c>
      <c r="B875" s="17" t="s">
        <v>12</v>
      </c>
      <c r="C875" s="46">
        <v>25090</v>
      </c>
      <c r="D875" s="47">
        <v>24151</v>
      </c>
      <c r="E875" s="42">
        <f>711675+2861</f>
        <v>714536</v>
      </c>
      <c r="F875" s="48">
        <v>2062168</v>
      </c>
      <c r="G875" s="48">
        <v>23367354</v>
      </c>
      <c r="H875" s="44">
        <v>6004</v>
      </c>
      <c r="I875" s="44">
        <v>56769</v>
      </c>
      <c r="J875" s="44">
        <v>43</v>
      </c>
      <c r="K875" s="44">
        <v>214</v>
      </c>
    </row>
    <row r="876" spans="1:11" s="6" customFormat="1" ht="15" x14ac:dyDescent="0.2">
      <c r="A876" s="24"/>
      <c r="B876" s="17" t="s">
        <v>13</v>
      </c>
      <c r="C876" s="46">
        <v>25039</v>
      </c>
      <c r="D876" s="47">
        <v>24580</v>
      </c>
      <c r="E876" s="42">
        <f>714266+2975</f>
        <v>717241</v>
      </c>
      <c r="F876" s="48">
        <v>1979236</v>
      </c>
      <c r="G876" s="48">
        <v>21898875</v>
      </c>
      <c r="H876" s="44">
        <v>4177</v>
      </c>
      <c r="I876" s="44">
        <v>39432</v>
      </c>
      <c r="J876" s="44">
        <v>36</v>
      </c>
      <c r="K876" s="44">
        <v>232</v>
      </c>
    </row>
    <row r="877" spans="1:11" s="6" customFormat="1" ht="15" x14ac:dyDescent="0.2">
      <c r="A877" s="24"/>
      <c r="B877" s="17" t="s">
        <v>14</v>
      </c>
      <c r="C877" s="46">
        <v>25837</v>
      </c>
      <c r="D877" s="47">
        <v>25565</v>
      </c>
      <c r="E877" s="42">
        <f>713553+3178</f>
        <v>716731</v>
      </c>
      <c r="F877" s="43">
        <v>1798108</v>
      </c>
      <c r="G877" s="43">
        <v>18853769</v>
      </c>
      <c r="H877" s="44">
        <v>4393</v>
      </c>
      <c r="I877" s="44">
        <v>45593</v>
      </c>
      <c r="J877" s="44">
        <v>52</v>
      </c>
      <c r="K877" s="44">
        <v>269</v>
      </c>
    </row>
    <row r="878" spans="1:11" ht="15" x14ac:dyDescent="0.2">
      <c r="A878" s="24"/>
      <c r="B878" s="17"/>
      <c r="C878" s="46"/>
      <c r="D878" s="47"/>
      <c r="E878" s="42"/>
      <c r="F878" s="43"/>
      <c r="G878" s="43"/>
      <c r="H878" s="44"/>
      <c r="I878" s="44"/>
      <c r="J878" s="44"/>
      <c r="K878" s="44"/>
    </row>
    <row r="879" spans="1:11" ht="15.75" x14ac:dyDescent="0.25">
      <c r="A879" s="24" t="s">
        <v>19</v>
      </c>
      <c r="B879" s="16" t="s">
        <v>82</v>
      </c>
      <c r="C879" s="46"/>
      <c r="D879" s="47"/>
      <c r="E879" s="42"/>
      <c r="F879" s="48"/>
      <c r="G879" s="48"/>
      <c r="H879" s="44"/>
      <c r="I879" s="44"/>
      <c r="J879" s="44"/>
      <c r="K879" s="44"/>
    </row>
    <row r="880" spans="1:11" s="6" customFormat="1" ht="15" x14ac:dyDescent="0.2">
      <c r="A880" s="24">
        <v>2015</v>
      </c>
      <c r="B880" s="17" t="s">
        <v>15</v>
      </c>
      <c r="C880" s="46">
        <v>27068</v>
      </c>
      <c r="D880" s="47">
        <v>26819</v>
      </c>
      <c r="E880" s="42">
        <f>713716+3335</f>
        <v>717051</v>
      </c>
      <c r="F880" s="48">
        <v>1730997</v>
      </c>
      <c r="G880" s="48">
        <v>18519301</v>
      </c>
      <c r="H880" s="44">
        <v>5695</v>
      </c>
      <c r="I880" s="44">
        <v>48692</v>
      </c>
      <c r="J880" s="44">
        <v>47</v>
      </c>
      <c r="K880" s="44">
        <v>430</v>
      </c>
    </row>
    <row r="881" spans="1:11" s="6" customFormat="1" ht="15" x14ac:dyDescent="0.2">
      <c r="A881" s="24"/>
      <c r="B881" s="17" t="s">
        <v>16</v>
      </c>
      <c r="C881" s="46">
        <v>28220</v>
      </c>
      <c r="D881" s="47">
        <v>27951</v>
      </c>
      <c r="E881" s="42">
        <f>713260+3459</f>
        <v>716719</v>
      </c>
      <c r="F881" s="48">
        <v>1648604</v>
      </c>
      <c r="G881" s="48">
        <v>17329367</v>
      </c>
      <c r="H881" s="44">
        <v>4577</v>
      </c>
      <c r="I881" s="44">
        <v>46089</v>
      </c>
      <c r="J881" s="44">
        <v>58</v>
      </c>
      <c r="K881" s="44">
        <v>366</v>
      </c>
    </row>
    <row r="882" spans="1:11" s="6" customFormat="1" ht="15" x14ac:dyDescent="0.2">
      <c r="A882" s="24"/>
      <c r="B882" s="17" t="s">
        <v>17</v>
      </c>
      <c r="C882" s="46">
        <v>29326</v>
      </c>
      <c r="D882" s="47">
        <v>28843</v>
      </c>
      <c r="E882" s="42">
        <f>719547+3623</f>
        <v>723170</v>
      </c>
      <c r="F882" s="43">
        <v>1637291</v>
      </c>
      <c r="G882" s="43">
        <v>14642981</v>
      </c>
      <c r="H882" s="44">
        <v>4355</v>
      </c>
      <c r="I882" s="44">
        <v>44585</v>
      </c>
      <c r="J882" s="44">
        <v>63</v>
      </c>
      <c r="K882" s="44">
        <v>407</v>
      </c>
    </row>
    <row r="883" spans="1:11" ht="15" x14ac:dyDescent="0.2">
      <c r="A883" s="24"/>
      <c r="B883" s="17"/>
      <c r="C883" s="46"/>
      <c r="D883" s="47"/>
      <c r="E883" s="42"/>
      <c r="F883" s="43"/>
      <c r="G883" s="43"/>
      <c r="H883" s="44"/>
      <c r="I883" s="44"/>
      <c r="J883" s="44"/>
      <c r="K883" s="44"/>
    </row>
    <row r="884" spans="1:11" ht="15.75" x14ac:dyDescent="0.25">
      <c r="A884" s="24" t="s">
        <v>19</v>
      </c>
      <c r="B884" s="16" t="s">
        <v>83</v>
      </c>
      <c r="C884" s="46"/>
      <c r="D884" s="47"/>
      <c r="E884" s="42"/>
      <c r="F884" s="48"/>
      <c r="G884" s="48"/>
      <c r="H884" s="44"/>
      <c r="I884" s="44"/>
      <c r="J884" s="44"/>
      <c r="K884" s="44"/>
    </row>
    <row r="885" spans="1:11" s="6" customFormat="1" ht="15" x14ac:dyDescent="0.2">
      <c r="A885" s="24" t="s">
        <v>19</v>
      </c>
      <c r="B885" s="17" t="s">
        <v>20</v>
      </c>
      <c r="C885" s="46">
        <v>29791</v>
      </c>
      <c r="D885" s="47">
        <v>29441</v>
      </c>
      <c r="E885" s="42">
        <f>719955+3782</f>
        <v>723737</v>
      </c>
      <c r="F885" s="48">
        <v>1606268</v>
      </c>
      <c r="G885" s="48">
        <f>13452729+57+383</f>
        <v>13453169</v>
      </c>
      <c r="H885" s="44">
        <v>4718</v>
      </c>
      <c r="I885" s="44">
        <v>44669</v>
      </c>
      <c r="J885" s="44">
        <v>64</v>
      </c>
      <c r="K885" s="44">
        <v>363</v>
      </c>
    </row>
    <row r="886" spans="1:11" s="6" customFormat="1" ht="15" x14ac:dyDescent="0.2">
      <c r="A886" s="24"/>
      <c r="B886" s="17" t="s">
        <v>21</v>
      </c>
      <c r="C886" s="46">
        <v>30227</v>
      </c>
      <c r="D886" s="47">
        <v>29388</v>
      </c>
      <c r="E886" s="42">
        <f>720961+3993</f>
        <v>724954</v>
      </c>
      <c r="F886" s="48">
        <v>1567492</v>
      </c>
      <c r="G886" s="48">
        <f>13091819+57+383</f>
        <v>13092259</v>
      </c>
      <c r="H886" s="44">
        <v>4158</v>
      </c>
      <c r="I886" s="44">
        <v>40280</v>
      </c>
      <c r="J886" s="44">
        <v>55</v>
      </c>
      <c r="K886" s="44">
        <v>313</v>
      </c>
    </row>
    <row r="887" spans="1:11" s="6" customFormat="1" ht="15" x14ac:dyDescent="0.2">
      <c r="A887" s="24"/>
      <c r="B887" s="17" t="s">
        <v>22</v>
      </c>
      <c r="C887" s="46">
        <v>29951</v>
      </c>
      <c r="D887" s="47">
        <v>28969</v>
      </c>
      <c r="E887" s="42">
        <f>722012+4194</f>
        <v>726206</v>
      </c>
      <c r="F887" s="43">
        <v>1482625</v>
      </c>
      <c r="G887" s="43">
        <f>11532277+57+383</f>
        <v>11532717</v>
      </c>
      <c r="H887" s="44">
        <v>4818</v>
      </c>
      <c r="I887" s="44">
        <v>45231</v>
      </c>
      <c r="J887" s="44">
        <v>73</v>
      </c>
      <c r="K887" s="44">
        <v>345</v>
      </c>
    </row>
    <row r="888" spans="1:11" ht="15.75" x14ac:dyDescent="0.25">
      <c r="A888" s="24" t="s">
        <v>19</v>
      </c>
      <c r="B888" s="16" t="s">
        <v>84</v>
      </c>
      <c r="C888" s="46"/>
      <c r="D888" s="47"/>
      <c r="E888" s="42"/>
      <c r="F888" s="48"/>
      <c r="G888" s="48"/>
      <c r="H888" s="44"/>
      <c r="I888" s="44"/>
      <c r="J888" s="44"/>
      <c r="K888" s="44"/>
    </row>
    <row r="889" spans="1:11" s="6" customFormat="1" ht="15" x14ac:dyDescent="0.2">
      <c r="A889" s="24">
        <v>2015</v>
      </c>
      <c r="B889" s="17" t="s">
        <v>24</v>
      </c>
      <c r="C889" s="46">
        <v>29516</v>
      </c>
      <c r="D889" s="47">
        <v>28554</v>
      </c>
      <c r="E889" s="42">
        <f>723441+4478</f>
        <v>727919</v>
      </c>
      <c r="F889" s="48">
        <v>1590939</v>
      </c>
      <c r="G889" s="48">
        <f>13104436+57+383</f>
        <v>13104876</v>
      </c>
      <c r="H889" s="44">
        <v>3959</v>
      </c>
      <c r="I889" s="44">
        <v>44036</v>
      </c>
      <c r="J889" s="44">
        <v>59</v>
      </c>
      <c r="K889" s="44">
        <v>266</v>
      </c>
    </row>
    <row r="890" spans="1:11" s="6" customFormat="1" ht="15" x14ac:dyDescent="0.2">
      <c r="A890" s="24"/>
      <c r="B890" s="17" t="s">
        <v>25</v>
      </c>
      <c r="C890" s="46">
        <v>27606</v>
      </c>
      <c r="D890" s="47">
        <v>23219</v>
      </c>
      <c r="E890" s="42">
        <f>730225+4741</f>
        <v>734966</v>
      </c>
      <c r="F890" s="48">
        <v>1683882</v>
      </c>
      <c r="G890" s="48">
        <f>20842806+57+383</f>
        <v>20843246</v>
      </c>
      <c r="H890" s="44">
        <v>4670</v>
      </c>
      <c r="I890" s="44">
        <v>53211</v>
      </c>
      <c r="J890" s="44">
        <v>50</v>
      </c>
      <c r="K890" s="44">
        <v>305</v>
      </c>
    </row>
    <row r="891" spans="1:11" s="6" customFormat="1" ht="15" x14ac:dyDescent="0.2">
      <c r="A891" s="24"/>
      <c r="B891" s="17" t="s">
        <v>11</v>
      </c>
      <c r="C891" s="46">
        <v>23888</v>
      </c>
      <c r="D891" s="47">
        <v>23167</v>
      </c>
      <c r="E891" s="42">
        <f>730314+5014</f>
        <v>735328</v>
      </c>
      <c r="F891" s="43">
        <v>1870882</v>
      </c>
      <c r="G891" s="43">
        <f>23720905+57+383</f>
        <v>23721345</v>
      </c>
      <c r="H891" s="44">
        <v>4598</v>
      </c>
      <c r="I891" s="44">
        <v>55097</v>
      </c>
      <c r="J891" s="44">
        <v>50</v>
      </c>
      <c r="K891" s="44">
        <v>333</v>
      </c>
    </row>
    <row r="892" spans="1:11" ht="15" x14ac:dyDescent="0.2">
      <c r="A892" s="24"/>
      <c r="B892" s="17"/>
      <c r="C892" s="46"/>
      <c r="D892" s="47"/>
      <c r="E892" s="42"/>
      <c r="F892" s="43"/>
      <c r="G892" s="43"/>
      <c r="H892" s="44"/>
      <c r="I892" s="44"/>
      <c r="J892" s="44"/>
      <c r="K892" s="44"/>
    </row>
    <row r="893" spans="1:11" ht="15.75" x14ac:dyDescent="0.25">
      <c r="A893" s="89" t="s">
        <v>114</v>
      </c>
      <c r="B893" s="17"/>
      <c r="C893" s="18"/>
      <c r="D893" s="18"/>
      <c r="E893" s="18"/>
      <c r="F893" s="18"/>
      <c r="G893" s="18"/>
      <c r="H893" s="18"/>
      <c r="I893" s="18"/>
      <c r="J893" s="18"/>
      <c r="K893" s="18"/>
    </row>
    <row r="894" spans="1:11" ht="27.75" x14ac:dyDescent="0.55000000000000004">
      <c r="A894" s="82"/>
      <c r="B894" s="16"/>
      <c r="C894" s="18"/>
      <c r="D894" s="105" t="s">
        <v>158</v>
      </c>
      <c r="E894" s="105"/>
      <c r="F894" s="105" t="s">
        <v>159</v>
      </c>
      <c r="G894" s="105"/>
      <c r="H894" s="105" t="s">
        <v>105</v>
      </c>
      <c r="I894" s="105"/>
      <c r="J894" s="105" t="s">
        <v>106</v>
      </c>
      <c r="K894" s="105"/>
    </row>
    <row r="895" spans="1:11" ht="15.75" x14ac:dyDescent="0.25">
      <c r="A895" s="21" t="s">
        <v>8</v>
      </c>
      <c r="B895" s="16" t="s">
        <v>32</v>
      </c>
      <c r="C895" s="40" t="s">
        <v>107</v>
      </c>
      <c r="D895" s="40" t="s">
        <v>108</v>
      </c>
      <c r="E895" s="40" t="s">
        <v>109</v>
      </c>
      <c r="F895" s="40" t="s">
        <v>108</v>
      </c>
      <c r="G895" s="40" t="s">
        <v>109</v>
      </c>
      <c r="H895" s="40" t="s">
        <v>108</v>
      </c>
      <c r="I895" s="40" t="s">
        <v>109</v>
      </c>
      <c r="J895" s="40" t="s">
        <v>108</v>
      </c>
      <c r="K895" s="40" t="s">
        <v>109</v>
      </c>
    </row>
    <row r="896" spans="1:11" s="6" customFormat="1" ht="15" x14ac:dyDescent="0.2">
      <c r="A896" s="24"/>
      <c r="B896" s="17"/>
      <c r="C896" s="46"/>
      <c r="D896" s="47"/>
      <c r="E896" s="42"/>
      <c r="F896" s="43"/>
      <c r="G896" s="43"/>
      <c r="H896" s="44"/>
      <c r="I896" s="44"/>
      <c r="J896" s="44"/>
      <c r="K896" s="44"/>
    </row>
    <row r="897" spans="1:11" ht="15.75" x14ac:dyDescent="0.25">
      <c r="A897" s="24" t="s">
        <v>19</v>
      </c>
      <c r="B897" s="16" t="s">
        <v>85</v>
      </c>
      <c r="C897" s="46"/>
      <c r="D897" s="47"/>
      <c r="E897" s="42"/>
      <c r="F897" s="48"/>
      <c r="G897" s="48"/>
      <c r="H897" s="44"/>
      <c r="I897" s="44"/>
      <c r="J897" s="44"/>
      <c r="K897" s="44"/>
    </row>
    <row r="898" spans="1:11" s="6" customFormat="1" ht="15" x14ac:dyDescent="0.2">
      <c r="A898" s="24">
        <v>2015</v>
      </c>
      <c r="B898" s="17" t="s">
        <v>12</v>
      </c>
      <c r="C898" s="46">
        <v>23652</v>
      </c>
      <c r="D898" s="47">
        <v>22800</v>
      </c>
      <c r="E898" s="42">
        <f>731061+5311</f>
        <v>736372</v>
      </c>
      <c r="F898" s="48">
        <v>1958462</v>
      </c>
      <c r="G898" s="48">
        <f>26375792+57+383</f>
        <v>26376232</v>
      </c>
      <c r="H898" s="44">
        <v>5035</v>
      </c>
      <c r="I898" s="44">
        <v>57071</v>
      </c>
      <c r="J898" s="44">
        <v>34</v>
      </c>
      <c r="K898" s="44">
        <v>340</v>
      </c>
    </row>
    <row r="899" spans="1:11" s="6" customFormat="1" ht="15" x14ac:dyDescent="0.2">
      <c r="A899" s="24"/>
      <c r="B899" s="17" t="s">
        <v>13</v>
      </c>
      <c r="C899" s="46">
        <v>23493</v>
      </c>
      <c r="D899" s="47">
        <v>23155</v>
      </c>
      <c r="E899" s="42">
        <f>732921+5728</f>
        <v>738649</v>
      </c>
      <c r="F899" s="48">
        <v>1837204</v>
      </c>
      <c r="G899" s="48">
        <f>24288420+57+383</f>
        <v>24288860</v>
      </c>
      <c r="H899" s="44">
        <v>3683</v>
      </c>
      <c r="I899" s="44">
        <v>41959</v>
      </c>
      <c r="J899" s="44">
        <v>34</v>
      </c>
      <c r="K899" s="44">
        <v>230</v>
      </c>
    </row>
    <row r="900" spans="1:11" s="6" customFormat="1" ht="15" x14ac:dyDescent="0.2">
      <c r="A900" s="24"/>
      <c r="B900" s="17" t="s">
        <v>14</v>
      </c>
      <c r="C900" s="46">
        <v>24050</v>
      </c>
      <c r="D900" s="47">
        <v>23809</v>
      </c>
      <c r="E900" s="42">
        <f>733251+6088</f>
        <v>739339</v>
      </c>
      <c r="F900" s="43">
        <v>1890494</v>
      </c>
      <c r="G900" s="43">
        <f>23441735+57+383</f>
        <v>23442175</v>
      </c>
      <c r="H900" s="44">
        <v>3996</v>
      </c>
      <c r="I900" s="44">
        <v>44919</v>
      </c>
      <c r="J900" s="44">
        <v>31</v>
      </c>
      <c r="K900" s="44">
        <v>178</v>
      </c>
    </row>
    <row r="901" spans="1:11" ht="15" x14ac:dyDescent="0.2">
      <c r="A901" s="24"/>
      <c r="B901" s="17"/>
      <c r="C901" s="46"/>
      <c r="D901" s="47"/>
      <c r="E901" s="42"/>
      <c r="F901" s="43"/>
      <c r="G901" s="43"/>
      <c r="H901" s="44"/>
      <c r="I901" s="44"/>
      <c r="J901" s="44"/>
      <c r="K901" s="44"/>
    </row>
    <row r="902" spans="1:11" ht="15.75" x14ac:dyDescent="0.25">
      <c r="A902" s="24" t="s">
        <v>19</v>
      </c>
      <c r="B902" s="16" t="s">
        <v>86</v>
      </c>
      <c r="C902" s="46"/>
      <c r="D902" s="47"/>
      <c r="E902" s="42"/>
      <c r="F902" s="48"/>
      <c r="G902" s="48"/>
      <c r="H902" s="44"/>
      <c r="I902" s="44"/>
      <c r="J902" s="44"/>
      <c r="K902" s="44"/>
    </row>
    <row r="903" spans="1:11" s="6" customFormat="1" ht="15" x14ac:dyDescent="0.2">
      <c r="A903" s="24">
        <v>2016</v>
      </c>
      <c r="B903" s="17" t="s">
        <v>15</v>
      </c>
      <c r="C903" s="46">
        <v>24872</v>
      </c>
      <c r="D903" s="47">
        <v>24679</v>
      </c>
      <c r="E903" s="42">
        <f>733085+6612</f>
        <v>739697</v>
      </c>
      <c r="F903" s="48">
        <v>1739516</v>
      </c>
      <c r="G903" s="48">
        <f>20778844+57+383</f>
        <v>20779284</v>
      </c>
      <c r="H903" s="44">
        <v>4832</v>
      </c>
      <c r="I903" s="44">
        <v>43720</v>
      </c>
      <c r="J903" s="44">
        <v>28</v>
      </c>
      <c r="K903" s="44">
        <v>244</v>
      </c>
    </row>
    <row r="904" spans="1:11" s="6" customFormat="1" ht="15" x14ac:dyDescent="0.2">
      <c r="A904" s="24"/>
      <c r="B904" s="17" t="s">
        <v>16</v>
      </c>
      <c r="C904" s="46">
        <v>25922</v>
      </c>
      <c r="D904" s="47">
        <v>25903</v>
      </c>
      <c r="E904" s="42">
        <f>732798+7079</f>
        <v>739877</v>
      </c>
      <c r="F904" s="48">
        <v>1697975</v>
      </c>
      <c r="G904" s="48">
        <f>19891542+57+383</f>
        <v>19891982</v>
      </c>
      <c r="H904" s="44">
        <v>4289</v>
      </c>
      <c r="I904" s="44">
        <v>45357</v>
      </c>
      <c r="J904" s="44">
        <v>47</v>
      </c>
      <c r="K904" s="44">
        <v>298</v>
      </c>
    </row>
    <row r="905" spans="1:11" s="6" customFormat="1" ht="15" x14ac:dyDescent="0.2">
      <c r="A905" s="24"/>
      <c r="B905" s="17" t="s">
        <v>17</v>
      </c>
      <c r="C905" s="46">
        <v>26905</v>
      </c>
      <c r="D905" s="47">
        <v>26297</v>
      </c>
      <c r="E905" s="42">
        <f>733451+7455</f>
        <v>740906</v>
      </c>
      <c r="F905" s="43">
        <v>1744197</v>
      </c>
      <c r="G905" s="43">
        <f>19568078+57+383</f>
        <v>19568518</v>
      </c>
      <c r="H905" s="44">
        <v>4131</v>
      </c>
      <c r="I905" s="44">
        <v>47266</v>
      </c>
      <c r="J905" s="44">
        <v>58</v>
      </c>
      <c r="K905" s="44">
        <v>396</v>
      </c>
    </row>
    <row r="906" spans="1:11" ht="15" x14ac:dyDescent="0.2">
      <c r="A906" s="24"/>
      <c r="B906" s="17"/>
      <c r="C906" s="46"/>
      <c r="D906" s="47"/>
      <c r="E906" s="42"/>
      <c r="F906" s="43"/>
      <c r="G906" s="43"/>
      <c r="H906" s="44"/>
      <c r="I906" s="44"/>
      <c r="J906" s="44"/>
      <c r="K906" s="44"/>
    </row>
    <row r="907" spans="1:11" ht="15.75" x14ac:dyDescent="0.25">
      <c r="A907" s="24" t="s">
        <v>19</v>
      </c>
      <c r="B907" s="16" t="s">
        <v>87</v>
      </c>
      <c r="C907" s="46"/>
      <c r="D907" s="47"/>
      <c r="E907" s="42"/>
      <c r="F907" s="48"/>
      <c r="G907" s="48"/>
      <c r="H907" s="44"/>
      <c r="I907" s="44"/>
      <c r="J907" s="44"/>
      <c r="K907" s="44"/>
    </row>
    <row r="908" spans="1:11" s="6" customFormat="1" ht="15" x14ac:dyDescent="0.2">
      <c r="A908" s="24" t="s">
        <v>19</v>
      </c>
      <c r="B908" s="17" t="s">
        <v>20</v>
      </c>
      <c r="C908" s="46">
        <v>27504</v>
      </c>
      <c r="D908" s="47">
        <v>27054</v>
      </c>
      <c r="E908" s="42">
        <f>732252+8297</f>
        <v>740549</v>
      </c>
      <c r="F908" s="48">
        <v>1721473</v>
      </c>
      <c r="G908" s="48">
        <f>17193711+57+383</f>
        <v>17194151</v>
      </c>
      <c r="H908" s="44">
        <v>3982</v>
      </c>
      <c r="I908" s="44">
        <f>256+43422+18</f>
        <v>43696</v>
      </c>
      <c r="J908" s="44">
        <v>51</v>
      </c>
      <c r="K908" s="44">
        <f>344+5</f>
        <v>349</v>
      </c>
    </row>
    <row r="909" spans="1:11" s="6" customFormat="1" ht="15" x14ac:dyDescent="0.2">
      <c r="A909" s="24"/>
      <c r="B909" s="17" t="s">
        <v>21</v>
      </c>
      <c r="C909" s="46">
        <v>27994</v>
      </c>
      <c r="D909" s="47">
        <v>27256</v>
      </c>
      <c r="E909" s="42">
        <f>732915+9242</f>
        <v>742157</v>
      </c>
      <c r="F909" s="48">
        <v>1665846</v>
      </c>
      <c r="G909" s="48">
        <f>15789856+57+383</f>
        <v>15790296</v>
      </c>
      <c r="H909" s="44">
        <v>3713</v>
      </c>
      <c r="I909" s="44">
        <f>263+41593+18</f>
        <v>41874</v>
      </c>
      <c r="J909" s="44">
        <v>39</v>
      </c>
      <c r="K909" s="44">
        <f>280</f>
        <v>280</v>
      </c>
    </row>
    <row r="910" spans="1:11" s="6" customFormat="1" ht="15" x14ac:dyDescent="0.2">
      <c r="A910" s="24"/>
      <c r="B910" s="17" t="s">
        <v>22</v>
      </c>
      <c r="C910" s="46">
        <v>27758</v>
      </c>
      <c r="D910" s="47">
        <v>26881</v>
      </c>
      <c r="E910" s="42">
        <f>732085+10085</f>
        <v>742170</v>
      </c>
      <c r="F910" s="43">
        <v>1572545</v>
      </c>
      <c r="G910" s="43">
        <f>13649114+57+383</f>
        <v>13649554</v>
      </c>
      <c r="H910" s="44">
        <v>4118</v>
      </c>
      <c r="I910" s="44">
        <f>205+41943+17</f>
        <v>42165</v>
      </c>
      <c r="J910" s="44">
        <v>60</v>
      </c>
      <c r="K910" s="44">
        <f>1+284</f>
        <v>285</v>
      </c>
    </row>
    <row r="911" spans="1:11" ht="15" x14ac:dyDescent="0.2">
      <c r="A911" s="24"/>
      <c r="B911" s="17"/>
      <c r="C911" s="46"/>
      <c r="D911" s="47"/>
      <c r="E911" s="42"/>
      <c r="F911" s="43"/>
      <c r="G911" s="43"/>
      <c r="H911" s="44"/>
      <c r="I911" s="44"/>
      <c r="J911" s="44"/>
      <c r="K911" s="44"/>
    </row>
    <row r="912" spans="1:11" ht="15.75" x14ac:dyDescent="0.25">
      <c r="A912" s="24" t="s">
        <v>19</v>
      </c>
      <c r="B912" s="16" t="s">
        <v>88</v>
      </c>
      <c r="C912" s="46"/>
      <c r="D912" s="47"/>
      <c r="E912" s="42"/>
      <c r="F912" s="48"/>
      <c r="G912" s="48"/>
      <c r="H912" s="44"/>
      <c r="I912" s="44"/>
      <c r="J912" s="44"/>
      <c r="K912" s="44"/>
    </row>
    <row r="913" spans="1:11" s="6" customFormat="1" ht="15" x14ac:dyDescent="0.2">
      <c r="A913" s="24" t="s">
        <v>19</v>
      </c>
      <c r="B913" s="17" t="s">
        <v>24</v>
      </c>
      <c r="C913" s="46">
        <v>27382</v>
      </c>
      <c r="D913" s="47">
        <v>26502</v>
      </c>
      <c r="E913" s="42">
        <f>733692+11006</f>
        <v>744698</v>
      </c>
      <c r="F913" s="48">
        <v>1715277</v>
      </c>
      <c r="G913" s="48">
        <f>16325270+57+383</f>
        <v>16325710</v>
      </c>
      <c r="H913" s="44">
        <f>2975+5</f>
        <v>2980</v>
      </c>
      <c r="I913" s="44">
        <f>38506+212</f>
        <v>38718</v>
      </c>
      <c r="J913" s="44">
        <v>33</v>
      </c>
      <c r="K913" s="44">
        <f>194+2</f>
        <v>196</v>
      </c>
    </row>
    <row r="914" spans="1:11" s="6" customFormat="1" ht="15" x14ac:dyDescent="0.2">
      <c r="A914" s="24"/>
      <c r="B914" s="17" t="s">
        <v>25</v>
      </c>
      <c r="C914" s="46">
        <v>25010</v>
      </c>
      <c r="D914" s="47">
        <v>21487</v>
      </c>
      <c r="E914" s="42">
        <f>738339+11913</f>
        <v>750252</v>
      </c>
      <c r="F914" s="48">
        <v>1624624</v>
      </c>
      <c r="G914" s="48">
        <f>19921134+57+383</f>
        <v>19921574</v>
      </c>
      <c r="H914" s="44">
        <f>4186+1</f>
        <v>4187</v>
      </c>
      <c r="I914" s="44">
        <f>50698+382</f>
        <v>51080</v>
      </c>
      <c r="J914" s="44">
        <v>44</v>
      </c>
      <c r="K914" s="44">
        <f>390+1</f>
        <v>391</v>
      </c>
    </row>
    <row r="915" spans="1:11" s="6" customFormat="1" ht="15" x14ac:dyDescent="0.2">
      <c r="A915" s="24"/>
      <c r="B915" s="17" t="s">
        <v>11</v>
      </c>
      <c r="C915" s="46">
        <v>22060</v>
      </c>
      <c r="D915" s="47">
        <v>21390</v>
      </c>
      <c r="E915" s="42">
        <f>738171+12846</f>
        <v>751017</v>
      </c>
      <c r="F915" s="43">
        <v>1969187</v>
      </c>
      <c r="G915" s="43">
        <f>28473087+57+383</f>
        <v>28473527</v>
      </c>
      <c r="H915" s="44">
        <f>3941+1</f>
        <v>3942</v>
      </c>
      <c r="I915" s="44">
        <f>51657+264</f>
        <v>51921</v>
      </c>
      <c r="J915" s="44">
        <v>28</v>
      </c>
      <c r="K915" s="44">
        <f>289</f>
        <v>289</v>
      </c>
    </row>
    <row r="916" spans="1:11" ht="15" x14ac:dyDescent="0.2">
      <c r="A916" s="24"/>
      <c r="B916" s="17"/>
      <c r="C916" s="46"/>
      <c r="D916" s="47"/>
      <c r="E916" s="42"/>
      <c r="F916" s="43"/>
      <c r="G916" s="43"/>
      <c r="H916" s="44"/>
      <c r="I916" s="44"/>
      <c r="J916" s="44"/>
      <c r="K916" s="44"/>
    </row>
    <row r="917" spans="1:11" ht="15.75" x14ac:dyDescent="0.25">
      <c r="A917" s="24" t="s">
        <v>19</v>
      </c>
      <c r="B917" s="16" t="s">
        <v>89</v>
      </c>
      <c r="C917" s="46"/>
      <c r="D917" s="47"/>
      <c r="E917" s="42"/>
      <c r="F917" s="48"/>
      <c r="G917" s="48"/>
      <c r="H917" s="44"/>
      <c r="I917" s="44"/>
      <c r="J917" s="44"/>
      <c r="K917" s="44"/>
    </row>
    <row r="918" spans="1:11" s="6" customFormat="1" ht="15" x14ac:dyDescent="0.2">
      <c r="A918" s="24" t="s">
        <v>19</v>
      </c>
      <c r="B918" s="17" t="s">
        <v>12</v>
      </c>
      <c r="C918" s="46">
        <v>21890</v>
      </c>
      <c r="D918" s="47">
        <v>21170</v>
      </c>
      <c r="E918" s="42">
        <f>738190+14137</f>
        <v>752327</v>
      </c>
      <c r="F918" s="48">
        <v>1936518</v>
      </c>
      <c r="G918" s="48">
        <f>28474776+57+383</f>
        <v>28475216</v>
      </c>
      <c r="H918" s="44">
        <f>4321+2</f>
        <v>4323</v>
      </c>
      <c r="I918" s="44">
        <f>273+49819</f>
        <v>50092</v>
      </c>
      <c r="J918" s="44">
        <v>51</v>
      </c>
      <c r="K918" s="44">
        <f>297+3</f>
        <v>300</v>
      </c>
    </row>
    <row r="919" spans="1:11" s="6" customFormat="1" ht="15" x14ac:dyDescent="0.2">
      <c r="A919" s="24"/>
      <c r="B919" s="17" t="s">
        <v>13</v>
      </c>
      <c r="C919" s="46">
        <v>22014</v>
      </c>
      <c r="D919" s="47">
        <v>21757</v>
      </c>
      <c r="E919" s="42">
        <f>739780+15243</f>
        <v>755023</v>
      </c>
      <c r="F919" s="48">
        <v>1872197</v>
      </c>
      <c r="G919" s="48">
        <f>24519319+57+383</f>
        <v>24519759</v>
      </c>
      <c r="H919" s="44">
        <f>3405+5</f>
        <v>3410</v>
      </c>
      <c r="I919" s="44">
        <f>37977+169</f>
        <v>38146</v>
      </c>
      <c r="J919" s="44">
        <v>34</v>
      </c>
      <c r="K919" s="44">
        <f>239+1</f>
        <v>240</v>
      </c>
    </row>
    <row r="920" spans="1:11" s="6" customFormat="1" ht="15" x14ac:dyDescent="0.2">
      <c r="A920" s="24"/>
      <c r="B920" s="17" t="s">
        <v>14</v>
      </c>
      <c r="C920" s="46">
        <v>22805</v>
      </c>
      <c r="D920" s="47">
        <v>22299</v>
      </c>
      <c r="E920" s="42">
        <f>739271+16015</f>
        <v>755286</v>
      </c>
      <c r="F920" s="43">
        <v>1545678</v>
      </c>
      <c r="G920" s="43">
        <f>21328910+149717+782+57+383</f>
        <v>21479849</v>
      </c>
      <c r="H920" s="44">
        <f>3193+6</f>
        <v>3199</v>
      </c>
      <c r="I920" s="44">
        <f>37576+137</f>
        <v>37713</v>
      </c>
      <c r="J920" s="44">
        <v>20</v>
      </c>
      <c r="K920" s="44">
        <f>169+2</f>
        <v>171</v>
      </c>
    </row>
    <row r="921" spans="1:11" ht="15" x14ac:dyDescent="0.2">
      <c r="A921" s="24"/>
      <c r="B921" s="17"/>
      <c r="C921" s="46"/>
      <c r="D921" s="47"/>
      <c r="E921" s="42"/>
      <c r="F921" s="43"/>
      <c r="G921" s="43"/>
      <c r="H921" s="44"/>
      <c r="I921" s="44"/>
      <c r="J921" s="44"/>
      <c r="K921" s="44"/>
    </row>
    <row r="922" spans="1:11" ht="15.75" x14ac:dyDescent="0.25">
      <c r="A922" s="24" t="s">
        <v>19</v>
      </c>
      <c r="B922" s="16" t="s">
        <v>90</v>
      </c>
      <c r="C922" s="46"/>
      <c r="D922" s="47"/>
      <c r="E922" s="42"/>
      <c r="F922" s="48"/>
      <c r="G922" s="48"/>
      <c r="H922" s="44"/>
      <c r="I922" s="44"/>
      <c r="J922" s="44"/>
      <c r="K922" s="44"/>
    </row>
    <row r="923" spans="1:11" ht="15" x14ac:dyDescent="0.2">
      <c r="A923" s="24">
        <v>2017</v>
      </c>
      <c r="B923" s="17" t="s">
        <v>15</v>
      </c>
      <c r="C923" s="46">
        <v>23467</v>
      </c>
      <c r="D923" s="47">
        <v>23478</v>
      </c>
      <c r="E923" s="42">
        <f>737466+17162</f>
        <v>754628</v>
      </c>
      <c r="F923" s="48">
        <v>1593592</v>
      </c>
      <c r="G923" s="48">
        <f>19505826+164525+57+383</f>
        <v>19670791</v>
      </c>
      <c r="H923" s="44">
        <f>3905+5</f>
        <v>3910</v>
      </c>
      <c r="I923" s="44">
        <f>40340+237</f>
        <v>40577</v>
      </c>
      <c r="J923" s="44">
        <v>19</v>
      </c>
      <c r="K923" s="44">
        <f>223+1</f>
        <v>224</v>
      </c>
    </row>
    <row r="924" spans="1:11" ht="15" x14ac:dyDescent="0.2">
      <c r="A924" s="24"/>
      <c r="B924" s="17" t="s">
        <v>16</v>
      </c>
      <c r="C924" s="46">
        <v>24566</v>
      </c>
      <c r="D924" s="47">
        <v>24525</v>
      </c>
      <c r="E924" s="42">
        <f>734918+18293</f>
        <v>753211</v>
      </c>
      <c r="F924" s="48">
        <v>1613853</v>
      </c>
      <c r="G924" s="48">
        <f>203454+19084518+57+383</f>
        <v>19288412</v>
      </c>
      <c r="H924" s="44">
        <f>3639+8</f>
        <v>3647</v>
      </c>
      <c r="I924" s="44">
        <f>39985+232</f>
        <v>40217</v>
      </c>
      <c r="J924" s="44">
        <f>28+1</f>
        <v>29</v>
      </c>
      <c r="K924" s="44">
        <f>259</f>
        <v>259</v>
      </c>
    </row>
    <row r="925" spans="1:11" ht="15" x14ac:dyDescent="0.2">
      <c r="A925" s="24"/>
      <c r="B925" s="17" t="s">
        <v>17</v>
      </c>
      <c r="C925" s="46">
        <v>25573</v>
      </c>
      <c r="D925" s="47">
        <v>24900</v>
      </c>
      <c r="E925" s="42">
        <f>735359+19538</f>
        <v>754897</v>
      </c>
      <c r="F925" s="43">
        <v>1581334</v>
      </c>
      <c r="G925" s="43">
        <f>209620+17685384+57+383</f>
        <v>17895444</v>
      </c>
      <c r="H925" s="44">
        <f>3255+5</f>
        <v>3260</v>
      </c>
      <c r="I925" s="44">
        <f>42695+247</f>
        <v>42942</v>
      </c>
      <c r="J925" s="44">
        <v>42</v>
      </c>
      <c r="K925" s="44">
        <f>298+1</f>
        <v>299</v>
      </c>
    </row>
    <row r="926" spans="1:11" ht="15" x14ac:dyDescent="0.2">
      <c r="A926" s="24"/>
      <c r="B926" s="17"/>
      <c r="C926" s="46"/>
      <c r="D926" s="47"/>
      <c r="E926" s="42"/>
      <c r="F926" s="43"/>
      <c r="G926" s="43"/>
      <c r="H926" s="44"/>
      <c r="I926" s="44"/>
      <c r="J926" s="44"/>
      <c r="K926" s="44"/>
    </row>
    <row r="927" spans="1:11" ht="15.75" x14ac:dyDescent="0.25">
      <c r="A927" s="24" t="s">
        <v>19</v>
      </c>
      <c r="B927" s="16" t="s">
        <v>91</v>
      </c>
      <c r="C927" s="46"/>
      <c r="D927" s="47"/>
      <c r="E927" s="42"/>
      <c r="F927" s="48"/>
      <c r="G927" s="48"/>
      <c r="H927" s="44"/>
      <c r="I927" s="44"/>
      <c r="J927" s="44"/>
      <c r="K927" s="44"/>
    </row>
    <row r="928" spans="1:11" ht="15" x14ac:dyDescent="0.2">
      <c r="A928" s="24" t="s">
        <v>19</v>
      </c>
      <c r="B928" s="17" t="s">
        <v>20</v>
      </c>
      <c r="C928" s="46">
        <v>25337</v>
      </c>
      <c r="D928" s="47">
        <v>24581</v>
      </c>
      <c r="E928" s="42">
        <f>20392+736301</f>
        <v>756693</v>
      </c>
      <c r="F928" s="48">
        <v>1576057</v>
      </c>
      <c r="G928" s="48">
        <f>186803+16660681+57+383</f>
        <v>16847924</v>
      </c>
      <c r="H928" s="44">
        <f>3072+6</f>
        <v>3078</v>
      </c>
      <c r="I928" s="44">
        <f>248+36385</f>
        <v>36633</v>
      </c>
      <c r="J928" s="44">
        <v>42</v>
      </c>
      <c r="K928" s="44">
        <f>2+194</f>
        <v>196</v>
      </c>
    </row>
    <row r="929" spans="1:11" ht="15" x14ac:dyDescent="0.2">
      <c r="A929" s="24"/>
      <c r="B929" s="17" t="s">
        <v>21</v>
      </c>
      <c r="C929" s="46">
        <v>25009</v>
      </c>
      <c r="D929" s="47">
        <v>24118</v>
      </c>
      <c r="E929" s="42">
        <f>21375+737183</f>
        <v>758558</v>
      </c>
      <c r="F929" s="48">
        <v>1449694</v>
      </c>
      <c r="G929" s="48">
        <f>135929+14025975+57+383</f>
        <v>14162344</v>
      </c>
      <c r="H929" s="44">
        <f>3385+8</f>
        <v>3393</v>
      </c>
      <c r="I929" s="44">
        <f>191+38565</f>
        <v>38756</v>
      </c>
      <c r="J929" s="44">
        <v>47</v>
      </c>
      <c r="K929" s="44">
        <f>230</f>
        <v>230</v>
      </c>
    </row>
    <row r="930" spans="1:11" ht="15" x14ac:dyDescent="0.2">
      <c r="A930" s="24"/>
      <c r="B930" s="17" t="s">
        <v>22</v>
      </c>
      <c r="C930" s="46">
        <v>24566</v>
      </c>
      <c r="D930" s="47">
        <v>23710</v>
      </c>
      <c r="E930" s="42">
        <f>22119+737024</f>
        <v>759143</v>
      </c>
      <c r="F930" s="43">
        <v>1371816</v>
      </c>
      <c r="G930" s="43">
        <f>107566+12526355+57+383</f>
        <v>12634361</v>
      </c>
      <c r="H930" s="44">
        <f>3425+7</f>
        <v>3432</v>
      </c>
      <c r="I930" s="44">
        <f>143+37979</f>
        <v>38122</v>
      </c>
      <c r="J930" s="44">
        <v>26</v>
      </c>
      <c r="K930" s="44">
        <v>172</v>
      </c>
    </row>
    <row r="931" spans="1:11" ht="15" x14ac:dyDescent="0.2">
      <c r="A931" s="24"/>
      <c r="B931" s="17"/>
      <c r="C931" s="46"/>
      <c r="D931" s="47"/>
      <c r="E931" s="42"/>
      <c r="F931" s="43"/>
      <c r="G931" s="43"/>
      <c r="H931" s="44"/>
      <c r="I931" s="44"/>
      <c r="J931" s="44"/>
      <c r="K931" s="44"/>
    </row>
    <row r="932" spans="1:11" ht="15.75" x14ac:dyDescent="0.25">
      <c r="A932" s="24" t="s">
        <v>19</v>
      </c>
      <c r="B932" s="16" t="s">
        <v>92</v>
      </c>
      <c r="C932" s="46"/>
      <c r="D932" s="47"/>
      <c r="E932" s="42"/>
      <c r="F932" s="48"/>
      <c r="G932" s="48"/>
      <c r="H932" s="44"/>
      <c r="I932" s="44"/>
      <c r="J932" s="44"/>
      <c r="K932" s="44"/>
    </row>
    <row r="933" spans="1:11" ht="15" x14ac:dyDescent="0.2">
      <c r="A933" s="24" t="s">
        <v>19</v>
      </c>
      <c r="B933" s="17" t="s">
        <v>24</v>
      </c>
      <c r="C933" s="46">
        <v>24120</v>
      </c>
      <c r="D933" s="47">
        <f>23255+111</f>
        <v>23366</v>
      </c>
      <c r="E933" s="42">
        <f>23024+737831+2538</f>
        <v>763393</v>
      </c>
      <c r="F933" s="48">
        <v>1475460</v>
      </c>
      <c r="G933" s="48">
        <f>107202+14648483+8376+57+383</f>
        <v>14764501</v>
      </c>
      <c r="H933" s="44">
        <f>4+2755+4</f>
        <v>2763</v>
      </c>
      <c r="I933" s="44">
        <f>151+35175+53</f>
        <v>35379</v>
      </c>
      <c r="J933" s="44">
        <v>27</v>
      </c>
      <c r="K933" s="44">
        <v>206</v>
      </c>
    </row>
    <row r="934" spans="1:11" ht="15" x14ac:dyDescent="0.2">
      <c r="A934" s="24"/>
      <c r="B934" s="17" t="s">
        <v>25</v>
      </c>
      <c r="C934" s="46">
        <v>22528</v>
      </c>
      <c r="D934" s="47">
        <f>18995+92</f>
        <v>19087</v>
      </c>
      <c r="E934" s="42">
        <f>23831+741850+2544</f>
        <v>768225</v>
      </c>
      <c r="F934" s="48">
        <v>1462258</v>
      </c>
      <c r="G934" s="48">
        <f>147771+19174361+10920+57+383</f>
        <v>19333492</v>
      </c>
      <c r="H934" s="44">
        <f>10+4023+5</f>
        <v>4038</v>
      </c>
      <c r="I934" s="44">
        <f>224+48920+70</f>
        <v>49214</v>
      </c>
      <c r="J934" s="44">
        <v>43</v>
      </c>
      <c r="K934" s="44">
        <v>260</v>
      </c>
    </row>
    <row r="935" spans="1:11" ht="15" x14ac:dyDescent="0.2">
      <c r="A935" s="24"/>
      <c r="B935" s="17" t="s">
        <v>11</v>
      </c>
      <c r="C935" s="46">
        <v>20869</v>
      </c>
      <c r="D935" s="47">
        <f>20100+104</f>
        <v>20204</v>
      </c>
      <c r="E935" s="42">
        <f>24441+739246+2532</f>
        <v>766219</v>
      </c>
      <c r="F935" s="43">
        <v>1863844</v>
      </c>
      <c r="G935" s="43">
        <f>214421+26936899+14155+57+301+383</f>
        <v>27166216</v>
      </c>
      <c r="H935" s="44">
        <f>8+3277+3</f>
        <v>3288</v>
      </c>
      <c r="I935" s="44">
        <f>284+46080+74</f>
        <v>46438</v>
      </c>
      <c r="J935" s="44">
        <v>31</v>
      </c>
      <c r="K935" s="44">
        <v>224</v>
      </c>
    </row>
    <row r="936" spans="1:11" ht="15" x14ac:dyDescent="0.2">
      <c r="A936" s="24"/>
      <c r="B936" s="17"/>
      <c r="C936" s="46"/>
      <c r="D936" s="47"/>
      <c r="E936" s="42"/>
      <c r="F936" s="43"/>
      <c r="G936" s="43"/>
      <c r="H936" s="44"/>
      <c r="I936" s="44"/>
      <c r="J936" s="44"/>
      <c r="K936" s="44"/>
    </row>
    <row r="937" spans="1:11" ht="15.75" x14ac:dyDescent="0.25">
      <c r="A937" s="24" t="s">
        <v>19</v>
      </c>
      <c r="B937" s="16" t="s">
        <v>93</v>
      </c>
      <c r="C937" s="46"/>
      <c r="D937" s="47"/>
      <c r="E937" s="42"/>
      <c r="F937" s="48"/>
      <c r="G937" s="48"/>
      <c r="H937" s="44"/>
      <c r="I937" s="44"/>
      <c r="J937" s="44"/>
      <c r="K937" s="44"/>
    </row>
    <row r="938" spans="1:11" ht="15" x14ac:dyDescent="0.2">
      <c r="A938" s="24" t="s">
        <v>19</v>
      </c>
      <c r="B938" s="17" t="s">
        <v>12</v>
      </c>
      <c r="C938" s="46">
        <v>20563</v>
      </c>
      <c r="D938" s="47">
        <f>105+19962</f>
        <v>20067</v>
      </c>
      <c r="E938" s="42">
        <f>25193+742838</f>
        <v>768031</v>
      </c>
      <c r="F938" s="48">
        <f>4487+1986535</f>
        <v>1991022</v>
      </c>
      <c r="G938" s="48">
        <f>239331+30521121+17652+57+273+383</f>
        <v>30778817</v>
      </c>
      <c r="H938" s="44">
        <f>10+4153+8</f>
        <v>4171</v>
      </c>
      <c r="I938" s="44">
        <f>341+51868+20+74</f>
        <v>52303</v>
      </c>
      <c r="J938" s="44">
        <v>26</v>
      </c>
      <c r="K938" s="44">
        <v>255</v>
      </c>
    </row>
    <row r="939" spans="1:11" ht="15" x14ac:dyDescent="0.2">
      <c r="A939" s="24"/>
      <c r="B939" s="17" t="s">
        <v>13</v>
      </c>
      <c r="C939" s="46">
        <v>20731</v>
      </c>
      <c r="D939" s="47">
        <f>111+20435</f>
        <v>20546</v>
      </c>
      <c r="E939" s="42">
        <f>25857+744264</f>
        <v>770121</v>
      </c>
      <c r="F939" s="48">
        <f>4248+1691875</f>
        <v>1696123</v>
      </c>
      <c r="G939" s="48">
        <f>182782+24101599+14425+57+328+383</f>
        <v>24299574</v>
      </c>
      <c r="H939" s="44">
        <f>4+2974+3</f>
        <v>2981</v>
      </c>
      <c r="I939" s="44">
        <f>426+37588+14+63</f>
        <v>38091</v>
      </c>
      <c r="J939" s="44">
        <v>28</v>
      </c>
      <c r="K939" s="44">
        <v>272</v>
      </c>
    </row>
    <row r="940" spans="1:11" ht="15" x14ac:dyDescent="0.2">
      <c r="A940" s="24"/>
      <c r="B940" s="17" t="s">
        <v>14</v>
      </c>
      <c r="C940" s="46">
        <v>21429</v>
      </c>
      <c r="D940" s="47">
        <f>124+21433</f>
        <v>21557</v>
      </c>
      <c r="E940" s="42">
        <f>26684+744935</f>
        <v>771619</v>
      </c>
      <c r="F940" s="43">
        <f>5208+1749070</f>
        <v>1754278</v>
      </c>
      <c r="G940" s="43">
        <f>159252+20208880+13566+57+932+383</f>
        <v>20383070</v>
      </c>
      <c r="H940" s="44">
        <f>9+2766+5</f>
        <v>2780</v>
      </c>
      <c r="I940" s="44">
        <f>202+35845+16+45</f>
        <v>36108</v>
      </c>
      <c r="J940" s="44">
        <v>17</v>
      </c>
      <c r="K940" s="44">
        <v>157</v>
      </c>
    </row>
    <row r="941" spans="1:11" ht="15" x14ac:dyDescent="0.2">
      <c r="A941" s="24"/>
      <c r="B941" s="17"/>
      <c r="C941" s="46"/>
      <c r="D941" s="47"/>
      <c r="E941" s="42"/>
      <c r="F941" s="43"/>
      <c r="G941" s="43"/>
      <c r="H941" s="44"/>
      <c r="I941" s="44"/>
      <c r="J941" s="44"/>
      <c r="K941" s="44"/>
    </row>
    <row r="942" spans="1:11" ht="15.75" x14ac:dyDescent="0.25">
      <c r="A942" s="24" t="s">
        <v>19</v>
      </c>
      <c r="B942" s="16" t="s">
        <v>94</v>
      </c>
      <c r="C942" s="46"/>
      <c r="D942" s="47"/>
      <c r="E942" s="42"/>
      <c r="F942" s="48"/>
      <c r="G942" s="48"/>
      <c r="H942" s="44"/>
      <c r="I942" s="44"/>
      <c r="J942" s="44"/>
      <c r="K942" s="44"/>
    </row>
    <row r="943" spans="1:11" ht="15" x14ac:dyDescent="0.2">
      <c r="A943" s="24">
        <v>2018</v>
      </c>
      <c r="B943" s="17" t="s">
        <v>15</v>
      </c>
      <c r="C943" s="46">
        <v>22268</v>
      </c>
      <c r="D943" s="47">
        <f>145+22453</f>
        <v>22598</v>
      </c>
      <c r="E943" s="42">
        <f>27643+745267</f>
        <v>772910</v>
      </c>
      <c r="F943" s="48">
        <v>1328594</v>
      </c>
      <c r="G943" s="48">
        <v>14749421</v>
      </c>
      <c r="H943" s="44">
        <f>20+3722+7</f>
        <v>3749</v>
      </c>
      <c r="I943" s="44">
        <f>277+39840+19+66</f>
        <v>40202</v>
      </c>
      <c r="J943" s="44">
        <v>29</v>
      </c>
      <c r="K943" s="44">
        <v>248</v>
      </c>
    </row>
    <row r="944" spans="1:11" ht="15" x14ac:dyDescent="0.2">
      <c r="A944" s="24"/>
      <c r="B944" s="17" t="s">
        <v>16</v>
      </c>
      <c r="C944" s="46">
        <v>23547</v>
      </c>
      <c r="D944" s="47">
        <f>162+23381</f>
        <v>23543</v>
      </c>
      <c r="E944" s="42">
        <f>28251+745607</f>
        <v>773858</v>
      </c>
      <c r="F944" s="48">
        <f>1578407</f>
        <v>1578407</v>
      </c>
      <c r="G944" s="48">
        <f>226108+17235932+57+383</f>
        <v>17462480</v>
      </c>
      <c r="H944" s="44">
        <f>14+3268+7</f>
        <v>3289</v>
      </c>
      <c r="I944" s="44">
        <f>320+38422+18+53</f>
        <v>38813</v>
      </c>
      <c r="J944" s="44">
        <v>12</v>
      </c>
      <c r="K944" s="44">
        <v>200</v>
      </c>
    </row>
    <row r="945" spans="1:11" ht="15" x14ac:dyDescent="0.2">
      <c r="A945" s="24"/>
      <c r="B945" s="17" t="s">
        <v>17</v>
      </c>
      <c r="C945" s="46">
        <v>24313</v>
      </c>
      <c r="D945" s="47">
        <f>176+23965</f>
        <v>24141</v>
      </c>
      <c r="E945" s="42">
        <f>28632+746367</f>
        <v>774999</v>
      </c>
      <c r="F945" s="43">
        <v>1456739</v>
      </c>
      <c r="G945" s="43">
        <f>217611+16182684+57+383</f>
        <v>16400735</v>
      </c>
      <c r="H945" s="44">
        <f>12+3075+2</f>
        <v>3089</v>
      </c>
      <c r="I945" s="44">
        <f>493+38107+13+48</f>
        <v>38661</v>
      </c>
      <c r="J945" s="44">
        <v>22</v>
      </c>
      <c r="K945" s="44">
        <v>205</v>
      </c>
    </row>
    <row r="946" spans="1:11" ht="15" x14ac:dyDescent="0.2">
      <c r="A946" s="24"/>
      <c r="B946" s="17"/>
      <c r="C946" s="46"/>
      <c r="D946" s="47"/>
      <c r="E946" s="42"/>
      <c r="F946" s="43"/>
      <c r="G946" s="43"/>
      <c r="H946" s="44"/>
      <c r="I946" s="44"/>
      <c r="J946" s="44"/>
      <c r="K946" s="44"/>
    </row>
    <row r="947" spans="1:11" ht="15.75" x14ac:dyDescent="0.25">
      <c r="A947" s="24" t="s">
        <v>19</v>
      </c>
      <c r="B947" s="16" t="s">
        <v>95</v>
      </c>
      <c r="C947" s="46"/>
      <c r="D947" s="47"/>
      <c r="E947" s="42"/>
      <c r="F947" s="48"/>
      <c r="G947" s="48"/>
      <c r="H947" s="44"/>
      <c r="I947" s="44"/>
      <c r="J947" s="44"/>
      <c r="K947" s="44"/>
    </row>
    <row r="948" spans="1:11" ht="15" x14ac:dyDescent="0.2">
      <c r="A948" s="24" t="s">
        <v>19</v>
      </c>
      <c r="B948" s="17" t="s">
        <v>20</v>
      </c>
      <c r="C948" s="46">
        <v>24695</v>
      </c>
      <c r="D948" s="47">
        <f>187+24170</f>
        <v>24357</v>
      </c>
      <c r="E948" s="42">
        <f>28840+747478</f>
        <v>776318</v>
      </c>
      <c r="F948" s="48">
        <f>8086.85+1164732.65+3154.2</f>
        <v>1175973.7</v>
      </c>
      <c r="G948" s="48">
        <f>177338.93+12174988.2+6953.9+1351.53+48945.62</f>
        <v>12409578.179999998</v>
      </c>
      <c r="H948" s="44">
        <f>13+3095+3</f>
        <v>3111</v>
      </c>
      <c r="I948" s="44">
        <f>278+36857+13+58</f>
        <v>37206</v>
      </c>
      <c r="J948" s="44">
        <f>1+38</f>
        <v>39</v>
      </c>
      <c r="K948" s="44">
        <f>1+248</f>
        <v>249</v>
      </c>
    </row>
    <row r="949" spans="1:11" ht="15" x14ac:dyDescent="0.2">
      <c r="A949" s="24"/>
      <c r="B949" s="17" t="s">
        <v>21</v>
      </c>
      <c r="C949" s="46">
        <v>24695</v>
      </c>
      <c r="D949" s="47">
        <f>189+24104</f>
        <v>24293</v>
      </c>
      <c r="E949" s="42">
        <f>29006+748553</f>
        <v>777559</v>
      </c>
      <c r="F949" s="48">
        <f>8087.58+1408758.21</f>
        <v>1416845.79</v>
      </c>
      <c r="G949" s="48">
        <f>151734.97+13279654.84+6668.29+57.04+1627.58+382.6</f>
        <v>13440125.319999998</v>
      </c>
      <c r="H949" s="44">
        <f>14+3297+4</f>
        <v>3315</v>
      </c>
      <c r="I949" s="44">
        <f>268+37216+17+48</f>
        <v>37549</v>
      </c>
      <c r="J949" s="44">
        <f>36</f>
        <v>36</v>
      </c>
      <c r="K949" s="44">
        <f>1+247</f>
        <v>248</v>
      </c>
    </row>
    <row r="950" spans="1:11" ht="15" x14ac:dyDescent="0.2">
      <c r="A950" s="24"/>
      <c r="B950" s="17" t="s">
        <v>22</v>
      </c>
      <c r="C950" s="46">
        <v>24423</v>
      </c>
      <c r="D950" s="47">
        <f>185+23758</f>
        <v>23943</v>
      </c>
      <c r="E950" s="42">
        <f>29101+748681</f>
        <v>777782</v>
      </c>
      <c r="F950" s="43">
        <f>7455+1288430</f>
        <v>1295885</v>
      </c>
      <c r="G950" s="43">
        <f>120161+11560922+5385+57+1335+383</f>
        <v>11688243</v>
      </c>
      <c r="H950" s="44">
        <f>10+3094+2</f>
        <v>3106</v>
      </c>
      <c r="I950" s="44">
        <f>352+36561+13+2+45</f>
        <v>36973</v>
      </c>
      <c r="J950" s="44">
        <f>42</f>
        <v>42</v>
      </c>
      <c r="K950" s="44">
        <v>240</v>
      </c>
    </row>
    <row r="951" spans="1:11" ht="15" x14ac:dyDescent="0.2">
      <c r="A951" s="24"/>
      <c r="B951" s="17"/>
      <c r="C951" s="46"/>
      <c r="D951" s="47"/>
      <c r="E951" s="42"/>
      <c r="F951" s="43"/>
      <c r="G951" s="43"/>
      <c r="H951" s="44"/>
      <c r="I951" s="44"/>
      <c r="J951" s="44"/>
      <c r="K951" s="44"/>
    </row>
    <row r="952" spans="1:11" ht="15.75" x14ac:dyDescent="0.25">
      <c r="A952" s="89" t="s">
        <v>114</v>
      </c>
      <c r="B952" s="17"/>
      <c r="C952" s="18"/>
      <c r="D952" s="18"/>
      <c r="E952" s="18"/>
      <c r="F952" s="18"/>
      <c r="G952" s="18"/>
      <c r="H952" s="18"/>
      <c r="I952" s="18"/>
      <c r="J952" s="18"/>
      <c r="K952" s="18"/>
    </row>
    <row r="953" spans="1:11" ht="27.75" x14ac:dyDescent="0.55000000000000004">
      <c r="A953" s="82"/>
      <c r="B953" s="16"/>
      <c r="C953" s="18"/>
      <c r="D953" s="105" t="s">
        <v>158</v>
      </c>
      <c r="E953" s="105"/>
      <c r="F953" s="105" t="s">
        <v>159</v>
      </c>
      <c r="G953" s="105"/>
      <c r="H953" s="105" t="s">
        <v>105</v>
      </c>
      <c r="I953" s="105"/>
      <c r="J953" s="105" t="s">
        <v>106</v>
      </c>
      <c r="K953" s="105"/>
    </row>
    <row r="954" spans="1:11" ht="17.25" customHeight="1" x14ac:dyDescent="0.25">
      <c r="A954" s="21" t="s">
        <v>8</v>
      </c>
      <c r="B954" s="16" t="s">
        <v>32</v>
      </c>
      <c r="C954" s="40" t="s">
        <v>107</v>
      </c>
      <c r="D954" s="40" t="s">
        <v>108</v>
      </c>
      <c r="E954" s="40" t="s">
        <v>109</v>
      </c>
      <c r="F954" s="40" t="s">
        <v>108</v>
      </c>
      <c r="G954" s="40" t="s">
        <v>109</v>
      </c>
      <c r="H954" s="40" t="s">
        <v>108</v>
      </c>
      <c r="I954" s="40" t="s">
        <v>109</v>
      </c>
      <c r="J954" s="40" t="s">
        <v>108</v>
      </c>
      <c r="K954" s="40" t="s">
        <v>109</v>
      </c>
    </row>
    <row r="955" spans="1:11" s="6" customFormat="1" ht="17.25" customHeight="1" x14ac:dyDescent="0.2">
      <c r="A955" s="24"/>
      <c r="B955" s="17"/>
      <c r="C955" s="46"/>
      <c r="D955" s="47"/>
      <c r="E955" s="42"/>
      <c r="F955" s="43"/>
      <c r="G955" s="43"/>
      <c r="H955" s="44"/>
      <c r="I955" s="44"/>
      <c r="J955" s="44"/>
      <c r="K955" s="44"/>
    </row>
    <row r="956" spans="1:11" ht="17.25" hidden="1" customHeight="1" x14ac:dyDescent="0.2">
      <c r="A956" s="24"/>
      <c r="B956" s="17"/>
      <c r="C956" s="46"/>
      <c r="D956" s="47"/>
      <c r="E956" s="42"/>
      <c r="F956" s="43"/>
      <c r="G956" s="43"/>
      <c r="H956" s="44"/>
      <c r="I956" s="44"/>
      <c r="J956" s="44"/>
      <c r="K956" s="44"/>
    </row>
    <row r="957" spans="1:11" ht="17.25" hidden="1" customHeight="1" x14ac:dyDescent="0.25">
      <c r="A957" s="24" t="s">
        <v>19</v>
      </c>
      <c r="B957" s="16" t="s">
        <v>96</v>
      </c>
      <c r="C957" s="46"/>
      <c r="D957" s="47"/>
      <c r="E957" s="42"/>
      <c r="F957" s="48"/>
      <c r="G957" s="48"/>
      <c r="H957" s="44"/>
      <c r="I957" s="44"/>
      <c r="J957" s="44"/>
      <c r="K957" s="44"/>
    </row>
    <row r="958" spans="1:11" ht="17.25" hidden="1" customHeight="1" x14ac:dyDescent="0.2">
      <c r="A958" s="24">
        <v>2018</v>
      </c>
      <c r="B958" s="17" t="s">
        <v>24</v>
      </c>
      <c r="C958" s="46">
        <v>24214</v>
      </c>
      <c r="D958" s="47">
        <f>23473+183</f>
        <v>23656</v>
      </c>
      <c r="E958" s="42">
        <f>750976+29163</f>
        <v>780139</v>
      </c>
      <c r="F958" s="48">
        <f>6664+1343560</f>
        <v>1350224</v>
      </c>
      <c r="G958" s="48">
        <f>108436+12871721+5543+57+2051+383</f>
        <v>12988191</v>
      </c>
      <c r="H958" s="44">
        <f>8+3113</f>
        <v>3121</v>
      </c>
      <c r="I958" s="44">
        <f>181+34211+10+1</f>
        <v>34403</v>
      </c>
      <c r="J958" s="44">
        <f>1+27</f>
        <v>28</v>
      </c>
      <c r="K958" s="44">
        <f>1+200</f>
        <v>201</v>
      </c>
    </row>
    <row r="959" spans="1:11" ht="17.25" hidden="1" customHeight="1" x14ac:dyDescent="0.2">
      <c r="A959" s="24"/>
      <c r="B959" s="17" t="s">
        <v>25</v>
      </c>
      <c r="C959" s="46">
        <v>23889</v>
      </c>
      <c r="D959" s="47">
        <f>23184+178</f>
        <v>23362</v>
      </c>
      <c r="E959" s="42">
        <f>751287+29224</f>
        <v>780511</v>
      </c>
      <c r="F959" s="48">
        <f>7606+1571526</f>
        <v>1579132</v>
      </c>
      <c r="G959" s="48">
        <f>138909+16761497+7049+57+2122+383</f>
        <v>16910017</v>
      </c>
      <c r="H959" s="44">
        <f>15+4231</f>
        <v>4246</v>
      </c>
      <c r="I959" s="44">
        <f>393+45791+19+1</f>
        <v>46204</v>
      </c>
      <c r="J959" s="44">
        <f>26</f>
        <v>26</v>
      </c>
      <c r="K959" s="44">
        <f>3+202</f>
        <v>205</v>
      </c>
    </row>
    <row r="960" spans="1:11" ht="17.25" hidden="1" customHeight="1" x14ac:dyDescent="0.2">
      <c r="A960" s="24"/>
      <c r="B960" s="17" t="s">
        <v>11</v>
      </c>
      <c r="C960" s="46">
        <v>23651</v>
      </c>
      <c r="D960" s="47">
        <f>22986+179</f>
        <v>23165</v>
      </c>
      <c r="E960" s="42">
        <f>753277+29310</f>
        <v>782587</v>
      </c>
      <c r="F960" s="43">
        <f>9152+2062865</f>
        <v>2072017</v>
      </c>
      <c r="G960" s="43">
        <f>234083+26331613+13586+57+3804+383</f>
        <v>26583526</v>
      </c>
      <c r="H960" s="44">
        <f>16+3548</f>
        <v>3564</v>
      </c>
      <c r="I960" s="44">
        <f>294+40123+16+2</f>
        <v>40435</v>
      </c>
      <c r="J960" s="44">
        <f>40</f>
        <v>40</v>
      </c>
      <c r="K960" s="44">
        <f>233</f>
        <v>233</v>
      </c>
    </row>
    <row r="961" spans="1:11" ht="17.25" hidden="1" customHeight="1" x14ac:dyDescent="0.2">
      <c r="A961" s="24"/>
      <c r="B961" s="17"/>
      <c r="C961" s="46"/>
      <c r="D961" s="47"/>
      <c r="E961" s="42"/>
      <c r="F961" s="43"/>
      <c r="G961" s="43"/>
      <c r="H961" s="44"/>
      <c r="I961" s="44"/>
      <c r="J961" s="44"/>
      <c r="K961" s="44"/>
    </row>
    <row r="962" spans="1:11" ht="17.25" hidden="1" customHeight="1" x14ac:dyDescent="0.25">
      <c r="A962" s="24" t="s">
        <v>19</v>
      </c>
      <c r="B962" s="16" t="s">
        <v>97</v>
      </c>
      <c r="C962" s="46"/>
      <c r="D962" s="47"/>
      <c r="E962" s="42"/>
      <c r="F962" s="48"/>
      <c r="G962" s="48"/>
      <c r="H962" s="44"/>
      <c r="I962" s="44"/>
      <c r="J962" s="44"/>
      <c r="K962" s="44"/>
    </row>
    <row r="963" spans="1:11" ht="17.25" hidden="1" customHeight="1" x14ac:dyDescent="0.2">
      <c r="A963" s="24" t="s">
        <v>19</v>
      </c>
      <c r="B963" s="17" t="s">
        <v>12</v>
      </c>
      <c r="C963" s="46">
        <v>23402</v>
      </c>
      <c r="D963" s="47">
        <v>22932</v>
      </c>
      <c r="E963" s="42">
        <v>784163</v>
      </c>
      <c r="F963" s="48">
        <v>2126320.5100000002</v>
      </c>
      <c r="G963" s="48">
        <v>26580084.729999997</v>
      </c>
      <c r="H963" s="44">
        <v>4103</v>
      </c>
      <c r="I963" s="44">
        <v>50139</v>
      </c>
      <c r="J963" s="44">
        <v>25</v>
      </c>
      <c r="K963" s="44">
        <f>183</f>
        <v>183</v>
      </c>
    </row>
    <row r="964" spans="1:11" ht="17.25" hidden="1" customHeight="1" x14ac:dyDescent="0.2">
      <c r="A964" s="24"/>
      <c r="B964" s="17" t="s">
        <v>13</v>
      </c>
      <c r="C964" s="46">
        <v>20629</v>
      </c>
      <c r="D964" s="47">
        <v>19522</v>
      </c>
      <c r="E964" s="42">
        <v>790276</v>
      </c>
      <c r="F964" s="48">
        <v>1752830.1199999999</v>
      </c>
      <c r="G964" s="48">
        <v>24788932.179999996</v>
      </c>
      <c r="H964" s="44">
        <v>2926</v>
      </c>
      <c r="I964" s="44">
        <v>36336</v>
      </c>
      <c r="J964" s="44">
        <v>17</v>
      </c>
      <c r="K964" s="44">
        <f>160</f>
        <v>160</v>
      </c>
    </row>
    <row r="965" spans="1:11" ht="17.25" hidden="1" customHeight="1" x14ac:dyDescent="0.2">
      <c r="A965" s="24"/>
      <c r="B965" s="17" t="s">
        <v>14</v>
      </c>
      <c r="C965" s="46">
        <v>20399</v>
      </c>
      <c r="D965" s="47">
        <v>20492</v>
      </c>
      <c r="E965" s="42">
        <v>790059</v>
      </c>
      <c r="F965" s="48">
        <v>1435762.58</v>
      </c>
      <c r="G965" s="48">
        <v>20227710.009999994</v>
      </c>
      <c r="H965" s="44">
        <v>2585</v>
      </c>
      <c r="I965" s="44">
        <v>33055</v>
      </c>
      <c r="J965" s="44">
        <v>22</v>
      </c>
      <c r="K965" s="44">
        <f>3+125</f>
        <v>128</v>
      </c>
    </row>
    <row r="966" spans="1:11" ht="17.25" hidden="1" customHeight="1" x14ac:dyDescent="0.2">
      <c r="A966" s="24"/>
      <c r="B966" s="17"/>
      <c r="C966" s="46"/>
      <c r="D966" s="47"/>
      <c r="E966" s="42"/>
      <c r="F966" s="43"/>
      <c r="G966" s="43"/>
      <c r="H966" s="44"/>
      <c r="I966" s="44"/>
      <c r="J966" s="44"/>
      <c r="K966" s="44"/>
    </row>
    <row r="967" spans="1:11" ht="17.25" hidden="1" customHeight="1" x14ac:dyDescent="0.25">
      <c r="A967" s="24" t="s">
        <v>19</v>
      </c>
      <c r="B967" s="16" t="s">
        <v>98</v>
      </c>
      <c r="C967" s="46"/>
      <c r="D967" s="47"/>
      <c r="E967" s="42"/>
      <c r="F967" s="48"/>
      <c r="G967" s="48"/>
      <c r="H967" s="44"/>
      <c r="I967" s="44"/>
      <c r="J967" s="44"/>
      <c r="K967" s="44"/>
    </row>
    <row r="968" spans="1:11" ht="17.25" hidden="1" customHeight="1" x14ac:dyDescent="0.2">
      <c r="A968" s="24">
        <v>2019</v>
      </c>
      <c r="B968" s="17" t="s">
        <v>15</v>
      </c>
      <c r="C968" s="46">
        <v>21258</v>
      </c>
      <c r="D968" s="47">
        <f>21328+179</f>
        <v>21507</v>
      </c>
      <c r="E968" s="42">
        <f>760082+384+29666</f>
        <v>790132</v>
      </c>
      <c r="F968" s="48">
        <f>7434+1426363</f>
        <v>1433797</v>
      </c>
      <c r="G968" s="48">
        <f>203622+18748714+10397+57+383</f>
        <v>18963173</v>
      </c>
      <c r="H968" s="44">
        <f>25+3348</f>
        <v>3373</v>
      </c>
      <c r="I968" s="44">
        <f>307+39309+18</f>
        <v>39634</v>
      </c>
      <c r="J968" s="44">
        <f>21</f>
        <v>21</v>
      </c>
      <c r="K968" s="44">
        <f>120</f>
        <v>120</v>
      </c>
    </row>
    <row r="969" spans="1:11" ht="17.25" hidden="1" customHeight="1" x14ac:dyDescent="0.2">
      <c r="A969" s="24"/>
      <c r="B969" s="17" t="s">
        <v>16</v>
      </c>
      <c r="C969" s="46">
        <v>22407</v>
      </c>
      <c r="D969" s="47">
        <f>22287+201</f>
        <v>22488</v>
      </c>
      <c r="E969" s="42">
        <f>760962+385+29669</f>
        <v>791016</v>
      </c>
      <c r="F969" s="48">
        <f>9656+1383975</f>
        <v>1393631</v>
      </c>
      <c r="G969" s="48">
        <f>291587+18855430+11283+57+383</f>
        <v>19158740</v>
      </c>
      <c r="H969" s="44">
        <f>22+2803</f>
        <v>2825</v>
      </c>
      <c r="I969" s="44">
        <f>326+37714+20</f>
        <v>38060</v>
      </c>
      <c r="J969" s="44">
        <f>16</f>
        <v>16</v>
      </c>
      <c r="K969" s="44">
        <f>1+153</f>
        <v>154</v>
      </c>
    </row>
    <row r="970" spans="1:11" ht="17.25" hidden="1" customHeight="1" x14ac:dyDescent="0.2">
      <c r="A970" s="24"/>
      <c r="B970" s="17" t="s">
        <v>17</v>
      </c>
      <c r="C970" s="46">
        <v>23157</v>
      </c>
      <c r="D970" s="47">
        <f>22677+213</f>
        <v>22890</v>
      </c>
      <c r="E970" s="42">
        <f>762068+386+29671</f>
        <v>792125</v>
      </c>
      <c r="F970" s="48">
        <f>9800+1316798</f>
        <v>1326598</v>
      </c>
      <c r="G970" s="48">
        <f>308638+17065283+9506+57+383</f>
        <v>17383867</v>
      </c>
      <c r="H970" s="44">
        <f>21+2415</f>
        <v>2436</v>
      </c>
      <c r="I970" s="44">
        <f>343+34424+11</f>
        <v>34778</v>
      </c>
      <c r="J970" s="44">
        <f>18</f>
        <v>18</v>
      </c>
      <c r="K970" s="44">
        <f>2+195</f>
        <v>197</v>
      </c>
    </row>
    <row r="971" spans="1:11" ht="17.25" hidden="1" customHeight="1" x14ac:dyDescent="0.2">
      <c r="A971" s="24"/>
      <c r="B971" s="17"/>
      <c r="C971" s="46"/>
      <c r="D971" s="47"/>
      <c r="E971" s="42"/>
      <c r="F971" s="43"/>
      <c r="G971" s="43"/>
      <c r="H971" s="44"/>
      <c r="I971" s="44"/>
      <c r="J971" s="44"/>
      <c r="K971" s="44"/>
    </row>
    <row r="972" spans="1:11" ht="17.25" hidden="1" customHeight="1" x14ac:dyDescent="0.25">
      <c r="A972" s="24" t="s">
        <v>19</v>
      </c>
      <c r="B972" s="16" t="s">
        <v>99</v>
      </c>
      <c r="C972" s="46"/>
      <c r="D972" s="47"/>
      <c r="E972" s="42"/>
      <c r="F972" s="48"/>
      <c r="G972" s="48"/>
      <c r="H972" s="44"/>
      <c r="I972" s="44"/>
      <c r="J972" s="44"/>
      <c r="K972" s="44"/>
    </row>
    <row r="973" spans="1:11" ht="17.25" hidden="1" customHeight="1" x14ac:dyDescent="0.2">
      <c r="A973" s="24" t="s">
        <v>19</v>
      </c>
      <c r="B973" s="17" t="s">
        <v>20</v>
      </c>
      <c r="C973" s="46">
        <v>23366</v>
      </c>
      <c r="D973" s="47">
        <f>23175+222</f>
        <v>23397</v>
      </c>
      <c r="E973" s="42">
        <f>762994+385+29647</f>
        <v>793026</v>
      </c>
      <c r="F973" s="48">
        <f>11122.5+1336949.4</f>
        <v>1348071.9</v>
      </c>
      <c r="G973" s="48">
        <f>302790.7+15756717.2+8832.1+57+382.6</f>
        <v>16068779.599999998</v>
      </c>
      <c r="H973" s="44">
        <f>15+2697</f>
        <v>2712</v>
      </c>
      <c r="I973" s="44">
        <f>351+37454+18</f>
        <v>37823</v>
      </c>
      <c r="J973" s="44">
        <v>25</v>
      </c>
      <c r="K973" s="44">
        <f>169</f>
        <v>169</v>
      </c>
    </row>
    <row r="974" spans="1:11" ht="17.25" hidden="1" customHeight="1" x14ac:dyDescent="0.2">
      <c r="A974" s="24"/>
      <c r="B974" s="17" t="s">
        <v>21</v>
      </c>
      <c r="C974" s="46">
        <v>23662</v>
      </c>
      <c r="D974" s="47">
        <f>23004+220</f>
        <v>23224</v>
      </c>
      <c r="E974" s="42">
        <f>765018+383+29668</f>
        <v>795069</v>
      </c>
      <c r="F974" s="48">
        <f>10036.79+1301242.5</f>
        <v>1311279.29</v>
      </c>
      <c r="G974" s="48">
        <f>253263.69+14705002.16+7696.82+57.04+382.6</f>
        <v>14966402.309999999</v>
      </c>
      <c r="H974" s="44">
        <f>18+2674</f>
        <v>2692</v>
      </c>
      <c r="I974" s="44">
        <f>274+34922+21</f>
        <v>35217</v>
      </c>
      <c r="J974" s="44">
        <v>16</v>
      </c>
      <c r="K974" s="44">
        <f>119</f>
        <v>119</v>
      </c>
    </row>
    <row r="975" spans="1:11" ht="17.25" hidden="1" customHeight="1" x14ac:dyDescent="0.2">
      <c r="A975" s="24"/>
      <c r="B975" s="17" t="s">
        <v>22</v>
      </c>
      <c r="C975" s="46">
        <v>23662</v>
      </c>
      <c r="D975" s="47">
        <f>22737+213</f>
        <v>22950</v>
      </c>
      <c r="E975" s="42">
        <f>766538+385+29675</f>
        <v>796598</v>
      </c>
      <c r="F975" s="48">
        <f>9486.69+1274512.27</f>
        <v>1283998.96</v>
      </c>
      <c r="G975" s="48">
        <f>202935.21+13695918.18+6784.92+57.04+382.6</f>
        <v>13906077.949999999</v>
      </c>
      <c r="H975" s="44">
        <f>19+2522</f>
        <v>2541</v>
      </c>
      <c r="I975" s="44">
        <f>212+31512+13</f>
        <v>31737</v>
      </c>
      <c r="J975" s="44">
        <f>1+14</f>
        <v>15</v>
      </c>
      <c r="K975" s="44">
        <f>2+153</f>
        <v>155</v>
      </c>
    </row>
    <row r="976" spans="1:11" ht="17.25" hidden="1" customHeight="1" x14ac:dyDescent="0.2">
      <c r="A976" s="24"/>
      <c r="B976" s="17"/>
      <c r="C976" s="46"/>
      <c r="D976" s="47"/>
      <c r="E976" s="42"/>
      <c r="F976" s="48"/>
      <c r="G976" s="48"/>
      <c r="H976" s="44"/>
      <c r="I976" s="44"/>
      <c r="J976" s="44"/>
      <c r="K976" s="44"/>
    </row>
    <row r="977" spans="1:11" ht="17.25" hidden="1" customHeight="1" x14ac:dyDescent="0.25">
      <c r="A977" s="24" t="s">
        <v>19</v>
      </c>
      <c r="B977" s="16" t="s">
        <v>100</v>
      </c>
      <c r="C977" s="46"/>
      <c r="D977" s="47"/>
      <c r="E977" s="42"/>
      <c r="F977" s="48"/>
      <c r="G977" s="48"/>
      <c r="H977" s="44"/>
      <c r="I977" s="44"/>
      <c r="J977" s="44"/>
      <c r="K977" s="44"/>
    </row>
    <row r="978" spans="1:11" ht="17.25" hidden="1" customHeight="1" x14ac:dyDescent="0.2">
      <c r="A978" s="24" t="s">
        <v>19</v>
      </c>
      <c r="B978" s="17" t="s">
        <v>24</v>
      </c>
      <c r="C978" s="46">
        <v>24268</v>
      </c>
      <c r="D978" s="47">
        <f>22446+212</f>
        <v>22658</v>
      </c>
      <c r="E978" s="42">
        <f>766697+383+29666</f>
        <v>796746</v>
      </c>
      <c r="F978" s="48">
        <f>7917.27+1207828.9</f>
        <v>1215746.17</v>
      </c>
      <c r="G978" s="48">
        <f>148534.54+11984230.85+5808.91+57.04+382.6</f>
        <v>12139013.939999998</v>
      </c>
      <c r="H978" s="44">
        <f>15+2337</f>
        <v>2352</v>
      </c>
      <c r="I978" s="44">
        <f>193+33945+16</f>
        <v>34154</v>
      </c>
      <c r="J978" s="44">
        <f>1+21</f>
        <v>22</v>
      </c>
      <c r="K978" s="44">
        <f>109</f>
        <v>109</v>
      </c>
    </row>
    <row r="979" spans="1:11" ht="17.25" hidden="1" customHeight="1" x14ac:dyDescent="0.2">
      <c r="A979" s="24"/>
      <c r="B979" s="17" t="s">
        <v>25</v>
      </c>
      <c r="C979" s="46">
        <v>20969</v>
      </c>
      <c r="D979" s="47">
        <f>18732+171</f>
        <v>18903</v>
      </c>
      <c r="E979" s="42">
        <f>771112+385+29688</f>
        <v>801185</v>
      </c>
      <c r="F979" s="48">
        <f>9577.53+1251692.72</f>
        <v>1261270.25</v>
      </c>
      <c r="G979" s="48">
        <f>167241.73+15788676.3+6314.42+57.04+382.6</f>
        <v>15962672.09</v>
      </c>
      <c r="H979" s="44">
        <f>14+2741</f>
        <v>2755</v>
      </c>
      <c r="I979" s="44">
        <f>227+39814+20</f>
        <v>40061</v>
      </c>
      <c r="J979" s="44">
        <f>31</f>
        <v>31</v>
      </c>
      <c r="K979" s="44">
        <f>2+165</f>
        <v>167</v>
      </c>
    </row>
    <row r="980" spans="1:11" ht="17.25" hidden="1" customHeight="1" x14ac:dyDescent="0.2">
      <c r="A980" s="24"/>
      <c r="B980" s="17" t="s">
        <v>11</v>
      </c>
      <c r="C980" s="46">
        <v>19168</v>
      </c>
      <c r="D980" s="47">
        <f>18606+167</f>
        <v>18773</v>
      </c>
      <c r="E980" s="42">
        <f>772320+384+29696</f>
        <v>802400</v>
      </c>
      <c r="F980" s="48">
        <f>10446.12+1588798.88</f>
        <v>1599245</v>
      </c>
      <c r="G980" s="48">
        <f>245144.96+23186712.29+9097.41+57.04+382.6</f>
        <v>23441394.300000001</v>
      </c>
      <c r="H980" s="44">
        <f>10+2671</f>
        <v>2681</v>
      </c>
      <c r="I980" s="44">
        <f>276+40345+15</f>
        <v>40636</v>
      </c>
      <c r="J980" s="44">
        <f>28</f>
        <v>28</v>
      </c>
      <c r="K980" s="44">
        <f>3+222</f>
        <v>225</v>
      </c>
    </row>
    <row r="981" spans="1:11" ht="17.25" hidden="1" customHeight="1" x14ac:dyDescent="0.2">
      <c r="A981" s="24"/>
      <c r="B981" s="17"/>
      <c r="C981" s="46"/>
      <c r="D981" s="47"/>
      <c r="E981" s="42"/>
      <c r="F981" s="48"/>
      <c r="G981" s="48"/>
      <c r="H981" s="44"/>
      <c r="I981" s="44"/>
      <c r="J981" s="44"/>
      <c r="K981" s="44"/>
    </row>
    <row r="982" spans="1:11" ht="17.25" hidden="1" customHeight="1" x14ac:dyDescent="0.25">
      <c r="A982" s="24" t="s">
        <v>19</v>
      </c>
      <c r="B982" s="16" t="s">
        <v>101</v>
      </c>
      <c r="C982" s="46"/>
      <c r="D982" s="47"/>
      <c r="E982" s="42"/>
      <c r="F982" s="48"/>
      <c r="G982" s="48"/>
      <c r="H982" s="44"/>
      <c r="I982" s="44"/>
      <c r="J982" s="44"/>
      <c r="K982" s="44"/>
    </row>
    <row r="983" spans="1:11" ht="17.25" hidden="1" customHeight="1" x14ac:dyDescent="0.2">
      <c r="A983" s="24" t="s">
        <v>19</v>
      </c>
      <c r="B983" s="17" t="s">
        <v>12</v>
      </c>
      <c r="C983" s="46">
        <v>18922</v>
      </c>
      <c r="D983" s="47">
        <f>18532+165</f>
        <v>18697</v>
      </c>
      <c r="E983" s="42">
        <f>773662+384+29683</f>
        <v>803729</v>
      </c>
      <c r="F983" s="48">
        <f>12331.17+1692356.53</f>
        <v>1704687.7</v>
      </c>
      <c r="G983" s="48">
        <f>260665.69+25126552.46+11096.77+57.04+382.6</f>
        <v>25398754.560000002</v>
      </c>
      <c r="H983" s="44">
        <f>30+3676</f>
        <v>3706</v>
      </c>
      <c r="I983" s="44">
        <f>371+47773+20</f>
        <v>48164</v>
      </c>
      <c r="J983" s="44">
        <f>22</f>
        <v>22</v>
      </c>
      <c r="K983" s="44">
        <f>6+208</f>
        <v>214</v>
      </c>
    </row>
    <row r="984" spans="1:11" ht="17.25" hidden="1" customHeight="1" x14ac:dyDescent="0.2">
      <c r="A984" s="24"/>
      <c r="B984" s="17" t="s">
        <v>13</v>
      </c>
      <c r="C984" s="46">
        <v>19113</v>
      </c>
      <c r="D984" s="47">
        <f>18887+170</f>
        <v>19057</v>
      </c>
      <c r="E984" s="42">
        <f>775994+385+29706</f>
        <v>806085</v>
      </c>
      <c r="F984" s="48">
        <f>10246.66+1627635.39</f>
        <v>1637882.0499999998</v>
      </c>
      <c r="G984" s="48">
        <f>203795.31+22236972.3+9854.9+57.04+382.6</f>
        <v>22451062.149999999</v>
      </c>
      <c r="H984" s="44">
        <f>19+2488</f>
        <v>2507</v>
      </c>
      <c r="I984" s="44">
        <f>261+30835+13</f>
        <v>31109</v>
      </c>
      <c r="J984" s="44">
        <f>18</f>
        <v>18</v>
      </c>
      <c r="K984" s="44">
        <f>156</f>
        <v>156</v>
      </c>
    </row>
    <row r="985" spans="1:11" ht="17.25" hidden="1" customHeight="1" x14ac:dyDescent="0.2">
      <c r="A985" s="24"/>
      <c r="B985" s="17" t="s">
        <v>14</v>
      </c>
      <c r="C985" s="46">
        <v>19692</v>
      </c>
      <c r="D985" s="47">
        <f>19692+184</f>
        <v>19876</v>
      </c>
      <c r="E985" s="42">
        <f>775415+386+29676</f>
        <v>805477</v>
      </c>
      <c r="F985" s="48">
        <f>11618.39+1467948.17</f>
        <v>1479566.5599999998</v>
      </c>
      <c r="G985" s="48">
        <f>182798.71+19275535.62+9304.68+57.04+382.6</f>
        <v>19468078.650000002</v>
      </c>
      <c r="H985" s="44">
        <f>20+2475</f>
        <v>2495</v>
      </c>
      <c r="I985" s="44">
        <f>220+33752+15</f>
        <v>33987</v>
      </c>
      <c r="J985" s="44">
        <f>9</f>
        <v>9</v>
      </c>
      <c r="K985" s="44">
        <f>131</f>
        <v>131</v>
      </c>
    </row>
    <row r="986" spans="1:11" ht="17.25" hidden="1" customHeight="1" x14ac:dyDescent="0.2">
      <c r="A986" s="24"/>
      <c r="B986" s="17"/>
      <c r="C986" s="46"/>
      <c r="D986" s="47"/>
      <c r="E986" s="42"/>
      <c r="F986" s="48"/>
      <c r="G986" s="48"/>
      <c r="H986" s="44"/>
      <c r="I986" s="44"/>
      <c r="J986" s="44"/>
      <c r="K986" s="44"/>
    </row>
    <row r="987" spans="1:11" ht="17.25" hidden="1" customHeight="1" x14ac:dyDescent="0.25">
      <c r="A987" s="24" t="s">
        <v>19</v>
      </c>
      <c r="B987" s="16" t="s">
        <v>102</v>
      </c>
      <c r="C987" s="46"/>
      <c r="D987" s="47"/>
      <c r="E987" s="42"/>
      <c r="F987" s="48"/>
      <c r="G987" s="48"/>
      <c r="H987" s="44"/>
      <c r="I987" s="44"/>
      <c r="J987" s="44"/>
      <c r="K987" s="44"/>
    </row>
    <row r="988" spans="1:11" ht="17.25" hidden="1" customHeight="1" x14ac:dyDescent="0.2">
      <c r="A988" s="24">
        <v>2020</v>
      </c>
      <c r="B988" s="17" t="s">
        <v>15</v>
      </c>
      <c r="C988" s="46">
        <v>20629</v>
      </c>
      <c r="D988" s="47">
        <f>20637+198</f>
        <v>20835</v>
      </c>
      <c r="E988" s="42">
        <f>775884+391+29675</f>
        <v>805950</v>
      </c>
      <c r="F988" s="48">
        <f>11530.02+1389550.3</f>
        <v>1401080.32</v>
      </c>
      <c r="G988" s="48">
        <f>239308.17+19254157.28+8751.75+57.04+382.6</f>
        <v>19502656.840000004</v>
      </c>
      <c r="H988" s="44">
        <f>29+3022</f>
        <v>3051</v>
      </c>
      <c r="I988" s="44">
        <f>313+38875+19</f>
        <v>39207</v>
      </c>
      <c r="J988" s="44">
        <f>22</f>
        <v>22</v>
      </c>
      <c r="K988" s="44">
        <f>221</f>
        <v>221</v>
      </c>
    </row>
    <row r="989" spans="1:11" ht="17.25" hidden="1" customHeight="1" x14ac:dyDescent="0.2">
      <c r="A989" s="24"/>
      <c r="B989" s="17" t="s">
        <v>16</v>
      </c>
      <c r="C989" s="46">
        <v>21527</v>
      </c>
      <c r="D989" s="47">
        <f>21457+214</f>
        <v>21671</v>
      </c>
      <c r="E989" s="42">
        <f>775987+392+29660</f>
        <v>806039</v>
      </c>
      <c r="F989" s="48">
        <f>12047.45+1276180.22</f>
        <v>1288227.67</v>
      </c>
      <c r="G989" s="48">
        <f>285959.04+17499894.71+9401.08+57.04+382.6</f>
        <v>17795694.469999999</v>
      </c>
      <c r="H989" s="44">
        <f>11+2525</f>
        <v>2536</v>
      </c>
      <c r="I989" s="44">
        <f>504+34961+16</f>
        <v>35481</v>
      </c>
      <c r="J989" s="44">
        <f>12</f>
        <v>12</v>
      </c>
      <c r="K989" s="44">
        <f>2+183</f>
        <v>185</v>
      </c>
    </row>
    <row r="990" spans="1:11" ht="17.25" hidden="1" customHeight="1" x14ac:dyDescent="0.2">
      <c r="A990" s="24"/>
      <c r="B990" s="17" t="s">
        <v>17</v>
      </c>
      <c r="C990" s="46">
        <v>22363</v>
      </c>
      <c r="D990" s="47">
        <f>22038+222</f>
        <v>22260</v>
      </c>
      <c r="E990" s="42">
        <f>776439+393+29654</f>
        <v>806486</v>
      </c>
      <c r="F990" s="48">
        <f>13117.2+1370190.2</f>
        <v>1383307.4</v>
      </c>
      <c r="G990" s="48">
        <f>332420.3+18223779.4+9508.6+57.04+382.6</f>
        <v>18566147.940000001</v>
      </c>
      <c r="H990" s="44">
        <f>6+823</f>
        <v>829</v>
      </c>
      <c r="I990" s="44">
        <f>132+12109+9</f>
        <v>12250</v>
      </c>
      <c r="J990" s="44">
        <f>9</f>
        <v>9</v>
      </c>
      <c r="K990" s="44">
        <f>1+89</f>
        <v>90</v>
      </c>
    </row>
    <row r="991" spans="1:11" ht="17.25" hidden="1" customHeight="1" x14ac:dyDescent="0.2">
      <c r="A991" s="24"/>
      <c r="B991" s="17"/>
      <c r="C991" s="46"/>
      <c r="D991" s="47"/>
      <c r="E991" s="42"/>
      <c r="F991" s="48"/>
      <c r="G991" s="48"/>
      <c r="H991" s="44"/>
      <c r="I991" s="44"/>
      <c r="J991" s="44"/>
      <c r="K991" s="44"/>
    </row>
    <row r="992" spans="1:11" ht="17.25" hidden="1" customHeight="1" x14ac:dyDescent="0.25">
      <c r="A992" s="24" t="s">
        <v>19</v>
      </c>
      <c r="B992" s="16" t="s">
        <v>124</v>
      </c>
      <c r="C992" s="46"/>
      <c r="D992" s="47"/>
      <c r="E992" s="42"/>
      <c r="F992" s="48"/>
      <c r="G992" s="48"/>
      <c r="H992" s="44"/>
      <c r="I992" s="44"/>
      <c r="J992" s="44"/>
      <c r="K992" s="44"/>
    </row>
    <row r="993" spans="1:11" ht="17.25" hidden="1" customHeight="1" x14ac:dyDescent="0.2">
      <c r="A993" s="24">
        <v>2020</v>
      </c>
      <c r="B993" s="17" t="s">
        <v>20</v>
      </c>
      <c r="C993" s="46">
        <v>22539</v>
      </c>
      <c r="D993" s="47">
        <v>22454</v>
      </c>
      <c r="E993" s="42">
        <v>807762</v>
      </c>
      <c r="F993" s="48">
        <v>1610650.5499999996</v>
      </c>
      <c r="G993" s="48">
        <v>19227381.209999613</v>
      </c>
      <c r="H993" s="44">
        <v>0</v>
      </c>
      <c r="I993" s="44">
        <v>0</v>
      </c>
      <c r="J993" s="44">
        <v>0</v>
      </c>
      <c r="K993" s="44">
        <v>0</v>
      </c>
    </row>
    <row r="994" spans="1:11" ht="17.25" hidden="1" customHeight="1" x14ac:dyDescent="0.2">
      <c r="A994" s="24"/>
      <c r="B994" s="17" t="s">
        <v>21</v>
      </c>
      <c r="C994" s="46">
        <v>22672</v>
      </c>
      <c r="D994" s="47">
        <v>22539</v>
      </c>
      <c r="E994" s="42">
        <v>809994</v>
      </c>
      <c r="F994" s="48">
        <v>1762867.8000000059</v>
      </c>
      <c r="G994" s="48">
        <v>20667236.31000001</v>
      </c>
      <c r="H994" s="44">
        <v>0</v>
      </c>
      <c r="I994" s="44">
        <v>0</v>
      </c>
      <c r="J994" s="44">
        <v>0</v>
      </c>
      <c r="K994" s="44">
        <v>0</v>
      </c>
    </row>
    <row r="995" spans="1:11" ht="17.25" hidden="1" customHeight="1" thickBot="1" x14ac:dyDescent="0.25">
      <c r="A995" s="24"/>
      <c r="B995" s="17" t="s">
        <v>22</v>
      </c>
      <c r="C995" s="46">
        <v>22800</v>
      </c>
      <c r="D995" s="47">
        <v>22685</v>
      </c>
      <c r="E995" s="42">
        <v>810970</v>
      </c>
      <c r="F995" s="48">
        <v>1625414.9300000004</v>
      </c>
      <c r="G995" s="48">
        <v>20308441.909999777</v>
      </c>
      <c r="H995" s="44">
        <v>0</v>
      </c>
      <c r="I995" s="44">
        <v>0</v>
      </c>
      <c r="J995" s="44">
        <v>0</v>
      </c>
      <c r="K995" s="44">
        <v>0</v>
      </c>
    </row>
    <row r="996" spans="1:11" ht="17.25" hidden="1" customHeight="1" thickBot="1" x14ac:dyDescent="0.25">
      <c r="A996" s="24"/>
      <c r="B996" s="17"/>
      <c r="C996" s="46"/>
      <c r="D996" s="47"/>
      <c r="E996" s="42"/>
      <c r="F996" s="48"/>
      <c r="G996" s="48"/>
      <c r="H996" s="101" t="s">
        <v>125</v>
      </c>
      <c r="I996" s="102"/>
      <c r="J996" s="102"/>
      <c r="K996" s="103"/>
    </row>
    <row r="997" spans="1:11" ht="17.25" hidden="1" customHeight="1" x14ac:dyDescent="0.2">
      <c r="A997" s="24"/>
      <c r="B997" s="17"/>
      <c r="C997" s="46"/>
      <c r="D997" s="47"/>
      <c r="E997" s="42"/>
      <c r="F997" s="48"/>
      <c r="G997" s="48"/>
      <c r="H997" s="50"/>
      <c r="I997" s="50"/>
      <c r="J997" s="50"/>
      <c r="K997" s="50"/>
    </row>
    <row r="998" spans="1:11" ht="17.25" hidden="1" customHeight="1" x14ac:dyDescent="0.2">
      <c r="A998" s="24"/>
      <c r="B998" s="17"/>
      <c r="C998" s="46"/>
      <c r="D998" s="47"/>
      <c r="E998" s="42"/>
      <c r="F998" s="48"/>
      <c r="G998" s="48"/>
      <c r="H998" s="50"/>
      <c r="I998" s="50"/>
      <c r="J998" s="50"/>
      <c r="K998" s="50"/>
    </row>
    <row r="999" spans="1:11" ht="17.25" hidden="1" customHeight="1" x14ac:dyDescent="0.25">
      <c r="A999" s="24" t="s">
        <v>19</v>
      </c>
      <c r="B999" s="16" t="s">
        <v>126</v>
      </c>
      <c r="C999" s="46"/>
      <c r="D999" s="47"/>
      <c r="E999" s="42"/>
      <c r="F999" s="48"/>
      <c r="G999" s="48"/>
      <c r="H999" s="44"/>
      <c r="I999" s="44"/>
      <c r="J999" s="44"/>
      <c r="K999" s="44"/>
    </row>
    <row r="1000" spans="1:11" ht="17.25" hidden="1" customHeight="1" x14ac:dyDescent="0.2">
      <c r="A1000" s="24">
        <v>2020</v>
      </c>
      <c r="B1000" s="17" t="s">
        <v>24</v>
      </c>
      <c r="C1000" s="46">
        <v>22878</v>
      </c>
      <c r="D1000" s="47">
        <v>21262</v>
      </c>
      <c r="E1000" s="42">
        <v>842015</v>
      </c>
      <c r="F1000" s="48">
        <v>1366929.66</v>
      </c>
      <c r="G1000" s="48">
        <v>21140703.68</v>
      </c>
      <c r="H1000" s="44">
        <v>761</v>
      </c>
      <c r="I1000" s="44">
        <v>7298</v>
      </c>
      <c r="J1000" s="44">
        <v>0</v>
      </c>
      <c r="K1000" s="44">
        <v>0</v>
      </c>
    </row>
    <row r="1001" spans="1:11" ht="17.25" hidden="1" customHeight="1" x14ac:dyDescent="0.2">
      <c r="A1001" s="24"/>
      <c r="B1001" s="17" t="s">
        <v>25</v>
      </c>
      <c r="C1001" s="46">
        <v>22978</v>
      </c>
      <c r="D1001" s="47">
        <v>21008</v>
      </c>
      <c r="E1001" s="42">
        <v>844250</v>
      </c>
      <c r="F1001" s="48">
        <v>1568949.06</v>
      </c>
      <c r="G1001" s="48">
        <v>25495741.190000001</v>
      </c>
      <c r="H1001" s="44">
        <v>2101</v>
      </c>
      <c r="I1001" s="44">
        <v>19277</v>
      </c>
      <c r="J1001" s="44">
        <v>17</v>
      </c>
      <c r="K1001" s="44">
        <v>235</v>
      </c>
    </row>
    <row r="1002" spans="1:11" ht="17.25" hidden="1" customHeight="1" thickBot="1" x14ac:dyDescent="0.25">
      <c r="A1002" s="24"/>
      <c r="B1002" s="17" t="s">
        <v>11</v>
      </c>
      <c r="C1002" s="46">
        <v>23203</v>
      </c>
      <c r="D1002" s="47">
        <v>20689</v>
      </c>
      <c r="E1002" s="42">
        <v>842348</v>
      </c>
      <c r="F1002" s="48">
        <v>1883675.67</v>
      </c>
      <c r="G1002" s="48">
        <v>34585807.460000001</v>
      </c>
      <c r="H1002" s="44">
        <v>2237</v>
      </c>
      <c r="I1002" s="44">
        <v>20830</v>
      </c>
      <c r="J1002" s="44">
        <v>16</v>
      </c>
      <c r="K1002" s="44">
        <v>167</v>
      </c>
    </row>
    <row r="1003" spans="1:11" ht="17.25" hidden="1" customHeight="1" thickBot="1" x14ac:dyDescent="0.25">
      <c r="A1003" s="24"/>
      <c r="B1003" s="17"/>
      <c r="C1003" s="46"/>
      <c r="D1003" s="47"/>
      <c r="E1003" s="42"/>
      <c r="F1003" s="48"/>
      <c r="G1003" s="48"/>
      <c r="H1003" s="101" t="s">
        <v>125</v>
      </c>
      <c r="I1003" s="102"/>
      <c r="J1003" s="102"/>
      <c r="K1003" s="103"/>
    </row>
    <row r="1004" spans="1:11" ht="17.25" hidden="1" customHeight="1" x14ac:dyDescent="0.2">
      <c r="A1004" s="24"/>
      <c r="B1004" s="17"/>
      <c r="C1004" s="46"/>
      <c r="D1004" s="47"/>
      <c r="E1004" s="42"/>
      <c r="F1004" s="48"/>
      <c r="G1004" s="48"/>
      <c r="H1004" s="50"/>
      <c r="I1004" s="50"/>
      <c r="J1004" s="50"/>
      <c r="K1004" s="50"/>
    </row>
    <row r="1005" spans="1:11" ht="15.75" hidden="1" x14ac:dyDescent="0.25">
      <c r="A1005" s="24" t="s">
        <v>19</v>
      </c>
      <c r="B1005" s="16" t="s">
        <v>127</v>
      </c>
      <c r="C1005" s="46"/>
      <c r="D1005" s="47"/>
      <c r="E1005" s="42"/>
      <c r="F1005" s="48"/>
      <c r="G1005" s="48"/>
      <c r="H1005" s="44"/>
      <c r="I1005" s="44"/>
      <c r="J1005" s="44"/>
      <c r="K1005" s="44"/>
    </row>
    <row r="1006" spans="1:11" ht="15" hidden="1" x14ac:dyDescent="0.2">
      <c r="A1006" s="24">
        <v>2020</v>
      </c>
      <c r="B1006" s="17" t="s">
        <v>12</v>
      </c>
      <c r="C1006" s="46">
        <v>21002</v>
      </c>
      <c r="D1006" s="47">
        <v>19941</v>
      </c>
      <c r="E1006" s="42">
        <v>815734</v>
      </c>
      <c r="F1006" s="48">
        <v>2104042.17</v>
      </c>
      <c r="G1006" s="48">
        <v>40110710.909999996</v>
      </c>
      <c r="H1006" s="44">
        <f>1+530</f>
        <v>531</v>
      </c>
      <c r="I1006" s="44">
        <f>15+65+4483+3+8</f>
        <v>4574</v>
      </c>
      <c r="J1006" s="44">
        <f>1+29</f>
        <v>30</v>
      </c>
      <c r="K1006" s="44">
        <f>1+224+1</f>
        <v>226</v>
      </c>
    </row>
    <row r="1007" spans="1:11" ht="15" hidden="1" x14ac:dyDescent="0.2">
      <c r="A1007" s="24"/>
      <c r="B1007" s="17" t="s">
        <v>13</v>
      </c>
      <c r="C1007" s="46">
        <v>19902</v>
      </c>
      <c r="D1007" s="47">
        <v>19702</v>
      </c>
      <c r="E1007" s="42">
        <v>818522</v>
      </c>
      <c r="F1007" s="48">
        <v>2158217.15</v>
      </c>
      <c r="G1007" s="48">
        <v>37708934.100000001</v>
      </c>
      <c r="H1007" s="44">
        <f>6+556</f>
        <v>562</v>
      </c>
      <c r="I1007" s="44">
        <f>15+69+4576+7+1</f>
        <v>4668</v>
      </c>
      <c r="J1007" s="44">
        <v>19</v>
      </c>
      <c r="K1007" s="44">
        <f>1+181+1</f>
        <v>183</v>
      </c>
    </row>
    <row r="1008" spans="1:11" ht="15.75" hidden="1" thickBot="1" x14ac:dyDescent="0.25">
      <c r="A1008" s="24"/>
      <c r="B1008" s="17" t="s">
        <v>14</v>
      </c>
      <c r="C1008" s="46">
        <v>19661</v>
      </c>
      <c r="D1008" s="47">
        <v>19476</v>
      </c>
      <c r="E1008" s="42">
        <v>820036</v>
      </c>
      <c r="F1008" s="48">
        <v>2046336.91</v>
      </c>
      <c r="G1008" s="48">
        <v>35555772.619999997</v>
      </c>
      <c r="H1008" s="44">
        <f>1+198</f>
        <v>199</v>
      </c>
      <c r="I1008" s="44">
        <f>6+31+2082+12</f>
        <v>2131</v>
      </c>
      <c r="J1008" s="44">
        <v>14</v>
      </c>
      <c r="K1008" s="44">
        <v>116</v>
      </c>
    </row>
    <row r="1009" spans="1:11" ht="15.75" hidden="1" thickBot="1" x14ac:dyDescent="0.25">
      <c r="A1009" s="24"/>
      <c r="B1009" s="17"/>
      <c r="C1009" s="46"/>
      <c r="D1009" s="47"/>
      <c r="E1009" s="42"/>
      <c r="F1009" s="48"/>
      <c r="G1009" s="48"/>
      <c r="H1009" s="101" t="s">
        <v>128</v>
      </c>
      <c r="I1009" s="102"/>
      <c r="J1009" s="102"/>
      <c r="K1009" s="103"/>
    </row>
    <row r="1010" spans="1:11" ht="15" hidden="1" x14ac:dyDescent="0.2">
      <c r="A1010" s="24"/>
      <c r="B1010" s="17"/>
      <c r="C1010" s="46"/>
      <c r="D1010" s="47"/>
      <c r="E1010" s="42"/>
      <c r="F1010" s="48"/>
      <c r="G1010" s="48"/>
      <c r="H1010" s="50"/>
      <c r="I1010" s="50"/>
      <c r="J1010" s="50"/>
      <c r="K1010" s="50"/>
    </row>
    <row r="1011" spans="1:11" ht="15.75" hidden="1" x14ac:dyDescent="0.25">
      <c r="A1011" s="24" t="s">
        <v>19</v>
      </c>
      <c r="B1011" s="16" t="s">
        <v>129</v>
      </c>
      <c r="C1011" s="46"/>
      <c r="D1011" s="47"/>
      <c r="E1011" s="42"/>
      <c r="F1011" s="48"/>
      <c r="G1011" s="48"/>
      <c r="H1011" s="44"/>
      <c r="I1011" s="44"/>
      <c r="J1011" s="44">
        <v>23</v>
      </c>
      <c r="K1011" s="44">
        <v>178</v>
      </c>
    </row>
    <row r="1012" spans="1:11" ht="15" hidden="1" x14ac:dyDescent="0.2">
      <c r="A1012" s="24">
        <v>2021</v>
      </c>
      <c r="B1012" s="17" t="s">
        <v>15</v>
      </c>
      <c r="C1012" s="46">
        <v>19532</v>
      </c>
      <c r="D1012" s="47">
        <v>19271</v>
      </c>
      <c r="E1012" s="42">
        <v>820657</v>
      </c>
      <c r="F1012" s="10">
        <v>2608277.27</v>
      </c>
      <c r="G1012" s="48">
        <v>31236218.5199994</v>
      </c>
      <c r="H1012" s="44">
        <v>1241</v>
      </c>
      <c r="I1012" s="44">
        <v>9088</v>
      </c>
      <c r="J1012" s="44">
        <v>22</v>
      </c>
      <c r="K1012" s="44">
        <v>164</v>
      </c>
    </row>
    <row r="1013" spans="1:11" ht="15" hidden="1" x14ac:dyDescent="0.2">
      <c r="A1013" s="24"/>
      <c r="B1013" s="17" t="s">
        <v>16</v>
      </c>
      <c r="C1013" s="46">
        <v>19254</v>
      </c>
      <c r="D1013" s="47">
        <v>19045</v>
      </c>
      <c r="E1013" s="42">
        <v>822119</v>
      </c>
      <c r="F1013" s="10">
        <v>2553902.2999999998</v>
      </c>
      <c r="G1013" s="48">
        <v>30557438.169999801</v>
      </c>
      <c r="H1013" s="44">
        <v>1275</v>
      </c>
      <c r="I1013" s="44">
        <v>9578</v>
      </c>
      <c r="J1013" s="44">
        <v>30</v>
      </c>
      <c r="K1013" s="44">
        <v>243</v>
      </c>
    </row>
    <row r="1014" spans="1:11" ht="15.75" hidden="1" thickBot="1" x14ac:dyDescent="0.25">
      <c r="A1014" s="24"/>
      <c r="B1014" s="17" t="s">
        <v>17</v>
      </c>
      <c r="C1014" s="46">
        <v>19142</v>
      </c>
      <c r="D1014" s="47">
        <v>18825</v>
      </c>
      <c r="E1014" s="42">
        <v>823976</v>
      </c>
      <c r="F1014" s="10">
        <v>2188651.35</v>
      </c>
      <c r="G1014" s="48">
        <v>26656617.339999698</v>
      </c>
      <c r="H1014" s="44">
        <v>1656</v>
      </c>
      <c r="I1014" s="44">
        <v>13438</v>
      </c>
      <c r="J1014" s="44"/>
      <c r="K1014" s="44"/>
    </row>
    <row r="1015" spans="1:11" ht="15.75" hidden="1" thickBot="1" x14ac:dyDescent="0.25">
      <c r="A1015" s="24"/>
      <c r="B1015" s="17"/>
      <c r="C1015" s="46"/>
      <c r="D1015" s="47"/>
      <c r="E1015" s="42"/>
      <c r="F1015" s="48"/>
      <c r="G1015" s="48"/>
      <c r="H1015" s="101" t="s">
        <v>128</v>
      </c>
      <c r="I1015" s="102"/>
      <c r="J1015" s="102"/>
      <c r="K1015" s="103"/>
    </row>
    <row r="1016" spans="1:11" ht="15" hidden="1" x14ac:dyDescent="0.2">
      <c r="A1016" s="24"/>
      <c r="B1016" s="17"/>
      <c r="C1016" s="46"/>
      <c r="D1016" s="47"/>
      <c r="E1016" s="42"/>
      <c r="F1016" s="48"/>
      <c r="G1016" s="48"/>
      <c r="H1016" s="50"/>
      <c r="I1016" s="50"/>
      <c r="J1016" s="50"/>
      <c r="K1016" s="50"/>
    </row>
    <row r="1017" spans="1:11" ht="15.75" hidden="1" x14ac:dyDescent="0.25">
      <c r="A1017" s="24" t="s">
        <v>19</v>
      </c>
      <c r="B1017" s="16" t="s">
        <v>130</v>
      </c>
      <c r="C1017" s="46"/>
      <c r="D1017" s="47"/>
      <c r="E1017" s="42"/>
      <c r="F1017" s="48"/>
      <c r="G1017" s="48"/>
      <c r="H1017" s="44"/>
      <c r="I1017" s="44"/>
      <c r="J1017" s="44"/>
      <c r="K1017" s="44"/>
    </row>
    <row r="1018" spans="1:11" ht="15" hidden="1" x14ac:dyDescent="0.2">
      <c r="A1018" s="24">
        <v>2021</v>
      </c>
      <c r="B1018" s="17" t="s">
        <v>20</v>
      </c>
      <c r="C1018" s="46">
        <v>18954</v>
      </c>
      <c r="D1018" s="51">
        <v>18594</v>
      </c>
      <c r="E1018" s="51">
        <v>825782</v>
      </c>
      <c r="F1018" s="10">
        <v>1918369.6400000099</v>
      </c>
      <c r="G1018" s="48">
        <v>24320516.34</v>
      </c>
      <c r="H1018" s="44">
        <v>1405</v>
      </c>
      <c r="I1018" s="44">
        <v>13102</v>
      </c>
      <c r="J1018" s="44">
        <v>21</v>
      </c>
      <c r="K1018" s="44">
        <v>204</v>
      </c>
    </row>
    <row r="1019" spans="1:11" ht="15" hidden="1" x14ac:dyDescent="0.2">
      <c r="A1019" s="24"/>
      <c r="B1019" s="17" t="s">
        <v>21</v>
      </c>
      <c r="C1019" s="46">
        <v>20745</v>
      </c>
      <c r="D1019" s="51">
        <v>21979</v>
      </c>
      <c r="E1019" s="51">
        <v>824574</v>
      </c>
      <c r="F1019" s="10">
        <v>1812282.22</v>
      </c>
      <c r="G1019" s="48">
        <v>22508148.629999802</v>
      </c>
      <c r="H1019" s="44">
        <v>1341</v>
      </c>
      <c r="I1019" s="44">
        <v>12476</v>
      </c>
      <c r="J1019" s="44">
        <v>22</v>
      </c>
      <c r="K1019" s="44">
        <v>171</v>
      </c>
    </row>
    <row r="1020" spans="1:11" ht="15.75" hidden="1" thickBot="1" x14ac:dyDescent="0.25">
      <c r="A1020" s="24"/>
      <c r="B1020" s="17" t="s">
        <v>22</v>
      </c>
      <c r="C1020" s="46">
        <v>21956</v>
      </c>
      <c r="D1020" s="51">
        <v>21677</v>
      </c>
      <c r="E1020" s="51">
        <v>825848</v>
      </c>
      <c r="F1020" s="10">
        <v>1702191.52</v>
      </c>
      <c r="G1020" s="48">
        <v>19819033.599999603</v>
      </c>
      <c r="H1020" s="44">
        <v>1592</v>
      </c>
      <c r="I1020" s="44">
        <v>14531</v>
      </c>
      <c r="J1020" s="44">
        <v>17</v>
      </c>
      <c r="K1020" s="44">
        <v>171</v>
      </c>
    </row>
    <row r="1021" spans="1:11" ht="15.75" hidden="1" thickBot="1" x14ac:dyDescent="0.25">
      <c r="A1021" s="24"/>
      <c r="B1021" s="17"/>
      <c r="C1021" s="46"/>
      <c r="D1021" s="47"/>
      <c r="E1021" s="42"/>
      <c r="F1021" s="48"/>
      <c r="G1021" s="48"/>
      <c r="H1021" s="101" t="s">
        <v>128</v>
      </c>
      <c r="I1021" s="102"/>
      <c r="J1021" s="102"/>
      <c r="K1021" s="103"/>
    </row>
    <row r="1022" spans="1:11" ht="15" hidden="1" x14ac:dyDescent="0.2">
      <c r="A1022" s="24"/>
      <c r="B1022" s="17"/>
      <c r="C1022" s="46"/>
      <c r="D1022" s="47"/>
      <c r="E1022" s="42"/>
      <c r="F1022" s="48"/>
      <c r="G1022" s="48"/>
      <c r="H1022" s="50"/>
      <c r="I1022" s="50"/>
      <c r="J1022" s="50"/>
      <c r="K1022" s="50"/>
    </row>
    <row r="1023" spans="1:11" ht="15.75" hidden="1" x14ac:dyDescent="0.25">
      <c r="A1023" s="24" t="s">
        <v>19</v>
      </c>
      <c r="B1023" s="16" t="s">
        <v>131</v>
      </c>
      <c r="C1023" s="46"/>
      <c r="D1023" s="47"/>
      <c r="E1023" s="42"/>
      <c r="F1023" s="48"/>
      <c r="G1023" s="52"/>
      <c r="H1023" s="44"/>
      <c r="I1023" s="44"/>
      <c r="J1023" s="44"/>
      <c r="K1023" s="44"/>
    </row>
    <row r="1024" spans="1:11" ht="15" hidden="1" x14ac:dyDescent="0.2">
      <c r="A1024" s="24">
        <v>2021</v>
      </c>
      <c r="B1024" s="17" t="s">
        <v>24</v>
      </c>
      <c r="C1024" s="44">
        <v>21671</v>
      </c>
      <c r="D1024" s="44">
        <v>21372</v>
      </c>
      <c r="E1024" s="44">
        <v>827567</v>
      </c>
      <c r="F1024" s="44">
        <v>2095264.06</v>
      </c>
      <c r="G1024" s="44">
        <f>23429432.05+19364.7</f>
        <v>23448796.75</v>
      </c>
      <c r="H1024" s="44">
        <v>1689</v>
      </c>
      <c r="I1024" s="44">
        <v>13586</v>
      </c>
      <c r="J1024" s="44">
        <v>13</v>
      </c>
      <c r="K1024" s="44">
        <v>126</v>
      </c>
    </row>
    <row r="1025" spans="1:11" ht="15" hidden="1" x14ac:dyDescent="0.2">
      <c r="A1025" s="24"/>
      <c r="B1025" s="17" t="s">
        <v>25</v>
      </c>
      <c r="C1025" s="44">
        <v>21369</v>
      </c>
      <c r="D1025" s="44">
        <v>21028</v>
      </c>
      <c r="E1025" s="44">
        <v>828125</v>
      </c>
      <c r="F1025" s="44">
        <v>2383110.13</v>
      </c>
      <c r="G1025" s="44">
        <f>28603967.14+24864.11</f>
        <v>28628831.25</v>
      </c>
      <c r="H1025" s="44">
        <v>2252</v>
      </c>
      <c r="I1025" s="44">
        <v>17979</v>
      </c>
      <c r="J1025" s="44">
        <v>29</v>
      </c>
      <c r="K1025" s="44">
        <v>190</v>
      </c>
    </row>
    <row r="1026" spans="1:11" ht="15.75" hidden="1" thickBot="1" x14ac:dyDescent="0.25">
      <c r="A1026" s="24"/>
      <c r="B1026" s="17" t="s">
        <v>11</v>
      </c>
      <c r="C1026" s="44">
        <v>20995</v>
      </c>
      <c r="D1026" s="44">
        <v>20736</v>
      </c>
      <c r="E1026" s="44">
        <v>829394</v>
      </c>
      <c r="F1026" s="44">
        <v>2763511.44</v>
      </c>
      <c r="G1026" s="44">
        <f>36330496.43+28081.4</f>
        <v>36358577.829999998</v>
      </c>
      <c r="H1026" s="44">
        <v>2317</v>
      </c>
      <c r="I1026" s="44">
        <v>19269</v>
      </c>
      <c r="J1026" s="44">
        <v>18</v>
      </c>
      <c r="K1026" s="44">
        <v>152</v>
      </c>
    </row>
    <row r="1027" spans="1:11" ht="15.75" hidden="1" thickBot="1" x14ac:dyDescent="0.25">
      <c r="A1027" s="24"/>
      <c r="B1027" s="17"/>
      <c r="C1027" s="44"/>
      <c r="D1027" s="44"/>
      <c r="E1027" s="44"/>
      <c r="F1027" s="44"/>
      <c r="G1027" s="44"/>
      <c r="H1027" s="101" t="s">
        <v>128</v>
      </c>
      <c r="I1027" s="102"/>
      <c r="J1027" s="102"/>
      <c r="K1027" s="103"/>
    </row>
    <row r="1028" spans="1:11" ht="15" hidden="1" x14ac:dyDescent="0.2">
      <c r="A1028" s="24"/>
      <c r="B1028" s="17"/>
      <c r="C1028" s="44"/>
      <c r="D1028" s="44"/>
      <c r="E1028" s="44"/>
      <c r="F1028" s="44"/>
      <c r="G1028" s="44"/>
      <c r="H1028" s="50"/>
      <c r="I1028" s="50"/>
      <c r="J1028" s="50"/>
      <c r="K1028" s="50"/>
    </row>
    <row r="1029" spans="1:11" ht="15.75" hidden="1" x14ac:dyDescent="0.25">
      <c r="A1029" s="24" t="s">
        <v>19</v>
      </c>
      <c r="B1029" s="16" t="s">
        <v>132</v>
      </c>
      <c r="C1029" s="44"/>
      <c r="D1029" s="44"/>
      <c r="E1029" s="44"/>
      <c r="F1029" s="44"/>
      <c r="G1029" s="44"/>
      <c r="H1029" s="44"/>
      <c r="I1029" s="44"/>
      <c r="J1029" s="44"/>
      <c r="K1029" s="44"/>
    </row>
    <row r="1030" spans="1:11" ht="15" hidden="1" x14ac:dyDescent="0.2">
      <c r="A1030" s="24">
        <v>2021</v>
      </c>
      <c r="B1030" s="17" t="s">
        <v>12</v>
      </c>
      <c r="C1030" s="44">
        <v>20613</v>
      </c>
      <c r="D1030" s="44">
        <v>20464</v>
      </c>
      <c r="E1030" s="44">
        <v>830808</v>
      </c>
      <c r="F1030" s="44">
        <v>2827242.44</v>
      </c>
      <c r="G1030" s="44">
        <f>37317742.92+29598.96</f>
        <v>37347341.880000003</v>
      </c>
      <c r="H1030" s="44">
        <v>2427</v>
      </c>
      <c r="I1030" s="44">
        <v>20818</v>
      </c>
      <c r="J1030" s="44">
        <v>15</v>
      </c>
      <c r="K1030" s="44">
        <v>149</v>
      </c>
    </row>
    <row r="1031" spans="1:11" ht="15" hidden="1" x14ac:dyDescent="0.2">
      <c r="A1031" s="24"/>
      <c r="B1031" s="17" t="s">
        <v>13</v>
      </c>
      <c r="C1031" s="44">
        <v>21326</v>
      </c>
      <c r="D1031" s="44">
        <v>21845</v>
      </c>
      <c r="E1031" s="44">
        <v>831459</v>
      </c>
      <c r="F1031" s="44">
        <v>2731154.61</v>
      </c>
      <c r="G1031" s="44">
        <f>34897442.64+28632.89</f>
        <v>34926075.530000001</v>
      </c>
      <c r="H1031" s="44">
        <v>1948</v>
      </c>
      <c r="I1031" s="44">
        <v>16693</v>
      </c>
      <c r="J1031" s="44">
        <v>17</v>
      </c>
      <c r="K1031" s="44">
        <v>96</v>
      </c>
    </row>
    <row r="1032" spans="1:11" ht="15.75" hidden="1" thickBot="1" x14ac:dyDescent="0.25">
      <c r="A1032" s="24"/>
      <c r="B1032" s="17" t="s">
        <v>14</v>
      </c>
      <c r="C1032" s="44">
        <v>21883</v>
      </c>
      <c r="D1032" s="44">
        <v>21628</v>
      </c>
      <c r="E1032" s="44">
        <v>833166</v>
      </c>
      <c r="F1032" s="44">
        <v>2512253.84</v>
      </c>
      <c r="G1032" s="44">
        <f>30866210.15+26210.65</f>
        <v>30892420.799999997</v>
      </c>
      <c r="H1032" s="44">
        <v>2152</v>
      </c>
      <c r="I1032" s="44">
        <v>17881</v>
      </c>
      <c r="J1032" s="44">
        <v>10</v>
      </c>
      <c r="K1032" s="44">
        <v>58</v>
      </c>
    </row>
    <row r="1033" spans="1:11" ht="15.75" hidden="1" thickBot="1" x14ac:dyDescent="0.25">
      <c r="A1033" s="24"/>
      <c r="B1033" s="17"/>
      <c r="C1033" s="46"/>
      <c r="D1033" s="46"/>
      <c r="E1033" s="46"/>
      <c r="F1033" s="46"/>
      <c r="G1033" s="48"/>
      <c r="H1033" s="101" t="s">
        <v>128</v>
      </c>
      <c r="I1033" s="102"/>
      <c r="J1033" s="102"/>
      <c r="K1033" s="103"/>
    </row>
    <row r="1034" spans="1:11" ht="15" hidden="1" x14ac:dyDescent="0.2">
      <c r="A1034" s="24"/>
      <c r="B1034" s="17"/>
      <c r="C1034" s="46"/>
      <c r="D1034" s="47"/>
      <c r="E1034" s="42"/>
      <c r="F1034" s="48"/>
      <c r="G1034" s="48"/>
      <c r="H1034" s="50"/>
      <c r="I1034" s="50"/>
      <c r="J1034" s="50"/>
      <c r="K1034" s="50"/>
    </row>
    <row r="1035" spans="1:11" ht="15.75" hidden="1" x14ac:dyDescent="0.25">
      <c r="A1035" s="24" t="s">
        <v>19</v>
      </c>
      <c r="B1035" s="16" t="s">
        <v>134</v>
      </c>
      <c r="C1035" s="46"/>
      <c r="D1035" s="47"/>
      <c r="E1035" s="42"/>
      <c r="F1035" s="48"/>
      <c r="G1035" s="52"/>
      <c r="H1035" s="44"/>
      <c r="I1035" s="44"/>
      <c r="J1035" s="44"/>
      <c r="K1035" s="44"/>
    </row>
    <row r="1036" spans="1:11" ht="15" hidden="1" x14ac:dyDescent="0.2">
      <c r="A1036" s="24">
        <v>2022</v>
      </c>
      <c r="B1036" s="17" t="s">
        <v>15</v>
      </c>
      <c r="C1036" s="44">
        <v>21637</v>
      </c>
      <c r="D1036" s="44">
        <v>22312</v>
      </c>
      <c r="E1036" s="44">
        <v>832911</v>
      </c>
      <c r="F1036" s="44">
        <v>2897354.68</v>
      </c>
      <c r="G1036" s="44">
        <v>27955058.189999901</v>
      </c>
      <c r="H1036" s="44">
        <v>2520</v>
      </c>
      <c r="I1036" s="44">
        <v>18063</v>
      </c>
      <c r="J1036" s="44">
        <v>13</v>
      </c>
      <c r="K1036" s="44">
        <v>120</v>
      </c>
    </row>
    <row r="1037" spans="1:11" ht="15" hidden="1" x14ac:dyDescent="0.2">
      <c r="A1037" s="24"/>
      <c r="B1037" s="17" t="s">
        <v>16</v>
      </c>
      <c r="C1037" s="44">
        <v>22466</v>
      </c>
      <c r="D1037" s="44">
        <v>22756</v>
      </c>
      <c r="E1037" s="44">
        <v>833719</v>
      </c>
      <c r="F1037" s="44">
        <v>2784912.1800000099</v>
      </c>
      <c r="G1037" s="44">
        <v>28314924.429999899</v>
      </c>
      <c r="H1037" s="44">
        <v>2406</v>
      </c>
      <c r="I1037" s="44">
        <v>19172</v>
      </c>
      <c r="J1037" s="44">
        <v>30</v>
      </c>
      <c r="K1037" s="44">
        <v>142</v>
      </c>
    </row>
    <row r="1038" spans="1:11" ht="15.75" hidden="1" thickBot="1" x14ac:dyDescent="0.25">
      <c r="A1038" s="24"/>
      <c r="B1038" s="17" t="s">
        <v>17</v>
      </c>
      <c r="C1038" s="44">
        <v>22965</v>
      </c>
      <c r="D1038" s="44">
        <v>22870</v>
      </c>
      <c r="E1038" s="44">
        <v>835201</v>
      </c>
      <c r="F1038" s="44">
        <v>2585845.2600000198</v>
      </c>
      <c r="G1038" s="44">
        <v>26499377.639999501</v>
      </c>
      <c r="H1038" s="44">
        <v>1651</v>
      </c>
      <c r="I1038" s="44">
        <v>15261</v>
      </c>
      <c r="J1038" s="44">
        <v>31</v>
      </c>
      <c r="K1038" s="44">
        <v>238</v>
      </c>
    </row>
    <row r="1039" spans="1:11" ht="15.75" hidden="1" thickBot="1" x14ac:dyDescent="0.25">
      <c r="A1039" s="24"/>
      <c r="B1039" s="17"/>
      <c r="C1039" s="44"/>
      <c r="D1039" s="44"/>
      <c r="E1039" s="44"/>
      <c r="F1039" s="44"/>
      <c r="G1039" s="44"/>
      <c r="H1039" s="101" t="s">
        <v>128</v>
      </c>
      <c r="I1039" s="102"/>
      <c r="J1039" s="102"/>
      <c r="K1039" s="103"/>
    </row>
    <row r="1040" spans="1:11" ht="15" hidden="1" x14ac:dyDescent="0.2">
      <c r="A1040" s="24"/>
      <c r="B1040" s="17"/>
      <c r="C1040" s="44"/>
      <c r="D1040" s="44"/>
      <c r="E1040" s="44"/>
      <c r="F1040" s="44"/>
      <c r="G1040" s="44"/>
      <c r="H1040" s="50"/>
      <c r="I1040" s="50"/>
      <c r="J1040" s="50"/>
      <c r="K1040" s="50"/>
    </row>
    <row r="1041" spans="1:11" ht="15.75" hidden="1" x14ac:dyDescent="0.25">
      <c r="A1041" s="24" t="s">
        <v>19</v>
      </c>
      <c r="B1041" s="16" t="s">
        <v>135</v>
      </c>
      <c r="C1041" s="44"/>
      <c r="D1041" s="44"/>
      <c r="E1041" s="44"/>
      <c r="F1041" s="44"/>
      <c r="G1041" s="44"/>
      <c r="H1041" s="44"/>
      <c r="I1041" s="44"/>
      <c r="J1041" s="44"/>
      <c r="K1041" s="44"/>
    </row>
    <row r="1042" spans="1:11" ht="15" hidden="1" x14ac:dyDescent="0.2">
      <c r="A1042" s="24">
        <v>2022</v>
      </c>
      <c r="B1042" s="17" t="s">
        <v>20</v>
      </c>
      <c r="C1042" s="44">
        <v>22951</v>
      </c>
      <c r="D1042" s="44">
        <v>22897</v>
      </c>
      <c r="E1042" s="44">
        <v>836714</v>
      </c>
      <c r="F1042" s="44">
        <v>2484835.8200000101</v>
      </c>
      <c r="G1042" s="44">
        <v>25018098.1800001</v>
      </c>
      <c r="H1042" s="44">
        <v>1772</v>
      </c>
      <c r="I1042" s="44">
        <v>16500</v>
      </c>
      <c r="J1042" s="44">
        <v>47</v>
      </c>
      <c r="K1042" s="44">
        <v>370</v>
      </c>
    </row>
    <row r="1043" spans="1:11" ht="15" hidden="1" x14ac:dyDescent="0.2">
      <c r="A1043" s="24"/>
      <c r="B1043" s="17" t="s">
        <v>21</v>
      </c>
      <c r="C1043" s="44">
        <v>22990</v>
      </c>
      <c r="D1043" s="44">
        <v>22864</v>
      </c>
      <c r="E1043" s="44">
        <v>837841</v>
      </c>
      <c r="F1043" s="44">
        <v>2232456.6099999901</v>
      </c>
      <c r="G1043" s="44">
        <v>21723369.2899996</v>
      </c>
      <c r="H1043" s="44">
        <v>2094</v>
      </c>
      <c r="I1043" s="44">
        <v>18358</v>
      </c>
      <c r="J1043" s="44">
        <v>53</v>
      </c>
      <c r="K1043" s="44">
        <f>393+1</f>
        <v>394</v>
      </c>
    </row>
    <row r="1044" spans="1:11" ht="15.75" hidden="1" thickBot="1" x14ac:dyDescent="0.25">
      <c r="A1044" s="24"/>
      <c r="B1044" s="17" t="s">
        <v>22</v>
      </c>
      <c r="C1044" s="44">
        <v>22909</v>
      </c>
      <c r="D1044" s="44">
        <v>22737</v>
      </c>
      <c r="E1044" s="44">
        <v>838339</v>
      </c>
      <c r="F1044" s="44">
        <v>2018450.37</v>
      </c>
      <c r="G1044" s="44">
        <v>19377448.939999498</v>
      </c>
      <c r="H1044" s="44">
        <v>2082</v>
      </c>
      <c r="I1044" s="44">
        <v>18229</v>
      </c>
      <c r="J1044" s="44">
        <v>32</v>
      </c>
      <c r="K1044" s="44">
        <v>323</v>
      </c>
    </row>
    <row r="1045" spans="1:11" ht="15.75" hidden="1" thickBot="1" x14ac:dyDescent="0.25">
      <c r="A1045" s="24"/>
      <c r="B1045" s="17"/>
      <c r="C1045" s="46"/>
      <c r="D1045" s="46"/>
      <c r="E1045" s="46"/>
      <c r="F1045" s="46"/>
      <c r="G1045" s="48"/>
      <c r="H1045" s="101" t="s">
        <v>128</v>
      </c>
      <c r="I1045" s="102"/>
      <c r="J1045" s="102"/>
      <c r="K1045" s="103"/>
    </row>
    <row r="1046" spans="1:11" ht="15" hidden="1" x14ac:dyDescent="0.2">
      <c r="A1046" s="24"/>
      <c r="B1046" s="17"/>
      <c r="C1046" s="46"/>
      <c r="D1046" s="47"/>
      <c r="E1046" s="42"/>
      <c r="F1046" s="48"/>
      <c r="G1046" s="48"/>
      <c r="H1046" s="50"/>
      <c r="I1046" s="50"/>
      <c r="J1046" s="50"/>
      <c r="K1046" s="50"/>
    </row>
    <row r="1047" spans="1:11" ht="15.75" hidden="1" x14ac:dyDescent="0.25">
      <c r="A1047" s="24" t="s">
        <v>19</v>
      </c>
      <c r="B1047" s="16" t="s">
        <v>136</v>
      </c>
      <c r="C1047" s="44"/>
      <c r="D1047" s="44"/>
      <c r="E1047" s="44"/>
      <c r="F1047" s="44"/>
      <c r="G1047" s="44"/>
      <c r="H1047" s="44"/>
      <c r="I1047" s="44"/>
      <c r="J1047" s="44"/>
      <c r="K1047" s="44"/>
    </row>
    <row r="1048" spans="1:11" ht="15" hidden="1" x14ac:dyDescent="0.2">
      <c r="A1048" s="24">
        <v>2022</v>
      </c>
      <c r="B1048" s="17" t="s">
        <v>24</v>
      </c>
      <c r="C1048" s="44">
        <v>22873</v>
      </c>
      <c r="D1048" s="44">
        <v>22697</v>
      </c>
      <c r="E1048" s="44">
        <v>839096</v>
      </c>
      <c r="F1048" s="44">
        <f>1508250.78+16359.19</f>
        <v>1524609.97</v>
      </c>
      <c r="G1048" s="44">
        <v>20847348.809999999</v>
      </c>
      <c r="H1048" s="44">
        <v>1437</v>
      </c>
      <c r="I1048" s="44">
        <v>16234</v>
      </c>
      <c r="J1048" s="44">
        <v>24</v>
      </c>
      <c r="K1048" s="44">
        <v>200</v>
      </c>
    </row>
    <row r="1049" spans="1:11" ht="15" hidden="1" x14ac:dyDescent="0.2">
      <c r="A1049" s="24"/>
      <c r="B1049" s="17" t="s">
        <v>25</v>
      </c>
      <c r="C1049" s="44">
        <v>17209</v>
      </c>
      <c r="D1049" s="44">
        <v>15198</v>
      </c>
      <c r="E1049" s="44">
        <v>847471</v>
      </c>
      <c r="F1049" s="44">
        <f>1652896.17+19432.33</f>
        <v>1672328.5</v>
      </c>
      <c r="G1049" s="44">
        <v>24186563.760000002</v>
      </c>
      <c r="H1049" s="44">
        <v>1945</v>
      </c>
      <c r="I1049" s="44">
        <v>22166</v>
      </c>
      <c r="J1049" s="44">
        <v>26</v>
      </c>
      <c r="K1049" s="44">
        <v>249</v>
      </c>
    </row>
    <row r="1050" spans="1:11" ht="15" hidden="1" x14ac:dyDescent="0.2">
      <c r="A1050" s="24"/>
      <c r="B1050" s="17" t="s">
        <v>11</v>
      </c>
      <c r="C1050" s="44">
        <v>15797</v>
      </c>
      <c r="D1050" s="44">
        <v>16337</v>
      </c>
      <c r="E1050" s="44">
        <v>847323</v>
      </c>
      <c r="F1050" s="44">
        <f>1334348.63+26090.02</f>
        <v>1360438.65</v>
      </c>
      <c r="G1050" s="44">
        <v>32708152.870000001</v>
      </c>
      <c r="H1050" s="44">
        <v>1724</v>
      </c>
      <c r="I1050" s="44">
        <v>23371</v>
      </c>
      <c r="J1050" s="44">
        <v>32</v>
      </c>
      <c r="K1050" s="44">
        <v>359</v>
      </c>
    </row>
    <row r="1051" spans="1:11" ht="15.75" x14ac:dyDescent="0.25">
      <c r="A1051" s="24" t="s">
        <v>19</v>
      </c>
      <c r="B1051" s="16" t="s">
        <v>137</v>
      </c>
      <c r="C1051" s="44"/>
      <c r="D1051" s="44"/>
      <c r="E1051" s="44"/>
      <c r="F1051" s="53"/>
      <c r="G1051" s="53"/>
      <c r="H1051" s="44"/>
      <c r="I1051" s="44"/>
      <c r="J1051" s="44"/>
      <c r="K1051" s="44"/>
    </row>
    <row r="1052" spans="1:11" ht="15" x14ac:dyDescent="0.2">
      <c r="A1052" s="24">
        <v>2022</v>
      </c>
      <c r="B1052" s="17" t="s">
        <v>12</v>
      </c>
      <c r="C1052" s="44">
        <v>16748</v>
      </c>
      <c r="D1052" s="44">
        <v>16791</v>
      </c>
      <c r="E1052" s="44">
        <v>848830</v>
      </c>
      <c r="F1052" s="44">
        <f>1230755.66+34313.82</f>
        <v>1265069.48</v>
      </c>
      <c r="G1052" s="44">
        <v>38920506.020000003</v>
      </c>
      <c r="H1052" s="44">
        <v>733</v>
      </c>
      <c r="I1052" s="44">
        <v>24056</v>
      </c>
      <c r="J1052" s="44">
        <v>3</v>
      </c>
      <c r="K1052" s="44">
        <v>145</v>
      </c>
    </row>
    <row r="1053" spans="1:11" ht="15" x14ac:dyDescent="0.2">
      <c r="A1053" s="24"/>
      <c r="B1053" s="17" t="s">
        <v>13</v>
      </c>
      <c r="C1053" s="44">
        <v>17026</v>
      </c>
      <c r="D1053" s="44">
        <v>17054</v>
      </c>
      <c r="E1053" s="44">
        <v>850826</v>
      </c>
      <c r="F1053" s="44">
        <f>1172274.98+31398.79</f>
        <v>1203673.77</v>
      </c>
      <c r="G1053" s="44">
        <v>35073218.159999996</v>
      </c>
      <c r="H1053" s="44">
        <v>729</v>
      </c>
      <c r="I1053" s="44">
        <v>20331</v>
      </c>
      <c r="J1053" s="44">
        <v>4</v>
      </c>
      <c r="K1053" s="44">
        <v>118</v>
      </c>
    </row>
    <row r="1054" spans="1:11" ht="15" x14ac:dyDescent="0.2">
      <c r="A1054" s="24"/>
      <c r="B1054" s="17" t="s">
        <v>14</v>
      </c>
      <c r="C1054" s="44">
        <v>17398</v>
      </c>
      <c r="D1054" s="44">
        <v>17397</v>
      </c>
      <c r="E1054" s="44">
        <v>851352</v>
      </c>
      <c r="F1054" s="44">
        <f>1072704.12+31667.03</f>
        <v>1104371.1500000001</v>
      </c>
      <c r="G1054" s="44">
        <v>31506769.300000001</v>
      </c>
      <c r="H1054" s="44">
        <v>1027</v>
      </c>
      <c r="I1054" s="44">
        <v>22236</v>
      </c>
      <c r="J1054" s="44">
        <v>8</v>
      </c>
      <c r="K1054" s="44">
        <v>65</v>
      </c>
    </row>
    <row r="1055" spans="1:11" ht="15" x14ac:dyDescent="0.2">
      <c r="A1055" s="24"/>
      <c r="B1055" s="17"/>
      <c r="C1055" s="44"/>
      <c r="D1055" s="44"/>
      <c r="E1055" s="44"/>
      <c r="F1055" s="44"/>
      <c r="G1055" s="44"/>
      <c r="H1055" s="44"/>
      <c r="I1055" s="44"/>
      <c r="J1055" s="44"/>
      <c r="K1055" s="44"/>
    </row>
    <row r="1056" spans="1:11" ht="15.75" x14ac:dyDescent="0.25">
      <c r="A1056" s="24" t="s">
        <v>19</v>
      </c>
      <c r="B1056" s="16" t="s">
        <v>138</v>
      </c>
      <c r="C1056" s="44"/>
      <c r="D1056" s="44"/>
      <c r="E1056" s="44"/>
      <c r="F1056" s="44"/>
      <c r="G1056" s="44"/>
      <c r="H1056" s="44"/>
      <c r="I1056" s="44"/>
      <c r="J1056" s="44"/>
      <c r="K1056" s="44"/>
    </row>
    <row r="1057" spans="1:11" ht="15.75" x14ac:dyDescent="0.25">
      <c r="A1057" s="24">
        <v>2023</v>
      </c>
      <c r="B1057" s="17" t="s">
        <v>15</v>
      </c>
      <c r="C1057" s="53">
        <v>17561</v>
      </c>
      <c r="D1057" s="53">
        <v>17851</v>
      </c>
      <c r="E1057" s="53">
        <v>852036</v>
      </c>
      <c r="F1057" s="53">
        <v>1763718.96</v>
      </c>
      <c r="G1057" s="53">
        <f>29889850.54+25585.62</f>
        <v>29915436.16</v>
      </c>
      <c r="H1057" s="53">
        <v>1586</v>
      </c>
      <c r="I1057" s="53">
        <v>21970</v>
      </c>
      <c r="J1057" s="53">
        <v>8</v>
      </c>
      <c r="K1057" s="53">
        <v>96</v>
      </c>
    </row>
    <row r="1058" spans="1:11" ht="15.75" x14ac:dyDescent="0.25">
      <c r="A1058" s="24"/>
      <c r="B1058" s="17" t="s">
        <v>16</v>
      </c>
      <c r="C1058" s="53">
        <v>18122</v>
      </c>
      <c r="D1058" s="53">
        <v>18191</v>
      </c>
      <c r="E1058" s="53">
        <v>852486</v>
      </c>
      <c r="F1058" s="53">
        <v>1751708.67</v>
      </c>
      <c r="G1058" s="53">
        <f>30255495.53+23808.08</f>
        <v>30279303.609999999</v>
      </c>
      <c r="H1058" s="53">
        <v>1541</v>
      </c>
      <c r="I1058" s="53">
        <v>21550</v>
      </c>
      <c r="J1058" s="53">
        <v>9</v>
      </c>
      <c r="K1058" s="53">
        <v>124</v>
      </c>
    </row>
    <row r="1059" spans="1:11" ht="15.75" x14ac:dyDescent="0.25">
      <c r="A1059" s="24"/>
      <c r="B1059" s="17" t="s">
        <v>17</v>
      </c>
      <c r="C1059" s="53">
        <v>18473</v>
      </c>
      <c r="D1059" s="53">
        <v>18613</v>
      </c>
      <c r="E1059" s="53">
        <v>853915</v>
      </c>
      <c r="F1059" s="53">
        <v>1786545.12</v>
      </c>
      <c r="G1059" s="53">
        <f>30981115.14+31846.36</f>
        <v>31012961.5</v>
      </c>
      <c r="H1059" s="53">
        <v>1623</v>
      </c>
      <c r="I1059" s="53">
        <v>23125</v>
      </c>
      <c r="J1059" s="53">
        <v>13</v>
      </c>
      <c r="K1059" s="53">
        <v>178</v>
      </c>
    </row>
    <row r="1060" spans="1:11" ht="15.75" x14ac:dyDescent="0.25">
      <c r="A1060" s="24"/>
      <c r="B1060" s="17"/>
      <c r="C1060" s="54"/>
      <c r="D1060" s="54"/>
      <c r="E1060" s="54"/>
      <c r="F1060" s="54"/>
      <c r="G1060" s="52"/>
      <c r="H1060" s="107"/>
      <c r="I1060" s="107"/>
      <c r="J1060" s="107"/>
      <c r="K1060" s="107"/>
    </row>
    <row r="1061" spans="1:11" ht="15.75" x14ac:dyDescent="0.25">
      <c r="A1061" s="24" t="s">
        <v>19</v>
      </c>
      <c r="B1061" s="16" t="s">
        <v>139</v>
      </c>
      <c r="C1061" s="53"/>
      <c r="D1061" s="53"/>
      <c r="E1061" s="53"/>
      <c r="F1061" s="53"/>
      <c r="G1061" s="53"/>
      <c r="H1061" s="44"/>
      <c r="I1061" s="44"/>
      <c r="J1061" s="44"/>
      <c r="K1061" s="44"/>
    </row>
    <row r="1062" spans="1:11" ht="15.75" x14ac:dyDescent="0.25">
      <c r="A1062" s="24">
        <v>2023</v>
      </c>
      <c r="B1062" s="17" t="s">
        <v>20</v>
      </c>
      <c r="C1062" s="53">
        <v>18853</v>
      </c>
      <c r="D1062" s="53">
        <v>18832</v>
      </c>
      <c r="E1062" s="53">
        <v>855406</v>
      </c>
      <c r="F1062" s="53">
        <v>1769838.89</v>
      </c>
      <c r="G1062" s="53">
        <f>28925018.38+31427.3</f>
        <v>28956445.68</v>
      </c>
      <c r="H1062" s="53">
        <v>1398</v>
      </c>
      <c r="I1062" s="53">
        <v>20541</v>
      </c>
      <c r="J1062" s="53">
        <v>37</v>
      </c>
      <c r="K1062" s="53">
        <f>489+2</f>
        <v>491</v>
      </c>
    </row>
    <row r="1063" spans="1:11" ht="15.75" x14ac:dyDescent="0.25">
      <c r="A1063" s="24"/>
      <c r="B1063" s="17" t="s">
        <v>21</v>
      </c>
      <c r="C1063" s="53">
        <v>18982</v>
      </c>
      <c r="D1063" s="53">
        <v>18981</v>
      </c>
      <c r="E1063" s="53">
        <v>857029</v>
      </c>
      <c r="F1063" s="53">
        <v>1677339.09</v>
      </c>
      <c r="G1063" s="53">
        <f>24699560.49+25398.05</f>
        <v>24724958.539999999</v>
      </c>
      <c r="H1063" s="53">
        <v>1630</v>
      </c>
      <c r="I1063" s="53">
        <v>22057</v>
      </c>
      <c r="J1063" s="53">
        <v>36</v>
      </c>
      <c r="K1063" s="53">
        <f>329+1</f>
        <v>330</v>
      </c>
    </row>
    <row r="1064" spans="1:11" ht="15.75" x14ac:dyDescent="0.25">
      <c r="A1064" s="24"/>
      <c r="B1064" s="17" t="s">
        <v>22</v>
      </c>
      <c r="C1064" s="53">
        <v>19024</v>
      </c>
      <c r="D1064" s="53">
        <v>19005</v>
      </c>
      <c r="E1064" s="53">
        <v>857363</v>
      </c>
      <c r="F1064" s="53">
        <v>1613324.06</v>
      </c>
      <c r="G1064" s="53">
        <f>23937225.75+25414.75</f>
        <v>23962640.5</v>
      </c>
      <c r="H1064" s="53">
        <v>1575</v>
      </c>
      <c r="I1064" s="53">
        <v>21742</v>
      </c>
      <c r="J1064" s="53">
        <v>29</v>
      </c>
      <c r="K1064" s="53">
        <v>348</v>
      </c>
    </row>
    <row r="1065" spans="1:11" ht="15.75" x14ac:dyDescent="0.25">
      <c r="A1065" s="24"/>
      <c r="B1065" s="17"/>
      <c r="C1065" s="53"/>
      <c r="D1065" s="53"/>
      <c r="E1065" s="53"/>
      <c r="F1065" s="53"/>
      <c r="G1065" s="53"/>
      <c r="H1065" s="53"/>
      <c r="I1065" s="53"/>
      <c r="J1065" s="53"/>
      <c r="K1065" s="53"/>
    </row>
    <row r="1066" spans="1:11" ht="15.75" x14ac:dyDescent="0.25">
      <c r="A1066" s="24" t="s">
        <v>19</v>
      </c>
      <c r="B1066" s="16" t="s">
        <v>140</v>
      </c>
      <c r="C1066" s="44"/>
      <c r="D1066" s="44"/>
      <c r="E1066" s="44"/>
      <c r="F1066" s="44"/>
      <c r="G1066" s="44"/>
      <c r="H1066" s="44"/>
      <c r="I1066" s="44"/>
      <c r="J1066" s="44"/>
      <c r="K1066" s="44"/>
    </row>
    <row r="1067" spans="1:11" ht="15.75" x14ac:dyDescent="0.25">
      <c r="A1067" s="24">
        <v>2023</v>
      </c>
      <c r="B1067" s="17" t="s">
        <v>24</v>
      </c>
      <c r="C1067" s="53">
        <v>19157</v>
      </c>
      <c r="D1067" s="53">
        <v>19079</v>
      </c>
      <c r="E1067" s="53">
        <v>858639</v>
      </c>
      <c r="F1067" s="53">
        <v>1796895.25</v>
      </c>
      <c r="G1067" s="53">
        <v>22978335.030000102</v>
      </c>
      <c r="H1067" s="53">
        <v>1522</v>
      </c>
      <c r="I1067" s="53">
        <v>17670</v>
      </c>
      <c r="J1067" s="53">
        <v>26</v>
      </c>
      <c r="K1067" s="53">
        <v>217</v>
      </c>
    </row>
    <row r="1068" spans="1:11" ht="15.75" x14ac:dyDescent="0.25">
      <c r="A1068" s="24"/>
      <c r="B1068" s="17" t="s">
        <v>25</v>
      </c>
      <c r="C1068" s="53">
        <v>19074</v>
      </c>
      <c r="D1068" s="53">
        <v>19156</v>
      </c>
      <c r="E1068" s="53">
        <v>859926</v>
      </c>
      <c r="F1068" s="53">
        <v>1925911.04000001</v>
      </c>
      <c r="G1068" s="53">
        <v>25894974.0499998</v>
      </c>
      <c r="H1068" s="53">
        <v>1994</v>
      </c>
      <c r="I1068" s="53">
        <v>23401</v>
      </c>
      <c r="J1068" s="53">
        <v>67</v>
      </c>
      <c r="K1068" s="53">
        <f>536+1</f>
        <v>537</v>
      </c>
    </row>
    <row r="1069" spans="1:11" ht="15.75" x14ac:dyDescent="0.25">
      <c r="A1069" s="24"/>
      <c r="B1069" s="17" t="s">
        <v>11</v>
      </c>
      <c r="C1069" s="53">
        <v>19369</v>
      </c>
      <c r="D1069" s="53">
        <v>19357</v>
      </c>
      <c r="E1069" s="53">
        <v>860256</v>
      </c>
      <c r="F1069" s="53">
        <v>2244438.2900000098</v>
      </c>
      <c r="G1069" s="53">
        <v>36669358.649998896</v>
      </c>
      <c r="H1069" s="53">
        <v>1996</v>
      </c>
      <c r="I1069" s="53">
        <v>22685</v>
      </c>
      <c r="J1069" s="53">
        <v>38</v>
      </c>
      <c r="K1069" s="53">
        <v>390</v>
      </c>
    </row>
    <row r="1070" spans="1:11" ht="15.75" x14ac:dyDescent="0.25">
      <c r="A1070" s="24"/>
      <c r="B1070" s="17"/>
      <c r="C1070" s="54"/>
      <c r="D1070" s="54"/>
      <c r="E1070" s="54"/>
      <c r="F1070" s="54"/>
      <c r="G1070" s="52"/>
      <c r="H1070" s="107"/>
      <c r="I1070" s="107"/>
      <c r="J1070" s="107"/>
      <c r="K1070" s="107"/>
    </row>
    <row r="1071" spans="1:11" ht="15.75" x14ac:dyDescent="0.25">
      <c r="A1071" s="24" t="s">
        <v>19</v>
      </c>
      <c r="B1071" s="16" t="s">
        <v>141</v>
      </c>
      <c r="C1071" s="53"/>
      <c r="D1071" s="53"/>
      <c r="E1071" s="53"/>
      <c r="F1071" s="53"/>
      <c r="G1071" s="53"/>
      <c r="H1071" s="44"/>
      <c r="I1071" s="44"/>
      <c r="J1071" s="44"/>
      <c r="K1071" s="44"/>
    </row>
    <row r="1072" spans="1:11" ht="15.75" x14ac:dyDescent="0.25">
      <c r="A1072" s="24">
        <v>2023</v>
      </c>
      <c r="B1072" s="17" t="s">
        <v>12</v>
      </c>
      <c r="C1072" s="53">
        <v>19575</v>
      </c>
      <c r="D1072" s="53">
        <v>19455</v>
      </c>
      <c r="E1072" s="53">
        <v>861815</v>
      </c>
      <c r="F1072" s="53">
        <v>2275061.7000000002</v>
      </c>
      <c r="G1072" s="53">
        <v>37463227.489999399</v>
      </c>
      <c r="H1072" s="53">
        <v>2213</v>
      </c>
      <c r="I1072" s="53">
        <v>27932</v>
      </c>
      <c r="J1072" s="53">
        <v>62</v>
      </c>
      <c r="K1072" s="53">
        <v>448</v>
      </c>
    </row>
    <row r="1073" spans="1:11" ht="15.75" x14ac:dyDescent="0.25">
      <c r="A1073" s="24"/>
      <c r="B1073" s="17" t="s">
        <v>13</v>
      </c>
      <c r="C1073" s="53">
        <v>19745</v>
      </c>
      <c r="D1073" s="53">
        <v>19645</v>
      </c>
      <c r="E1073" s="53">
        <v>861900</v>
      </c>
      <c r="F1073" s="53">
        <v>2063346.00999999</v>
      </c>
      <c r="G1073" s="53">
        <v>34267674.289999895</v>
      </c>
      <c r="H1073" s="53">
        <v>1666</v>
      </c>
      <c r="I1073" s="53">
        <v>22079</v>
      </c>
      <c r="J1073" s="53">
        <v>26</v>
      </c>
      <c r="K1073" s="53">
        <v>26</v>
      </c>
    </row>
    <row r="1074" spans="1:11" ht="15.75" x14ac:dyDescent="0.25">
      <c r="A1074" s="24"/>
      <c r="B1074" s="17" t="s">
        <v>14</v>
      </c>
      <c r="C1074" s="53">
        <v>18947</v>
      </c>
      <c r="D1074" s="53">
        <v>18967</v>
      </c>
      <c r="E1074" s="53">
        <v>863636</v>
      </c>
      <c r="F1074" s="53">
        <v>1785719.33</v>
      </c>
      <c r="G1074" s="53">
        <v>28781930.799999502</v>
      </c>
      <c r="H1074" s="53">
        <v>1674</v>
      </c>
      <c r="I1074" s="53">
        <v>22310</v>
      </c>
      <c r="J1074" s="53">
        <v>27</v>
      </c>
      <c r="K1074" s="53">
        <v>250</v>
      </c>
    </row>
    <row r="1075" spans="1:11" ht="15.75" x14ac:dyDescent="0.25">
      <c r="A1075" s="24"/>
      <c r="B1075" s="17"/>
      <c r="C1075" s="53"/>
      <c r="D1075" s="53"/>
      <c r="E1075" s="53"/>
      <c r="F1075" s="53"/>
      <c r="G1075" s="53"/>
      <c r="H1075" s="53"/>
      <c r="I1075" s="53"/>
      <c r="J1075" s="53"/>
      <c r="K1075" s="53"/>
    </row>
    <row r="1076" spans="1:11" ht="15.75" x14ac:dyDescent="0.25">
      <c r="A1076" s="24" t="s">
        <v>19</v>
      </c>
      <c r="B1076" s="16" t="s">
        <v>142</v>
      </c>
      <c r="C1076" s="44"/>
      <c r="D1076" s="44"/>
      <c r="E1076" s="44"/>
      <c r="F1076" s="44"/>
      <c r="G1076" s="44"/>
      <c r="H1076" s="44"/>
      <c r="I1076" s="44"/>
      <c r="J1076" s="44"/>
      <c r="K1076" s="44"/>
    </row>
    <row r="1077" spans="1:11" ht="15.75" x14ac:dyDescent="0.25">
      <c r="A1077" s="24">
        <v>2024</v>
      </c>
      <c r="B1077" s="17" t="s">
        <v>15</v>
      </c>
      <c r="C1077" s="53">
        <v>19224</v>
      </c>
      <c r="D1077" s="53">
        <v>19275</v>
      </c>
      <c r="E1077" s="53">
        <v>864587</v>
      </c>
      <c r="F1077" s="53">
        <v>2282391.9299999997</v>
      </c>
      <c r="G1077" s="53">
        <v>26244883.1699997</v>
      </c>
      <c r="H1077" s="53">
        <v>2361</v>
      </c>
      <c r="I1077" s="53">
        <v>23256</v>
      </c>
      <c r="J1077" s="53">
        <v>70</v>
      </c>
      <c r="K1077" s="53">
        <v>450</v>
      </c>
    </row>
    <row r="1078" spans="1:11" ht="15.75" x14ac:dyDescent="0.25">
      <c r="A1078" s="24"/>
      <c r="B1078" s="17" t="s">
        <v>16</v>
      </c>
      <c r="C1078" s="53">
        <v>19535</v>
      </c>
      <c r="D1078" s="53">
        <v>19500</v>
      </c>
      <c r="E1078" s="53">
        <v>866336</v>
      </c>
      <c r="F1078" s="53">
        <v>2217175.81</v>
      </c>
      <c r="G1078" s="53">
        <v>27625095.8699991</v>
      </c>
      <c r="H1078" s="53">
        <v>2190</v>
      </c>
      <c r="I1078" s="53">
        <v>23665</v>
      </c>
      <c r="J1078" s="53">
        <f>89+1</f>
        <v>90</v>
      </c>
      <c r="K1078" s="53">
        <v>616</v>
      </c>
    </row>
    <row r="1079" spans="1:11" ht="15.75" x14ac:dyDescent="0.25">
      <c r="A1079" s="24"/>
      <c r="B1079" s="17" t="s">
        <v>17</v>
      </c>
      <c r="C1079" s="53">
        <v>19711</v>
      </c>
      <c r="D1079" s="53">
        <v>19764</v>
      </c>
      <c r="E1079" s="53">
        <v>867888</v>
      </c>
      <c r="F1079" s="53">
        <v>2033462.03</v>
      </c>
      <c r="G1079" s="53">
        <v>24816855.189999901</v>
      </c>
      <c r="H1079" s="53">
        <v>1996</v>
      </c>
      <c r="I1079" s="53">
        <v>22846</v>
      </c>
      <c r="J1079" s="53">
        <v>91</v>
      </c>
      <c r="K1079" s="53">
        <v>737</v>
      </c>
    </row>
    <row r="1080" spans="1:11" ht="15.75" x14ac:dyDescent="0.25">
      <c r="A1080" s="24"/>
      <c r="B1080" s="17"/>
      <c r="C1080" s="54"/>
      <c r="D1080" s="54"/>
      <c r="E1080" s="54"/>
      <c r="F1080" s="54"/>
      <c r="G1080" s="52"/>
      <c r="H1080" s="107"/>
      <c r="I1080" s="107"/>
      <c r="J1080" s="107"/>
      <c r="K1080" s="107"/>
    </row>
    <row r="1081" spans="1:11" ht="15.75" x14ac:dyDescent="0.25">
      <c r="A1081" s="24" t="s">
        <v>19</v>
      </c>
      <c r="B1081" s="16" t="s">
        <v>143</v>
      </c>
      <c r="C1081" s="53"/>
      <c r="D1081" s="53"/>
      <c r="E1081" s="53"/>
      <c r="F1081" s="53"/>
      <c r="G1081" s="53"/>
      <c r="H1081" s="44"/>
      <c r="I1081" s="44"/>
      <c r="J1081" s="44"/>
      <c r="K1081" s="44"/>
    </row>
    <row r="1082" spans="1:11" ht="15.75" x14ac:dyDescent="0.25">
      <c r="A1082" s="24">
        <v>2024</v>
      </c>
      <c r="B1082" s="17" t="s">
        <v>20</v>
      </c>
      <c r="C1082" s="53">
        <v>20087</v>
      </c>
      <c r="D1082" s="53">
        <v>20003</v>
      </c>
      <c r="E1082" s="53">
        <v>869528</v>
      </c>
      <c r="F1082" s="53">
        <v>1766170.1400000099</v>
      </c>
      <c r="G1082" s="53">
        <v>21801862.979999799</v>
      </c>
      <c r="H1082" s="53">
        <v>1997</v>
      </c>
      <c r="I1082" s="53">
        <v>23427</v>
      </c>
      <c r="J1082" s="53">
        <f>261+6</f>
        <v>267</v>
      </c>
      <c r="K1082" s="53">
        <v>2218</v>
      </c>
    </row>
    <row r="1083" spans="1:11" ht="15.75" x14ac:dyDescent="0.25">
      <c r="A1083" s="24"/>
      <c r="B1083" s="17" t="s">
        <v>21</v>
      </c>
      <c r="C1083" s="53">
        <v>20185</v>
      </c>
      <c r="D1083" s="53">
        <v>20059</v>
      </c>
      <c r="E1083" s="53">
        <v>872105</v>
      </c>
      <c r="F1083" s="53">
        <v>1581727.27</v>
      </c>
      <c r="G1083" s="53">
        <v>19925054.0499998</v>
      </c>
      <c r="H1083" s="53">
        <v>1671</v>
      </c>
      <c r="I1083" s="53">
        <v>21601</v>
      </c>
      <c r="J1083" s="53">
        <f>146+1</f>
        <v>147</v>
      </c>
      <c r="K1083" s="53">
        <v>1394</v>
      </c>
    </row>
    <row r="1084" spans="1:11" ht="15.75" x14ac:dyDescent="0.25">
      <c r="A1084" s="24"/>
      <c r="B1084" s="17" t="s">
        <v>22</v>
      </c>
      <c r="C1084" s="53">
        <v>20217</v>
      </c>
      <c r="D1084" s="53">
        <v>20180</v>
      </c>
      <c r="E1084" s="53">
        <v>873419</v>
      </c>
      <c r="F1084" s="53">
        <v>1414605.95</v>
      </c>
      <c r="G1084" s="53">
        <v>17960712.1499984</v>
      </c>
      <c r="H1084" s="53">
        <v>1552</v>
      </c>
      <c r="I1084" s="53">
        <v>19524</v>
      </c>
      <c r="J1084" s="53">
        <f>151+2</f>
        <v>153</v>
      </c>
      <c r="K1084" s="53">
        <v>1311</v>
      </c>
    </row>
    <row r="1085" spans="1:11" ht="15.75" x14ac:dyDescent="0.25">
      <c r="A1085" s="24"/>
      <c r="B1085" s="17"/>
      <c r="C1085" s="53"/>
      <c r="D1085" s="53"/>
      <c r="E1085" s="53"/>
      <c r="F1085" s="53"/>
      <c r="G1085" s="53"/>
      <c r="H1085" s="53"/>
      <c r="I1085" s="53"/>
      <c r="J1085" s="53"/>
      <c r="K1085" s="53"/>
    </row>
    <row r="1086" spans="1:11" ht="15.75" x14ac:dyDescent="0.25">
      <c r="A1086" s="24" t="s">
        <v>19</v>
      </c>
      <c r="B1086" s="16" t="s">
        <v>144</v>
      </c>
      <c r="C1086" s="53"/>
      <c r="D1086" s="53"/>
      <c r="E1086" s="53"/>
      <c r="F1086" s="53"/>
      <c r="G1086" s="53"/>
      <c r="H1086" s="44"/>
      <c r="I1086" s="44"/>
      <c r="J1086" s="44"/>
      <c r="K1086" s="44"/>
    </row>
    <row r="1087" spans="1:11" ht="15.75" x14ac:dyDescent="0.25">
      <c r="A1087" s="24">
        <v>2024</v>
      </c>
      <c r="B1087" s="17" t="s">
        <v>24</v>
      </c>
      <c r="C1087" s="53">
        <f>D1087</f>
        <v>21162</v>
      </c>
      <c r="D1087" s="53">
        <v>21162</v>
      </c>
      <c r="E1087" s="53">
        <v>874178</v>
      </c>
      <c r="F1087" s="53">
        <v>1780062.96</v>
      </c>
      <c r="G1087" s="53">
        <f>18354964.55+35167.89</f>
        <v>18390132.440000001</v>
      </c>
      <c r="H1087" s="53">
        <v>1908</v>
      </c>
      <c r="I1087" s="53">
        <v>18851</v>
      </c>
      <c r="J1087" s="53">
        <f>147+3</f>
        <v>150</v>
      </c>
      <c r="K1087" s="53">
        <v>1079</v>
      </c>
    </row>
    <row r="1088" spans="1:11" ht="15.75" x14ac:dyDescent="0.25">
      <c r="A1088" s="24"/>
      <c r="B1088" s="17" t="s">
        <v>25</v>
      </c>
      <c r="C1088" s="53">
        <f>D1088</f>
        <v>21299</v>
      </c>
      <c r="D1088" s="53">
        <v>21299</v>
      </c>
      <c r="E1088" s="53">
        <v>874549</v>
      </c>
      <c r="F1088" s="53">
        <v>2047415.5</v>
      </c>
      <c r="G1088" s="53">
        <f>24438941.47+43969.09</f>
        <v>24482910.559999999</v>
      </c>
      <c r="H1088" s="53">
        <v>2448</v>
      </c>
      <c r="I1088" s="53">
        <v>23474</v>
      </c>
      <c r="J1088" s="53">
        <f>151+1</f>
        <v>152</v>
      </c>
      <c r="K1088" s="53">
        <v>956</v>
      </c>
    </row>
    <row r="1089" spans="1:11" ht="15.75" x14ac:dyDescent="0.25">
      <c r="A1089" s="24"/>
      <c r="B1089" s="17" t="s">
        <v>11</v>
      </c>
      <c r="C1089" s="53">
        <f>D1089</f>
        <v>22154</v>
      </c>
      <c r="D1089" s="53">
        <v>22154</v>
      </c>
      <c r="E1089" s="53">
        <v>875282</v>
      </c>
      <c r="F1089" s="53">
        <v>2638972.23</v>
      </c>
      <c r="G1089" s="53">
        <f>39508708.98+68320.3</f>
        <v>39577029.279999994</v>
      </c>
      <c r="H1089" s="53">
        <v>2237</v>
      </c>
      <c r="I1089" s="53">
        <v>21885</v>
      </c>
      <c r="J1089" s="53">
        <f>190+4</f>
        <v>194</v>
      </c>
      <c r="K1089" s="53">
        <v>1498</v>
      </c>
    </row>
    <row r="1090" spans="1:11" ht="15.75" x14ac:dyDescent="0.25">
      <c r="A1090" s="24"/>
      <c r="B1090" s="17"/>
      <c r="C1090" s="53"/>
      <c r="D1090" s="53"/>
      <c r="E1090" s="53"/>
      <c r="F1090" s="53"/>
      <c r="G1090" s="53"/>
      <c r="H1090" s="53"/>
      <c r="I1090" s="53"/>
      <c r="J1090" s="53"/>
      <c r="K1090" s="53"/>
    </row>
    <row r="1091" spans="1:11" ht="15.75" x14ac:dyDescent="0.25">
      <c r="A1091" s="24" t="s">
        <v>19</v>
      </c>
      <c r="B1091" s="16" t="s">
        <v>145</v>
      </c>
      <c r="C1091" s="53"/>
      <c r="D1091" s="53"/>
      <c r="E1091" s="53"/>
      <c r="F1091" s="53"/>
      <c r="G1091" s="53"/>
      <c r="H1091" s="44"/>
      <c r="I1091" s="44"/>
      <c r="J1091" s="44"/>
      <c r="K1091" s="44"/>
    </row>
    <row r="1092" spans="1:11" ht="15.75" x14ac:dyDescent="0.25">
      <c r="A1092" s="24">
        <v>2024</v>
      </c>
      <c r="B1092" s="17" t="s">
        <v>12</v>
      </c>
      <c r="C1092" s="53">
        <f>D1092</f>
        <v>22431</v>
      </c>
      <c r="D1092" s="53">
        <v>22431</v>
      </c>
      <c r="E1092" s="53">
        <v>876390</v>
      </c>
      <c r="F1092" s="53">
        <v>2602293.4</v>
      </c>
      <c r="G1092" s="53">
        <f>40148621.15+72329.12</f>
        <v>40220950.269999996</v>
      </c>
      <c r="H1092" s="53">
        <v>2695</v>
      </c>
      <c r="I1092" s="53">
        <v>28406</v>
      </c>
      <c r="J1092" s="53">
        <v>120</v>
      </c>
      <c r="K1092" s="53">
        <v>770</v>
      </c>
    </row>
    <row r="1093" spans="1:11" ht="15.75" x14ac:dyDescent="0.25">
      <c r="A1093" s="24"/>
      <c r="B1093" s="17" t="s">
        <v>13</v>
      </c>
      <c r="C1093" s="53">
        <f>D1093</f>
        <v>22567</v>
      </c>
      <c r="D1093" s="53">
        <v>22567</v>
      </c>
      <c r="E1093" s="53">
        <v>878350</v>
      </c>
      <c r="F1093" s="53">
        <v>2250618.04</v>
      </c>
      <c r="G1093" s="53">
        <f>41104641.78+78575.61</f>
        <v>41183217.390000001</v>
      </c>
      <c r="H1093" s="53">
        <v>1740</v>
      </c>
      <c r="I1093" s="53">
        <v>21425</v>
      </c>
      <c r="J1093" s="53">
        <v>66</v>
      </c>
      <c r="K1093" s="53">
        <v>410</v>
      </c>
    </row>
    <row r="1094" spans="1:11" ht="15.75" x14ac:dyDescent="0.25">
      <c r="A1094" s="24"/>
      <c r="B1094" s="17" t="s">
        <v>14</v>
      </c>
      <c r="C1094" s="53">
        <f>D1094</f>
        <v>20113</v>
      </c>
      <c r="D1094" s="53">
        <v>20113</v>
      </c>
      <c r="E1094" s="53">
        <v>881686</v>
      </c>
      <c r="F1094" s="53">
        <v>2093859.37</v>
      </c>
      <c r="G1094" s="53">
        <f>36287217.22+71950.356</f>
        <v>36359167.575999998</v>
      </c>
      <c r="H1094" s="53">
        <v>1772</v>
      </c>
      <c r="I1094" s="53">
        <v>23973</v>
      </c>
      <c r="J1094" s="53">
        <f>59+2</f>
        <v>61</v>
      </c>
      <c r="K1094" s="53">
        <v>421</v>
      </c>
    </row>
    <row r="1095" spans="1:11" ht="15.75" x14ac:dyDescent="0.25">
      <c r="A1095" s="24"/>
      <c r="B1095" s="17"/>
      <c r="C1095" s="53"/>
      <c r="D1095" s="53"/>
      <c r="E1095" s="53"/>
      <c r="F1095" s="53"/>
      <c r="G1095" s="53"/>
      <c r="H1095" s="53"/>
      <c r="I1095" s="53"/>
      <c r="J1095" s="53"/>
      <c r="K1095" s="53"/>
    </row>
    <row r="1096" spans="1:11" ht="15.75" x14ac:dyDescent="0.25">
      <c r="A1096" s="24" t="s">
        <v>19</v>
      </c>
      <c r="B1096" s="16" t="s">
        <v>146</v>
      </c>
      <c r="C1096" s="44"/>
      <c r="D1096" s="44"/>
      <c r="E1096" s="44"/>
      <c r="F1096" s="44"/>
      <c r="G1096" s="44"/>
      <c r="H1096" s="44"/>
      <c r="I1096" s="44"/>
      <c r="J1096" s="44"/>
      <c r="K1096" s="44"/>
    </row>
    <row r="1097" spans="1:11" ht="15.75" x14ac:dyDescent="0.25">
      <c r="A1097" s="24">
        <v>2025</v>
      </c>
      <c r="B1097" s="17" t="s">
        <v>15</v>
      </c>
      <c r="C1097" s="53">
        <v>20596</v>
      </c>
      <c r="D1097" s="53">
        <v>20383</v>
      </c>
      <c r="E1097" s="53">
        <v>882892</v>
      </c>
      <c r="F1097" s="53">
        <v>2465120.17</v>
      </c>
      <c r="G1097" s="53">
        <f>35446062.76+73040.52</f>
        <v>35519103.280000001</v>
      </c>
      <c r="H1097" s="53">
        <v>2537</v>
      </c>
      <c r="I1097" s="53">
        <v>24031</v>
      </c>
      <c r="J1097" s="53">
        <v>87</v>
      </c>
      <c r="K1097" s="53">
        <v>519</v>
      </c>
    </row>
    <row r="1098" spans="1:11" ht="15.75" x14ac:dyDescent="0.25">
      <c r="A1098" s="24"/>
      <c r="B1098" s="17" t="s">
        <v>16</v>
      </c>
      <c r="C1098" s="53">
        <v>20357</v>
      </c>
      <c r="D1098" s="53">
        <v>20663</v>
      </c>
      <c r="E1098" s="53">
        <v>884275</v>
      </c>
      <c r="F1098" s="53">
        <v>2419765.56</v>
      </c>
      <c r="G1098" s="53">
        <f>33322832.24+79341.12</f>
        <v>33402173.359999999</v>
      </c>
      <c r="H1098" s="53">
        <v>2117</v>
      </c>
      <c r="I1098" s="53">
        <v>22682</v>
      </c>
      <c r="J1098" s="53">
        <v>79</v>
      </c>
      <c r="K1098" s="53">
        <v>538</v>
      </c>
    </row>
    <row r="1099" spans="1:11" ht="15.75" x14ac:dyDescent="0.25">
      <c r="A1099" s="24"/>
      <c r="B1099" s="17" t="s">
        <v>17</v>
      </c>
      <c r="C1099" s="53">
        <v>21078</v>
      </c>
      <c r="D1099" s="53">
        <v>21071</v>
      </c>
      <c r="E1099" s="53">
        <v>885198</v>
      </c>
      <c r="F1099" s="53">
        <v>2282019.4900000002</v>
      </c>
      <c r="G1099" s="53">
        <f>30438100.69+74768.87</f>
        <v>30512869.560000002</v>
      </c>
      <c r="H1099" s="53">
        <v>2130</v>
      </c>
      <c r="I1099" s="53">
        <v>22860</v>
      </c>
      <c r="J1099" s="53">
        <v>86</v>
      </c>
      <c r="K1099" s="53">
        <v>624</v>
      </c>
    </row>
    <row r="1100" spans="1:11" ht="15.75" x14ac:dyDescent="0.25">
      <c r="A1100" s="24"/>
      <c r="B1100" s="17"/>
      <c r="C1100" s="54"/>
      <c r="D1100" s="54"/>
      <c r="E1100" s="54"/>
      <c r="F1100" s="54"/>
      <c r="G1100" s="52"/>
      <c r="H1100" s="107"/>
      <c r="I1100" s="107"/>
      <c r="J1100" s="107"/>
      <c r="K1100" s="107"/>
    </row>
    <row r="1101" spans="1:11" ht="15.75" x14ac:dyDescent="0.25">
      <c r="A1101" s="24" t="s">
        <v>19</v>
      </c>
      <c r="B1101" s="16" t="s">
        <v>149</v>
      </c>
      <c r="C1101" s="53"/>
      <c r="D1101" s="53"/>
      <c r="E1101" s="53"/>
      <c r="F1101" s="53"/>
      <c r="G1101" s="53"/>
      <c r="H1101" s="44"/>
      <c r="I1101" s="44"/>
      <c r="J1101" s="44"/>
      <c r="K1101" s="44"/>
    </row>
    <row r="1102" spans="1:11" ht="15.75" x14ac:dyDescent="0.25">
      <c r="A1102" s="24">
        <v>2025</v>
      </c>
      <c r="B1102" s="17" t="s">
        <v>20</v>
      </c>
      <c r="C1102" s="53">
        <v>21316</v>
      </c>
      <c r="D1102" s="53">
        <v>21220</v>
      </c>
      <c r="E1102" s="53">
        <v>886368</v>
      </c>
      <c r="F1102" s="53">
        <v>2114125.8199999998</v>
      </c>
      <c r="G1102" s="53">
        <f>26807222.53+77991.53</f>
        <v>26885214.060000002</v>
      </c>
      <c r="H1102" s="53">
        <v>2249</v>
      </c>
      <c r="I1102" s="53">
        <v>23682</v>
      </c>
      <c r="J1102" s="53">
        <f>256+2</f>
        <v>258</v>
      </c>
      <c r="K1102" s="53">
        <v>2164</v>
      </c>
    </row>
    <row r="1103" spans="1:11" ht="15.75" x14ac:dyDescent="0.25">
      <c r="A1103" s="24"/>
      <c r="B1103" s="17" t="s">
        <v>21</v>
      </c>
      <c r="C1103" s="53">
        <v>21368</v>
      </c>
      <c r="D1103" s="53">
        <v>21301</v>
      </c>
      <c r="E1103" s="53">
        <v>887681</v>
      </c>
      <c r="F1103" s="53">
        <v>1928215.94</v>
      </c>
      <c r="G1103" s="53">
        <f>24138444.93+83045.34</f>
        <v>24221490.27</v>
      </c>
      <c r="H1103" s="53">
        <v>1947</v>
      </c>
      <c r="I1103" s="53">
        <v>20526</v>
      </c>
      <c r="J1103" s="53">
        <f>217+2</f>
        <v>219</v>
      </c>
      <c r="K1103" s="53">
        <v>1615</v>
      </c>
    </row>
    <row r="1104" spans="1:11" ht="15.75" x14ac:dyDescent="0.25">
      <c r="A1104" s="24"/>
      <c r="B1104" s="17" t="s">
        <v>22</v>
      </c>
      <c r="C1104" s="53">
        <v>21490</v>
      </c>
      <c r="D1104" s="53">
        <v>21339</v>
      </c>
      <c r="E1104" s="53">
        <v>888305</v>
      </c>
      <c r="F1104" s="53">
        <v>1653851.65</v>
      </c>
      <c r="G1104" s="53">
        <f>19620526.08+69591.46</f>
        <v>19690117.539999999</v>
      </c>
      <c r="H1104" s="53">
        <v>1926</v>
      </c>
      <c r="I1104" s="53">
        <v>20474</v>
      </c>
      <c r="J1104" s="53">
        <f>149+2</f>
        <v>151</v>
      </c>
      <c r="K1104" s="53">
        <v>1200</v>
      </c>
    </row>
    <row r="1105" spans="1:11" ht="15.75" x14ac:dyDescent="0.25">
      <c r="A1105" s="24"/>
      <c r="B1105" s="17"/>
      <c r="C1105" s="53"/>
      <c r="D1105" s="53"/>
      <c r="E1105" s="53"/>
      <c r="F1105" s="53"/>
      <c r="G1105" s="53"/>
      <c r="H1105" s="53"/>
      <c r="I1105" s="53"/>
      <c r="J1105" s="53"/>
      <c r="K1105" s="53"/>
    </row>
    <row r="1106" spans="1:11" ht="15.75" x14ac:dyDescent="0.25">
      <c r="A1106" s="24" t="s">
        <v>19</v>
      </c>
      <c r="B1106" s="16" t="s">
        <v>148</v>
      </c>
      <c r="C1106" s="53"/>
      <c r="D1106" s="53"/>
      <c r="E1106" s="53"/>
      <c r="F1106" s="53"/>
      <c r="G1106" s="53"/>
      <c r="H1106" s="44"/>
      <c r="I1106" s="44"/>
      <c r="J1106" s="44"/>
      <c r="K1106" s="44"/>
    </row>
    <row r="1107" spans="1:11" ht="15.75" x14ac:dyDescent="0.25">
      <c r="A1107" s="24">
        <v>2025</v>
      </c>
      <c r="B1107" s="17" t="s">
        <v>24</v>
      </c>
      <c r="C1107" s="53">
        <v>21543</v>
      </c>
      <c r="D1107" s="53">
        <v>21382</v>
      </c>
      <c r="E1107" s="53">
        <v>889373</v>
      </c>
      <c r="F1107" s="53">
        <v>2114112.65</v>
      </c>
      <c r="G1107" s="53">
        <v>22587509.530000001</v>
      </c>
      <c r="H1107" s="53">
        <v>2378</v>
      </c>
      <c r="I1107" s="53">
        <v>21130</v>
      </c>
      <c r="J1107" s="53">
        <v>210</v>
      </c>
      <c r="K1107" s="53">
        <v>1188</v>
      </c>
    </row>
    <row r="1108" spans="1:11" ht="15.75" x14ac:dyDescent="0.25">
      <c r="A1108" s="24"/>
      <c r="B1108" s="17" t="s">
        <v>25</v>
      </c>
      <c r="C1108" s="53">
        <v>21590</v>
      </c>
      <c r="D1108" s="53">
        <v>21448</v>
      </c>
      <c r="E1108" s="53">
        <v>890363</v>
      </c>
      <c r="F1108" s="53">
        <v>2539067.9300000002</v>
      </c>
      <c r="G1108" s="53">
        <v>31922026.280000001</v>
      </c>
      <c r="H1108" s="53">
        <v>2666</v>
      </c>
      <c r="I1108" s="53">
        <v>23103</v>
      </c>
      <c r="J1108" s="53">
        <v>210</v>
      </c>
      <c r="K1108" s="53">
        <v>1360</v>
      </c>
    </row>
    <row r="1109" spans="1:11" ht="15.75" x14ac:dyDescent="0.25">
      <c r="A1109" s="24"/>
      <c r="B1109" s="17" t="s">
        <v>11</v>
      </c>
      <c r="C1109" s="53">
        <v>21837</v>
      </c>
      <c r="D1109" s="53">
        <v>22272</v>
      </c>
      <c r="E1109" s="53">
        <v>890663</v>
      </c>
      <c r="F1109" s="53">
        <v>2944620.46</v>
      </c>
      <c r="G1109" s="53">
        <v>41068792.630000003</v>
      </c>
      <c r="H1109" s="53">
        <v>2930</v>
      </c>
      <c r="I1109" s="53">
        <v>24934</v>
      </c>
      <c r="J1109" s="53">
        <v>300</v>
      </c>
      <c r="K1109" s="53">
        <v>1580</v>
      </c>
    </row>
    <row r="1110" spans="1:11" ht="15.75" x14ac:dyDescent="0.25">
      <c r="A1110" s="24"/>
      <c r="B1110" s="53"/>
      <c r="C1110" s="53"/>
      <c r="D1110" s="53"/>
      <c r="E1110" s="53"/>
      <c r="F1110" s="53"/>
      <c r="G1110" s="53"/>
      <c r="H1110" s="53"/>
      <c r="I1110" s="53"/>
      <c r="J1110" s="53"/>
      <c r="K1110" s="53"/>
    </row>
    <row r="1111" spans="1:11" ht="15.75" x14ac:dyDescent="0.25">
      <c r="A1111" s="24" t="s">
        <v>19</v>
      </c>
      <c r="B1111" s="16" t="s">
        <v>147</v>
      </c>
      <c r="C1111" s="53"/>
      <c r="D1111" s="53"/>
      <c r="E1111" s="53"/>
      <c r="F1111" s="53"/>
      <c r="G1111" s="53"/>
      <c r="H1111" s="44"/>
      <c r="I1111" s="44"/>
      <c r="J1111" s="44"/>
      <c r="K1111" s="44"/>
    </row>
    <row r="1112" spans="1:11" ht="15.75" x14ac:dyDescent="0.25">
      <c r="A1112" s="24">
        <v>2025</v>
      </c>
      <c r="B1112" s="17" t="s">
        <v>12</v>
      </c>
      <c r="C1112" s="53">
        <v>22388</v>
      </c>
      <c r="D1112" s="53">
        <v>22254</v>
      </c>
      <c r="E1112" s="53">
        <v>891673</v>
      </c>
      <c r="F1112" s="53">
        <v>3134569.02</v>
      </c>
      <c r="G1112" s="53">
        <v>45792861.920000002</v>
      </c>
      <c r="H1112" s="53">
        <v>3021</v>
      </c>
      <c r="I1112" s="53">
        <v>28248</v>
      </c>
      <c r="J1112" s="53">
        <v>127</v>
      </c>
      <c r="K1112" s="53">
        <v>808</v>
      </c>
    </row>
    <row r="1113" spans="1:11" ht="15.75" x14ac:dyDescent="0.25">
      <c r="A1113" s="24"/>
      <c r="B1113" s="17" t="s">
        <v>13</v>
      </c>
      <c r="C1113" s="53">
        <v>22292</v>
      </c>
      <c r="D1113" s="53">
        <v>21985</v>
      </c>
      <c r="E1113" s="53">
        <v>893744</v>
      </c>
      <c r="F1113" s="53">
        <v>2819371.19</v>
      </c>
      <c r="G1113" s="53">
        <v>37681538.140000001</v>
      </c>
      <c r="H1113" s="53">
        <v>2291</v>
      </c>
      <c r="I1113" s="53">
        <v>20922</v>
      </c>
      <c r="J1113" s="53">
        <v>77</v>
      </c>
      <c r="K1113" s="53">
        <v>586</v>
      </c>
    </row>
    <row r="1114" spans="1:11" ht="15.75" x14ac:dyDescent="0.25">
      <c r="A1114" s="24"/>
      <c r="B1114" s="17" t="s">
        <v>14</v>
      </c>
      <c r="C1114" s="53">
        <v>22187</v>
      </c>
      <c r="D1114" s="53">
        <v>22235</v>
      </c>
      <c r="E1114" s="53">
        <v>892660</v>
      </c>
      <c r="F1114" s="53">
        <v>2674938.5</v>
      </c>
      <c r="G1114" s="53">
        <v>36253517.710000001</v>
      </c>
      <c r="H1114" s="53">
        <v>3069</v>
      </c>
      <c r="I1114" s="53">
        <v>25482</v>
      </c>
      <c r="J1114" s="53">
        <v>102</v>
      </c>
      <c r="K1114" s="53">
        <v>610</v>
      </c>
    </row>
    <row r="1115" spans="1:11" ht="15.75" x14ac:dyDescent="0.25">
      <c r="A1115" s="24"/>
      <c r="B1115" s="17"/>
      <c r="C1115" s="53"/>
      <c r="D1115" s="53"/>
      <c r="E1115" s="53"/>
      <c r="F1115" s="53"/>
      <c r="G1115" s="53"/>
      <c r="H1115" s="53"/>
      <c r="I1115" s="53"/>
      <c r="J1115" s="53"/>
      <c r="K1115" s="53"/>
    </row>
    <row r="1116" spans="1:11" ht="15.75" x14ac:dyDescent="0.25">
      <c r="A1116" s="71" t="s">
        <v>19</v>
      </c>
      <c r="B1116" s="72" t="s">
        <v>166</v>
      </c>
      <c r="C1116" s="73"/>
      <c r="D1116" s="73"/>
      <c r="E1116" s="73"/>
      <c r="F1116" s="73"/>
      <c r="G1116" s="73"/>
      <c r="H1116" s="73"/>
      <c r="I1116" s="73"/>
      <c r="J1116" s="73"/>
      <c r="K1116" s="73"/>
    </row>
    <row r="1117" spans="1:11" ht="15.75" x14ac:dyDescent="0.25">
      <c r="A1117" s="71">
        <v>2026</v>
      </c>
      <c r="B1117" s="64" t="s">
        <v>15</v>
      </c>
      <c r="C1117" s="74">
        <v>22432</v>
      </c>
      <c r="D1117" s="94">
        <v>22390</v>
      </c>
      <c r="E1117" s="94">
        <v>893700</v>
      </c>
      <c r="F1117" s="94">
        <v>2731887.29</v>
      </c>
      <c r="G1117" s="94">
        <v>30368336.399999999</v>
      </c>
      <c r="H1117" s="94">
        <v>3104</v>
      </c>
      <c r="I1117" s="94">
        <v>24894</v>
      </c>
      <c r="J1117" s="94">
        <v>118</v>
      </c>
      <c r="K1117" s="94">
        <v>566</v>
      </c>
    </row>
    <row r="1118" spans="1:11" ht="15.75" x14ac:dyDescent="0.25">
      <c r="A1118" s="71"/>
      <c r="B1118" s="64" t="s">
        <v>16</v>
      </c>
      <c r="C1118" s="74">
        <v>22669</v>
      </c>
      <c r="D1118" s="94">
        <v>22690</v>
      </c>
      <c r="E1118" s="94">
        <v>894941</v>
      </c>
      <c r="F1118" s="94">
        <v>2522404.73</v>
      </c>
      <c r="G1118" s="94">
        <v>27320116.280000001</v>
      </c>
      <c r="H1118" s="94">
        <v>2821</v>
      </c>
      <c r="I1118" s="94">
        <v>23922</v>
      </c>
      <c r="J1118" s="94">
        <v>112</v>
      </c>
      <c r="K1118" s="94">
        <v>709</v>
      </c>
    </row>
    <row r="1119" spans="1:11" ht="15.75" x14ac:dyDescent="0.25">
      <c r="A1119" s="71"/>
      <c r="B1119" s="64" t="s">
        <v>17</v>
      </c>
      <c r="C1119" s="74">
        <v>22948</v>
      </c>
      <c r="D1119" s="94">
        <v>22796</v>
      </c>
      <c r="E1119" s="94">
        <v>896317</v>
      </c>
      <c r="F1119" s="94">
        <v>2361488.2400000002</v>
      </c>
      <c r="G1119" s="94">
        <v>24607099.239999998</v>
      </c>
      <c r="H1119" s="94">
        <v>2876</v>
      </c>
      <c r="I1119" s="94">
        <v>25196</v>
      </c>
      <c r="J1119" s="94">
        <v>120</v>
      </c>
      <c r="K1119" s="94">
        <v>759</v>
      </c>
    </row>
    <row r="1120" spans="1:11" ht="15.75" x14ac:dyDescent="0.25">
      <c r="A1120" s="71"/>
      <c r="B1120" s="64"/>
      <c r="C1120" s="75"/>
      <c r="D1120" s="75"/>
      <c r="E1120" s="75"/>
      <c r="F1120" s="75"/>
      <c r="G1120" s="76"/>
      <c r="H1120" s="108"/>
      <c r="I1120" s="108"/>
      <c r="J1120" s="108"/>
      <c r="K1120" s="108"/>
    </row>
    <row r="1121" spans="1:11" ht="15.75" x14ac:dyDescent="0.25">
      <c r="A1121" s="71" t="s">
        <v>19</v>
      </c>
      <c r="B1121" s="72" t="s">
        <v>167</v>
      </c>
      <c r="C1121" s="74"/>
      <c r="D1121" s="74"/>
      <c r="E1121" s="74"/>
      <c r="F1121" s="74"/>
      <c r="G1121" s="74"/>
      <c r="H1121" s="73"/>
      <c r="I1121" s="73"/>
      <c r="J1121" s="73"/>
      <c r="K1121" s="73"/>
    </row>
    <row r="1122" spans="1:11" ht="15.75" x14ac:dyDescent="0.25">
      <c r="A1122" s="71">
        <v>2026</v>
      </c>
      <c r="B1122" s="64" t="s">
        <v>20</v>
      </c>
      <c r="C1122" s="74">
        <v>23012</v>
      </c>
      <c r="D1122" s="94">
        <v>22845</v>
      </c>
      <c r="E1122" s="94">
        <v>897003</v>
      </c>
      <c r="F1122" s="94">
        <v>2015940.25</v>
      </c>
      <c r="G1122" s="94">
        <v>20615862.670000002</v>
      </c>
      <c r="H1122" s="94">
        <v>2907</v>
      </c>
      <c r="I1122" s="94">
        <v>25264</v>
      </c>
      <c r="J1122" s="94">
        <v>389</v>
      </c>
      <c r="K1122" s="94">
        <v>2400</v>
      </c>
    </row>
    <row r="1123" spans="1:11" ht="15.75" x14ac:dyDescent="0.25">
      <c r="A1123" s="71"/>
      <c r="B1123" s="64" t="s">
        <v>21</v>
      </c>
      <c r="C1123" s="74">
        <v>23039</v>
      </c>
      <c r="D1123" s="94">
        <v>22897</v>
      </c>
      <c r="E1123" s="94">
        <v>898183</v>
      </c>
      <c r="F1123" s="94">
        <v>1789121.68</v>
      </c>
      <c r="G1123" s="94">
        <v>17849859.07</v>
      </c>
      <c r="H1123" s="94">
        <v>2174</v>
      </c>
      <c r="I1123" s="94">
        <v>19938</v>
      </c>
      <c r="J1123" s="94">
        <v>252</v>
      </c>
      <c r="K1123" s="94">
        <v>1898</v>
      </c>
    </row>
    <row r="1124" spans="1:11" ht="15.75" x14ac:dyDescent="0.25">
      <c r="A1124" s="71"/>
      <c r="B1124" s="64" t="s">
        <v>22</v>
      </c>
      <c r="C1124" s="74">
        <v>23090</v>
      </c>
      <c r="D1124" s="94">
        <v>22921</v>
      </c>
      <c r="E1124" s="94">
        <v>898682</v>
      </c>
      <c r="F1124" s="94">
        <v>1546074.09</v>
      </c>
      <c r="G1124" s="94">
        <v>14820866.210000001</v>
      </c>
      <c r="H1124" s="94">
        <v>2363</v>
      </c>
      <c r="I1124" s="94">
        <v>21583</v>
      </c>
      <c r="J1124" s="94">
        <v>251</v>
      </c>
      <c r="K1124" s="94">
        <v>1609</v>
      </c>
    </row>
    <row r="1125" spans="1:11" ht="15.75" x14ac:dyDescent="0.25">
      <c r="A1125" s="24"/>
      <c r="B1125" s="17"/>
      <c r="C1125" s="53"/>
      <c r="D1125" s="53"/>
      <c r="E1125" s="53"/>
      <c r="F1125" s="53"/>
      <c r="G1125" s="53"/>
      <c r="H1125" s="53"/>
      <c r="I1125" s="53"/>
      <c r="J1125" s="53"/>
      <c r="K1125" s="53"/>
    </row>
    <row r="1126" spans="1:11" ht="15.75" hidden="1" x14ac:dyDescent="0.25">
      <c r="A1126" s="24" t="s">
        <v>19</v>
      </c>
      <c r="B1126" s="16" t="s">
        <v>148</v>
      </c>
      <c r="C1126" s="53"/>
      <c r="D1126" s="53"/>
      <c r="E1126" s="53"/>
      <c r="F1126" s="53"/>
      <c r="G1126" s="53"/>
      <c r="H1126" s="44"/>
      <c r="I1126" s="44"/>
      <c r="J1126" s="44"/>
      <c r="K1126" s="44"/>
    </row>
    <row r="1127" spans="1:11" ht="15.75" hidden="1" x14ac:dyDescent="0.25">
      <c r="A1127" s="24">
        <v>2025</v>
      </c>
      <c r="B1127" s="17" t="s">
        <v>24</v>
      </c>
      <c r="C1127" s="53"/>
      <c r="D1127" s="53"/>
      <c r="E1127" s="53"/>
      <c r="F1127" s="53"/>
      <c r="G1127" s="53"/>
      <c r="H1127" s="53"/>
      <c r="I1127" s="53"/>
      <c r="J1127" s="53"/>
      <c r="K1127" s="53"/>
    </row>
    <row r="1128" spans="1:11" ht="15.75" hidden="1" x14ac:dyDescent="0.25">
      <c r="A1128" s="24"/>
      <c r="B1128" s="17" t="s">
        <v>25</v>
      </c>
      <c r="C1128" s="53"/>
      <c r="D1128" s="53"/>
      <c r="E1128" s="53"/>
      <c r="F1128" s="53"/>
      <c r="G1128" s="53"/>
      <c r="H1128" s="53"/>
      <c r="I1128" s="53"/>
      <c r="J1128" s="53"/>
      <c r="K1128" s="53"/>
    </row>
    <row r="1129" spans="1:11" ht="15.75" hidden="1" x14ac:dyDescent="0.25">
      <c r="A1129" s="24"/>
      <c r="B1129" s="17" t="s">
        <v>11</v>
      </c>
      <c r="C1129" s="53"/>
      <c r="D1129" s="53"/>
      <c r="E1129" s="53"/>
      <c r="F1129" s="53"/>
      <c r="G1129" s="53"/>
      <c r="H1129" s="53"/>
      <c r="I1129" s="53"/>
      <c r="J1129" s="53"/>
      <c r="K1129" s="53"/>
    </row>
    <row r="1130" spans="1:11" ht="15.75" hidden="1" x14ac:dyDescent="0.25">
      <c r="A1130" s="24"/>
      <c r="B1130" s="17"/>
      <c r="C1130" s="53"/>
      <c r="D1130" s="53"/>
      <c r="E1130" s="53"/>
      <c r="F1130" s="53"/>
      <c r="G1130" s="53"/>
      <c r="H1130" s="53"/>
      <c r="I1130" s="53"/>
      <c r="J1130" s="53"/>
      <c r="K1130" s="53"/>
    </row>
    <row r="1131" spans="1:11" ht="15.75" hidden="1" x14ac:dyDescent="0.25">
      <c r="A1131" s="24" t="s">
        <v>19</v>
      </c>
      <c r="B1131" s="16" t="s">
        <v>147</v>
      </c>
      <c r="C1131" s="53"/>
      <c r="D1131" s="53"/>
      <c r="E1131" s="53"/>
      <c r="F1131" s="53"/>
      <c r="G1131" s="53"/>
      <c r="H1131" s="44"/>
      <c r="I1131" s="44"/>
      <c r="J1131" s="44"/>
      <c r="K1131" s="44"/>
    </row>
    <row r="1132" spans="1:11" ht="15.75" hidden="1" x14ac:dyDescent="0.25">
      <c r="A1132" s="24">
        <v>2025</v>
      </c>
      <c r="B1132" s="17" t="s">
        <v>12</v>
      </c>
      <c r="C1132" s="53"/>
      <c r="D1132" s="53"/>
      <c r="E1132" s="53"/>
      <c r="F1132" s="53"/>
      <c r="G1132" s="53"/>
      <c r="H1132" s="53"/>
      <c r="I1132" s="53"/>
      <c r="J1132" s="53"/>
      <c r="K1132" s="53"/>
    </row>
    <row r="1133" spans="1:11" ht="15.75" hidden="1" x14ac:dyDescent="0.25">
      <c r="A1133" s="24"/>
      <c r="B1133" s="17" t="s">
        <v>13</v>
      </c>
      <c r="C1133" s="53"/>
      <c r="D1133" s="53"/>
      <c r="E1133" s="53"/>
      <c r="F1133" s="53"/>
      <c r="G1133" s="53"/>
      <c r="H1133" s="53"/>
      <c r="I1133" s="53"/>
      <c r="J1133" s="53"/>
      <c r="K1133" s="53"/>
    </row>
    <row r="1134" spans="1:11" ht="15.75" hidden="1" x14ac:dyDescent="0.25">
      <c r="A1134" s="24"/>
      <c r="B1134" s="17" t="s">
        <v>14</v>
      </c>
      <c r="C1134" s="53"/>
      <c r="D1134" s="53"/>
      <c r="E1134" s="53"/>
      <c r="F1134" s="53"/>
      <c r="G1134" s="53"/>
      <c r="H1134" s="53"/>
      <c r="I1134" s="53"/>
      <c r="J1134" s="53"/>
      <c r="K1134" s="53"/>
    </row>
    <row r="1135" spans="1:11" ht="15" hidden="1" x14ac:dyDescent="0.2">
      <c r="A1135" s="24"/>
      <c r="B1135" s="17"/>
      <c r="C1135" s="46"/>
      <c r="D1135" s="47"/>
      <c r="E1135" s="42"/>
      <c r="F1135" s="48"/>
      <c r="G1135" s="48"/>
      <c r="H1135" s="50"/>
      <c r="I1135" s="50"/>
      <c r="J1135" s="50"/>
      <c r="K1135" s="50"/>
    </row>
    <row r="1136" spans="1:11" ht="15.75" x14ac:dyDescent="0.25">
      <c r="A1136" s="89" t="s">
        <v>114</v>
      </c>
      <c r="B1136" s="17"/>
      <c r="C1136" s="18"/>
      <c r="D1136" s="18"/>
      <c r="E1136" s="18"/>
      <c r="F1136" s="18"/>
      <c r="G1136" s="18"/>
      <c r="H1136" s="18"/>
      <c r="I1136" s="18"/>
      <c r="J1136" s="18"/>
      <c r="K1136" s="18"/>
    </row>
    <row r="1137" spans="1:15" ht="27.75" x14ac:dyDescent="0.55000000000000004">
      <c r="A1137" s="82"/>
      <c r="B1137" s="17"/>
      <c r="C1137" s="105" t="s">
        <v>160</v>
      </c>
      <c r="D1137" s="105"/>
      <c r="E1137" s="105"/>
      <c r="F1137" s="105"/>
      <c r="G1137" s="18"/>
      <c r="H1137" s="18"/>
      <c r="I1137" s="18"/>
      <c r="J1137" s="18"/>
      <c r="K1137" s="18"/>
    </row>
    <row r="1138" spans="1:15" ht="27.75" x14ac:dyDescent="0.55000000000000004">
      <c r="A1138" s="82"/>
      <c r="B1138" s="16"/>
      <c r="C1138" s="104" t="s">
        <v>115</v>
      </c>
      <c r="D1138" s="105"/>
      <c r="E1138" s="104" t="s">
        <v>116</v>
      </c>
      <c r="F1138" s="105"/>
      <c r="G1138" s="105" t="s">
        <v>161</v>
      </c>
      <c r="H1138" s="105"/>
      <c r="I1138" s="105" t="s">
        <v>162</v>
      </c>
      <c r="J1138" s="105"/>
      <c r="K1138" s="18"/>
    </row>
    <row r="1139" spans="1:15" ht="15.75" x14ac:dyDescent="0.25">
      <c r="A1139" s="21" t="s">
        <v>8</v>
      </c>
      <c r="B1139" s="16" t="s">
        <v>32</v>
      </c>
      <c r="C1139" s="40" t="s">
        <v>108</v>
      </c>
      <c r="D1139" s="40" t="s">
        <v>109</v>
      </c>
      <c r="E1139" s="40" t="s">
        <v>108</v>
      </c>
      <c r="F1139" s="40" t="s">
        <v>109</v>
      </c>
      <c r="G1139" s="40" t="s">
        <v>108</v>
      </c>
      <c r="H1139" s="40" t="s">
        <v>117</v>
      </c>
      <c r="I1139" s="40" t="s">
        <v>108</v>
      </c>
      <c r="J1139" s="40" t="s">
        <v>117</v>
      </c>
      <c r="K1139" s="18"/>
    </row>
    <row r="1140" spans="1:15" ht="15.75" x14ac:dyDescent="0.25">
      <c r="A1140" s="21"/>
      <c r="B1140" s="16" t="s">
        <v>19</v>
      </c>
      <c r="C1140" s="40"/>
      <c r="D1140" s="40"/>
      <c r="E1140" s="40"/>
      <c r="F1140" s="40"/>
      <c r="G1140" s="40"/>
      <c r="H1140" s="40"/>
      <c r="I1140" s="40"/>
      <c r="J1140" s="40"/>
      <c r="K1140" s="18"/>
    </row>
    <row r="1141" spans="1:15" ht="15" x14ac:dyDescent="0.2">
      <c r="A1141" s="24">
        <v>2000</v>
      </c>
      <c r="B1141" s="17" t="s">
        <v>11</v>
      </c>
      <c r="C1141" s="43">
        <v>0</v>
      </c>
      <c r="D1141" s="43">
        <v>420137</v>
      </c>
      <c r="E1141" s="18">
        <v>0</v>
      </c>
      <c r="F1141" s="44">
        <v>4545</v>
      </c>
      <c r="G1141" s="43">
        <v>0</v>
      </c>
      <c r="H1141" s="43">
        <f>329562.77+11385.31</f>
        <v>340948.08</v>
      </c>
      <c r="I1141" s="43">
        <v>0</v>
      </c>
      <c r="J1141" s="43">
        <f>153155.78+426.42+17941.08</f>
        <v>171523.28000000003</v>
      </c>
      <c r="K1141" s="18"/>
    </row>
    <row r="1142" spans="1:15" ht="15" x14ac:dyDescent="0.2">
      <c r="A1142" s="24"/>
      <c r="B1142" s="17" t="s">
        <v>12</v>
      </c>
      <c r="C1142" s="45">
        <v>0</v>
      </c>
      <c r="D1142" s="45">
        <v>477340</v>
      </c>
      <c r="E1142" s="18">
        <v>0</v>
      </c>
      <c r="F1142" s="44">
        <v>4851</v>
      </c>
      <c r="G1142" s="45">
        <v>0</v>
      </c>
      <c r="H1142" s="45">
        <f>324832.59+12781.56</f>
        <v>337614.15</v>
      </c>
      <c r="I1142" s="45">
        <v>0</v>
      </c>
      <c r="J1142" s="45">
        <f>162072.4+21388.72</f>
        <v>183461.12</v>
      </c>
      <c r="K1142" s="18"/>
    </row>
    <row r="1143" spans="1:15" ht="15" x14ac:dyDescent="0.2">
      <c r="A1143" s="24"/>
      <c r="B1143" s="17" t="s">
        <v>13</v>
      </c>
      <c r="C1143" s="45">
        <v>0</v>
      </c>
      <c r="D1143" s="45">
        <v>284461</v>
      </c>
      <c r="E1143" s="18">
        <v>0</v>
      </c>
      <c r="F1143" s="44">
        <v>2789</v>
      </c>
      <c r="G1143" s="45">
        <v>0</v>
      </c>
      <c r="H1143" s="45">
        <f>294273.9+106.82+7788.04</f>
        <v>302168.76</v>
      </c>
      <c r="I1143" s="45">
        <v>0</v>
      </c>
      <c r="J1143" s="45">
        <f>173295.52+17606.3</f>
        <v>190901.81999999998</v>
      </c>
      <c r="K1143" s="18"/>
    </row>
    <row r="1144" spans="1:15" ht="15" x14ac:dyDescent="0.2">
      <c r="A1144" s="24"/>
      <c r="B1144" s="17" t="s">
        <v>14</v>
      </c>
      <c r="C1144" s="45">
        <v>0</v>
      </c>
      <c r="D1144" s="48">
        <v>326163</v>
      </c>
      <c r="E1144" s="18">
        <v>0</v>
      </c>
      <c r="F1144" s="44">
        <v>4933</v>
      </c>
      <c r="G1144" s="45">
        <f>29.72</f>
        <v>29.72</v>
      </c>
      <c r="H1144" s="45">
        <f>318699.72+9043.51</f>
        <v>327743.23</v>
      </c>
      <c r="I1144" s="45">
        <f>18.62</f>
        <v>18.62</v>
      </c>
      <c r="J1144" s="45">
        <f>140518.44+475.68+16338.36</f>
        <v>157332.47999999998</v>
      </c>
      <c r="K1144" s="18"/>
    </row>
    <row r="1145" spans="1:15" ht="15" x14ac:dyDescent="0.2">
      <c r="A1145" s="24"/>
      <c r="B1145" s="17"/>
      <c r="C1145" s="43"/>
      <c r="D1145" s="43"/>
      <c r="E1145" s="44"/>
      <c r="F1145" s="44"/>
      <c r="G1145" s="43"/>
      <c r="H1145" s="43"/>
      <c r="I1145" s="43"/>
      <c r="J1145" s="43"/>
      <c r="K1145" s="18"/>
      <c r="O1145" t="s">
        <v>19</v>
      </c>
    </row>
    <row r="1146" spans="1:15" ht="15.75" x14ac:dyDescent="0.25">
      <c r="A1146" s="24"/>
      <c r="B1146" s="16" t="s">
        <v>18</v>
      </c>
      <c r="C1146" s="18"/>
      <c r="D1146" s="48"/>
      <c r="E1146" s="18"/>
      <c r="F1146" s="44"/>
      <c r="G1146" s="55"/>
      <c r="H1146" s="45"/>
      <c r="I1146" s="55"/>
      <c r="J1146" s="45"/>
      <c r="K1146" s="18"/>
    </row>
    <row r="1147" spans="1:15" ht="15" x14ac:dyDescent="0.2">
      <c r="A1147" s="24">
        <v>2001</v>
      </c>
      <c r="B1147" s="17" t="s">
        <v>15</v>
      </c>
      <c r="C1147" s="45">
        <v>0</v>
      </c>
      <c r="D1147" s="48">
        <v>279514</v>
      </c>
      <c r="E1147" s="25">
        <v>0</v>
      </c>
      <c r="F1147" s="44">
        <v>5161</v>
      </c>
      <c r="G1147" s="45">
        <f>113.37</f>
        <v>113.37</v>
      </c>
      <c r="H1147" s="45">
        <f>291738.93+7669.67</f>
        <v>299408.59999999998</v>
      </c>
      <c r="I1147" s="45">
        <f>11.2</f>
        <v>11.2</v>
      </c>
      <c r="J1147" s="45">
        <f>145582.6+212.14+13073.15</f>
        <v>158867.89000000001</v>
      </c>
      <c r="K1147" s="18"/>
    </row>
    <row r="1148" spans="1:15" ht="15" x14ac:dyDescent="0.2">
      <c r="A1148" s="24"/>
      <c r="B1148" s="17" t="s">
        <v>16</v>
      </c>
      <c r="C1148" s="45">
        <v>283</v>
      </c>
      <c r="D1148" s="48">
        <v>267968</v>
      </c>
      <c r="E1148" s="44">
        <v>2</v>
      </c>
      <c r="F1148" s="44">
        <v>3938</v>
      </c>
      <c r="G1148" s="45">
        <f>255.54</f>
        <v>255.54</v>
      </c>
      <c r="H1148" s="45">
        <f>348963.27+11228.45</f>
        <v>360191.72000000003</v>
      </c>
      <c r="I1148" s="45">
        <f>68.72</f>
        <v>68.72</v>
      </c>
      <c r="J1148" s="45">
        <f>182274.2+168.68+14164.28</f>
        <v>196607.16</v>
      </c>
      <c r="K1148" s="18"/>
    </row>
    <row r="1149" spans="1:15" ht="15" x14ac:dyDescent="0.2">
      <c r="A1149" s="24"/>
      <c r="B1149" s="17" t="s">
        <v>17</v>
      </c>
      <c r="C1149" s="45">
        <v>3764</v>
      </c>
      <c r="D1149" s="48">
        <v>283648</v>
      </c>
      <c r="E1149" s="44">
        <v>35</v>
      </c>
      <c r="F1149" s="44">
        <v>4681</v>
      </c>
      <c r="G1149" s="45">
        <f>748.86</f>
        <v>748.86</v>
      </c>
      <c r="H1149" s="45">
        <f>374269.23+101.94+11640.38</f>
        <v>386011.55</v>
      </c>
      <c r="I1149" s="45">
        <f>159.67</f>
        <v>159.66999999999999</v>
      </c>
      <c r="J1149" s="45">
        <f>168408.16+14854.65</f>
        <v>183262.81</v>
      </c>
      <c r="K1149" s="18"/>
    </row>
    <row r="1150" spans="1:15" ht="15.75" x14ac:dyDescent="0.25">
      <c r="A1150" s="24"/>
      <c r="B1150" s="16" t="s">
        <v>23</v>
      </c>
      <c r="C1150" s="18"/>
      <c r="D1150" s="48"/>
      <c r="E1150" s="18"/>
      <c r="F1150" s="44"/>
      <c r="G1150" s="55"/>
      <c r="H1150" s="45"/>
      <c r="I1150" s="55"/>
      <c r="J1150" s="45"/>
      <c r="K1150" s="18"/>
    </row>
    <row r="1151" spans="1:15" ht="15" x14ac:dyDescent="0.2">
      <c r="A1151" s="24">
        <v>2001</v>
      </c>
      <c r="B1151" s="17" t="s">
        <v>20</v>
      </c>
      <c r="C1151" s="45">
        <v>10561.77</v>
      </c>
      <c r="D1151" s="48">
        <v>330316.06</v>
      </c>
      <c r="E1151" s="44">
        <v>65</v>
      </c>
      <c r="F1151" s="44">
        <v>2611</v>
      </c>
      <c r="G1151" s="45">
        <f>1162.61</f>
        <v>1162.6099999999999</v>
      </c>
      <c r="H1151" s="45">
        <f>324781.71+9610.45</f>
        <v>334392.16000000003</v>
      </c>
      <c r="I1151" s="45">
        <f>158.73</f>
        <v>158.72999999999999</v>
      </c>
      <c r="J1151" s="45">
        <f>165872.09+21+13642.65</f>
        <v>179535.74</v>
      </c>
      <c r="K1151" s="18"/>
    </row>
    <row r="1152" spans="1:15" ht="15" x14ac:dyDescent="0.2">
      <c r="A1152" s="24"/>
      <c r="B1152" s="17" t="s">
        <v>21</v>
      </c>
      <c r="C1152" s="45">
        <v>33116.42</v>
      </c>
      <c r="D1152" s="48">
        <v>1091388.43</v>
      </c>
      <c r="E1152" s="44">
        <v>173</v>
      </c>
      <c r="F1152" s="44">
        <v>16265</v>
      </c>
      <c r="G1152" s="45">
        <f>2090.31</f>
        <v>2090.31</v>
      </c>
      <c r="H1152" s="45">
        <f>289575.03+7665.58</f>
        <v>297240.61000000004</v>
      </c>
      <c r="I1152" s="45">
        <f>101.55</f>
        <v>101.55</v>
      </c>
      <c r="J1152" s="45">
        <f>148741.3+532.04+12054.29</f>
        <v>161327.63</v>
      </c>
      <c r="K1152" s="18"/>
    </row>
    <row r="1153" spans="1:11" ht="15" x14ac:dyDescent="0.2">
      <c r="A1153" s="24"/>
      <c r="B1153" s="17" t="s">
        <v>22</v>
      </c>
      <c r="C1153" s="43">
        <v>30062.99</v>
      </c>
      <c r="D1153" s="43">
        <v>347208.28</v>
      </c>
      <c r="E1153" s="44">
        <v>158</v>
      </c>
      <c r="F1153" s="44">
        <v>2805</v>
      </c>
      <c r="G1153" s="43">
        <f>1985.48</f>
        <v>1985.48</v>
      </c>
      <c r="H1153" s="43">
        <f>278017.59+11008.63</f>
        <v>289026.22000000003</v>
      </c>
      <c r="I1153" s="43">
        <f>733.08</f>
        <v>733.08</v>
      </c>
      <c r="J1153" s="43">
        <f>140715.36+89.58+16639.3</f>
        <v>157444.23999999996</v>
      </c>
      <c r="K1153" s="18"/>
    </row>
    <row r="1154" spans="1:11" ht="15" x14ac:dyDescent="0.2">
      <c r="A1154" s="24"/>
      <c r="B1154" s="17"/>
      <c r="C1154" s="43"/>
      <c r="D1154" s="43"/>
      <c r="E1154" s="44"/>
      <c r="F1154" s="44"/>
      <c r="G1154" s="43"/>
      <c r="H1154" s="43"/>
      <c r="I1154" s="43"/>
      <c r="J1154" s="43"/>
      <c r="K1154" s="18"/>
    </row>
    <row r="1155" spans="1:11" ht="15.75" x14ac:dyDescent="0.25">
      <c r="A1155" s="24"/>
      <c r="B1155" s="16" t="s">
        <v>26</v>
      </c>
      <c r="C1155" s="18"/>
      <c r="D1155" s="48"/>
      <c r="E1155" s="18"/>
      <c r="F1155" s="44"/>
      <c r="G1155" s="55"/>
      <c r="H1155" s="45"/>
      <c r="I1155" s="55"/>
      <c r="J1155" s="45"/>
      <c r="K1155" s="18"/>
    </row>
    <row r="1156" spans="1:11" ht="15" x14ac:dyDescent="0.2">
      <c r="A1156" s="24" t="s">
        <v>19</v>
      </c>
      <c r="B1156" s="17" t="s">
        <v>24</v>
      </c>
      <c r="C1156" s="45">
        <v>17553.45</v>
      </c>
      <c r="D1156" s="48">
        <v>266740.64</v>
      </c>
      <c r="E1156" s="44">
        <v>95</v>
      </c>
      <c r="F1156" s="44">
        <v>2203</v>
      </c>
      <c r="G1156" s="45">
        <v>3389.09</v>
      </c>
      <c r="H1156" s="45">
        <f>274341.38+7048.04</f>
        <v>281389.42</v>
      </c>
      <c r="I1156" s="45">
        <v>1489.55</v>
      </c>
      <c r="J1156" s="45">
        <f>154406.08+13215.11</f>
        <v>167621.19</v>
      </c>
      <c r="K1156" s="18"/>
    </row>
    <row r="1157" spans="1:11" ht="15" x14ac:dyDescent="0.2">
      <c r="A1157" s="24"/>
      <c r="B1157" s="17" t="s">
        <v>25</v>
      </c>
      <c r="C1157" s="45">
        <v>24650.6</v>
      </c>
      <c r="D1157" s="48">
        <v>333407.84000000003</v>
      </c>
      <c r="E1157" s="44">
        <v>146</v>
      </c>
      <c r="F1157" s="44">
        <v>2933</v>
      </c>
      <c r="G1157" s="45">
        <v>5384.25</v>
      </c>
      <c r="H1157" s="45">
        <f>326094.22+3522.05</f>
        <v>329616.26999999996</v>
      </c>
      <c r="I1157" s="45">
        <v>1034.92</v>
      </c>
      <c r="J1157" s="45">
        <f>141069.78+9764.23</f>
        <v>150834.01</v>
      </c>
      <c r="K1157" s="18"/>
    </row>
    <row r="1158" spans="1:11" ht="15" x14ac:dyDescent="0.2">
      <c r="A1158" s="24"/>
      <c r="B1158" s="17" t="s">
        <v>11</v>
      </c>
      <c r="C1158" s="43">
        <v>37241.93</v>
      </c>
      <c r="D1158" s="43">
        <v>324517.52</v>
      </c>
      <c r="E1158" s="44">
        <v>260</v>
      </c>
      <c r="F1158" s="44">
        <v>2813</v>
      </c>
      <c r="G1158" s="43">
        <v>10446.26</v>
      </c>
      <c r="H1158" s="43">
        <f>348081.91+38.02+6068.48</f>
        <v>354188.41</v>
      </c>
      <c r="I1158" s="43">
        <v>1505.9</v>
      </c>
      <c r="J1158" s="43">
        <f>135254.84+38.02+9023.88</f>
        <v>144316.74</v>
      </c>
      <c r="K1158" s="18"/>
    </row>
    <row r="1159" spans="1:11" ht="15" x14ac:dyDescent="0.2">
      <c r="A1159" s="24"/>
      <c r="B1159" s="17"/>
      <c r="C1159" s="43"/>
      <c r="D1159" s="43"/>
      <c r="E1159" s="44"/>
      <c r="F1159" s="44"/>
      <c r="G1159" s="43"/>
      <c r="H1159" s="43"/>
      <c r="I1159" s="43"/>
      <c r="J1159" s="43"/>
      <c r="K1159" s="18"/>
    </row>
    <row r="1160" spans="1:11" ht="15.75" x14ac:dyDescent="0.25">
      <c r="A1160" s="24"/>
      <c r="B1160" s="16" t="s">
        <v>27</v>
      </c>
      <c r="C1160" s="18"/>
      <c r="D1160" s="48"/>
      <c r="E1160" s="18"/>
      <c r="F1160" s="44"/>
      <c r="G1160" s="55"/>
      <c r="H1160" s="45"/>
      <c r="I1160" s="55"/>
      <c r="J1160" s="45"/>
      <c r="K1160" s="18"/>
    </row>
    <row r="1161" spans="1:11" ht="15" x14ac:dyDescent="0.2">
      <c r="A1161" s="24" t="s">
        <v>19</v>
      </c>
      <c r="B1161" s="17" t="s">
        <v>12</v>
      </c>
      <c r="C1161" s="45">
        <v>39131.08</v>
      </c>
      <c r="D1161" s="48">
        <f>479072.8+2742.07</f>
        <v>481814.87</v>
      </c>
      <c r="E1161" s="44">
        <v>227</v>
      </c>
      <c r="F1161" s="44">
        <f>3370+17</f>
        <v>3387</v>
      </c>
      <c r="G1161" s="45">
        <v>17877.48</v>
      </c>
      <c r="H1161" s="45">
        <f>357370.76+8172.68</f>
        <v>365543.44</v>
      </c>
      <c r="I1161" s="45">
        <v>2921.62</v>
      </c>
      <c r="J1161" s="45">
        <f>142491.57+9222.87</f>
        <v>151714.44</v>
      </c>
      <c r="K1161" s="18"/>
    </row>
    <row r="1162" spans="1:11" ht="15" x14ac:dyDescent="0.2">
      <c r="A1162" s="24"/>
      <c r="B1162" s="17" t="s">
        <v>13</v>
      </c>
      <c r="C1162" s="45">
        <v>23344.9</v>
      </c>
      <c r="D1162" s="48">
        <f>2440943.83+559.83+475066.57</f>
        <v>2916570.23</v>
      </c>
      <c r="E1162" s="44">
        <v>165</v>
      </c>
      <c r="F1162" s="44">
        <f>15159+4+1909</f>
        <v>17072</v>
      </c>
      <c r="G1162" s="45">
        <v>23505.94</v>
      </c>
      <c r="H1162" s="45">
        <f>390328.34+8084.55</f>
        <v>398412.89</v>
      </c>
      <c r="I1162" s="45">
        <v>4188.37</v>
      </c>
      <c r="J1162" s="45">
        <f>183771.9+10.62+13162.09</f>
        <v>196944.61</v>
      </c>
      <c r="K1162" s="18"/>
    </row>
    <row r="1163" spans="1:11" ht="15" x14ac:dyDescent="0.2">
      <c r="A1163" s="24"/>
      <c r="B1163" s="17" t="s">
        <v>14</v>
      </c>
      <c r="C1163" s="43">
        <v>21091.94</v>
      </c>
      <c r="D1163" s="43">
        <f>321854.39+1149.61</f>
        <v>323004</v>
      </c>
      <c r="E1163" s="44">
        <v>138</v>
      </c>
      <c r="F1163" s="44">
        <f>2582+8</f>
        <v>2590</v>
      </c>
      <c r="G1163" s="43">
        <v>30908.74</v>
      </c>
      <c r="H1163" s="43">
        <f>339330.65+6438.65</f>
        <v>345769.30000000005</v>
      </c>
      <c r="I1163" s="43">
        <v>5359.54</v>
      </c>
      <c r="J1163" s="43">
        <f>162314.3+13654.19</f>
        <v>175968.49</v>
      </c>
      <c r="K1163" s="18"/>
    </row>
    <row r="1164" spans="1:11" ht="15" x14ac:dyDescent="0.2">
      <c r="A1164" s="24"/>
      <c r="B1164" s="17"/>
      <c r="C1164" s="43"/>
      <c r="D1164" s="43"/>
      <c r="E1164" s="44"/>
      <c r="F1164" s="44"/>
      <c r="G1164" s="43"/>
      <c r="H1164" s="43"/>
      <c r="I1164" s="43"/>
      <c r="J1164" s="43"/>
      <c r="K1164" s="18"/>
    </row>
    <row r="1165" spans="1:11" ht="15.75" x14ac:dyDescent="0.25">
      <c r="A1165" s="24"/>
      <c r="B1165" s="16" t="s">
        <v>28</v>
      </c>
      <c r="C1165" s="18"/>
      <c r="D1165" s="48"/>
      <c r="E1165" s="18"/>
      <c r="F1165" s="44"/>
      <c r="G1165" s="55"/>
      <c r="H1165" s="45"/>
      <c r="I1165" s="55"/>
      <c r="J1165" s="45"/>
      <c r="K1165" s="18"/>
    </row>
    <row r="1166" spans="1:11" ht="15" x14ac:dyDescent="0.2">
      <c r="A1166" s="24">
        <v>2002</v>
      </c>
      <c r="B1166" s="17" t="s">
        <v>15</v>
      </c>
      <c r="C1166" s="45">
        <v>21698.74</v>
      </c>
      <c r="D1166" s="48">
        <f>349139.19+848.85</f>
        <v>349988.04</v>
      </c>
      <c r="E1166" s="44">
        <v>153</v>
      </c>
      <c r="F1166" s="44">
        <f>2927+8</f>
        <v>2935</v>
      </c>
      <c r="G1166" s="45">
        <v>25354.27</v>
      </c>
      <c r="H1166" s="45">
        <f>341406.68+6717.63</f>
        <v>348124.31</v>
      </c>
      <c r="I1166" s="45">
        <v>4845.2</v>
      </c>
      <c r="J1166" s="45">
        <f>156424.46+8797.57</f>
        <v>165222.03</v>
      </c>
      <c r="K1166" s="18"/>
    </row>
    <row r="1167" spans="1:11" ht="15" x14ac:dyDescent="0.2">
      <c r="A1167" s="24"/>
      <c r="B1167" s="17" t="s">
        <v>16</v>
      </c>
      <c r="C1167" s="45">
        <v>14676.9</v>
      </c>
      <c r="D1167" s="48">
        <f>305296.62+1676.18</f>
        <v>306972.79999999999</v>
      </c>
      <c r="E1167" s="44">
        <v>101</v>
      </c>
      <c r="F1167" s="44">
        <f>2369+5</f>
        <v>2374</v>
      </c>
      <c r="G1167" s="45">
        <v>28571.99</v>
      </c>
      <c r="H1167" s="45">
        <f>385584.57+10.25+5905.78</f>
        <v>391500.60000000003</v>
      </c>
      <c r="I1167" s="45">
        <v>7304.43</v>
      </c>
      <c r="J1167" s="45">
        <f>187351.75+0.19+13593.47</f>
        <v>200945.41</v>
      </c>
      <c r="K1167" s="18"/>
    </row>
    <row r="1168" spans="1:11" ht="15" x14ac:dyDescent="0.2">
      <c r="A1168" s="24"/>
      <c r="B1168" s="17" t="s">
        <v>17</v>
      </c>
      <c r="C1168" s="43">
        <v>20668.86</v>
      </c>
      <c r="D1168" s="43">
        <f>286552.68+2185.48</f>
        <v>288738.15999999997</v>
      </c>
      <c r="E1168" s="44">
        <v>151</v>
      </c>
      <c r="F1168" s="44">
        <f>2278+8</f>
        <v>2286</v>
      </c>
      <c r="G1168" s="43">
        <v>36564.230000000003</v>
      </c>
      <c r="H1168" s="43">
        <f>396862.98+9747.07</f>
        <v>406610.05</v>
      </c>
      <c r="I1168" s="43">
        <v>8364.6299999999992</v>
      </c>
      <c r="J1168" s="43">
        <f>192640.31+13435.29</f>
        <v>206075.6</v>
      </c>
      <c r="K1168" s="18"/>
    </row>
    <row r="1169" spans="1:11" ht="15" x14ac:dyDescent="0.2">
      <c r="A1169" s="24"/>
      <c r="B1169" s="17"/>
      <c r="C1169" s="43"/>
      <c r="D1169" s="43"/>
      <c r="E1169" s="44"/>
      <c r="F1169" s="44"/>
      <c r="G1169" s="43"/>
      <c r="H1169" s="43"/>
      <c r="I1169" s="43"/>
      <c r="J1169" s="43"/>
      <c r="K1169" s="18"/>
    </row>
    <row r="1170" spans="1:11" ht="15" x14ac:dyDescent="0.2">
      <c r="A1170" s="24"/>
      <c r="B1170" s="17"/>
      <c r="C1170" s="43"/>
      <c r="D1170" s="43"/>
      <c r="E1170" s="44"/>
      <c r="F1170" s="44"/>
      <c r="G1170" s="43"/>
      <c r="H1170" s="43"/>
      <c r="I1170" s="43"/>
      <c r="J1170" s="43"/>
      <c r="K1170" s="18"/>
    </row>
    <row r="1171" spans="1:11" ht="15.75" x14ac:dyDescent="0.25">
      <c r="A1171" s="89" t="s">
        <v>114</v>
      </c>
      <c r="B1171" s="17"/>
      <c r="C1171" s="18"/>
      <c r="D1171" s="18"/>
      <c r="E1171" s="18"/>
      <c r="F1171" s="18"/>
      <c r="G1171" s="18"/>
      <c r="H1171" s="18"/>
      <c r="I1171" s="18"/>
      <c r="J1171" s="18"/>
      <c r="K1171" s="18"/>
    </row>
    <row r="1172" spans="1:11" ht="27.75" x14ac:dyDescent="0.55000000000000004">
      <c r="A1172" s="82"/>
      <c r="B1172" s="17"/>
      <c r="C1172" s="105" t="s">
        <v>160</v>
      </c>
      <c r="D1172" s="105"/>
      <c r="E1172" s="105"/>
      <c r="F1172" s="105"/>
      <c r="G1172" s="18"/>
      <c r="H1172" s="18"/>
      <c r="I1172" s="18"/>
      <c r="J1172" s="18"/>
      <c r="K1172" s="18"/>
    </row>
    <row r="1173" spans="1:11" ht="27.75" x14ac:dyDescent="0.55000000000000004">
      <c r="A1173" s="82"/>
      <c r="B1173" s="16"/>
      <c r="C1173" s="104" t="s">
        <v>115</v>
      </c>
      <c r="D1173" s="105"/>
      <c r="E1173" s="104" t="s">
        <v>116</v>
      </c>
      <c r="F1173" s="105"/>
      <c r="G1173" s="105" t="s">
        <v>161</v>
      </c>
      <c r="H1173" s="105"/>
      <c r="I1173" s="105" t="s">
        <v>162</v>
      </c>
      <c r="J1173" s="105"/>
      <c r="K1173" s="18"/>
    </row>
    <row r="1174" spans="1:11" ht="15.75" x14ac:dyDescent="0.25">
      <c r="A1174" s="21" t="s">
        <v>8</v>
      </c>
      <c r="B1174" s="16" t="s">
        <v>32</v>
      </c>
      <c r="C1174" s="40" t="s">
        <v>108</v>
      </c>
      <c r="D1174" s="40" t="s">
        <v>109</v>
      </c>
      <c r="E1174" s="40" t="s">
        <v>108</v>
      </c>
      <c r="F1174" s="40" t="s">
        <v>109</v>
      </c>
      <c r="G1174" s="40" t="s">
        <v>108</v>
      </c>
      <c r="H1174" s="40" t="s">
        <v>117</v>
      </c>
      <c r="I1174" s="40" t="s">
        <v>108</v>
      </c>
      <c r="J1174" s="40" t="s">
        <v>117</v>
      </c>
      <c r="K1174" s="18"/>
    </row>
    <row r="1175" spans="1:11" ht="15.75" x14ac:dyDescent="0.25">
      <c r="A1175" s="21"/>
      <c r="B1175" s="16"/>
      <c r="C1175" s="40"/>
      <c r="D1175" s="40"/>
      <c r="E1175" s="40"/>
      <c r="F1175" s="40"/>
      <c r="G1175" s="40"/>
      <c r="H1175" s="40"/>
      <c r="I1175" s="40"/>
      <c r="J1175" s="40"/>
      <c r="K1175" s="18"/>
    </row>
    <row r="1176" spans="1:11" ht="15.75" x14ac:dyDescent="0.25">
      <c r="A1176" s="24" t="s">
        <v>19</v>
      </c>
      <c r="B1176" s="16" t="s">
        <v>29</v>
      </c>
      <c r="C1176" s="18"/>
      <c r="D1176" s="48"/>
      <c r="E1176" s="18"/>
      <c r="F1176" s="44"/>
      <c r="G1176" s="55"/>
      <c r="H1176" s="45"/>
      <c r="I1176" s="55"/>
      <c r="J1176" s="45"/>
      <c r="K1176" s="18"/>
    </row>
    <row r="1177" spans="1:11" ht="15" x14ac:dyDescent="0.2">
      <c r="A1177" s="24">
        <v>2002</v>
      </c>
      <c r="B1177" s="17" t="s">
        <v>20</v>
      </c>
      <c r="C1177" s="45">
        <v>25785.87</v>
      </c>
      <c r="D1177" s="48">
        <v>327935.67</v>
      </c>
      <c r="E1177" s="44">
        <v>143</v>
      </c>
      <c r="F1177" s="44">
        <v>2418</v>
      </c>
      <c r="G1177" s="45">
        <v>26156.66</v>
      </c>
      <c r="H1177" s="45">
        <v>363008.49</v>
      </c>
      <c r="I1177" s="45">
        <v>6558.55</v>
      </c>
      <c r="J1177" s="45">
        <v>130631.13</v>
      </c>
      <c r="K1177" s="18"/>
    </row>
    <row r="1178" spans="1:11" ht="15" x14ac:dyDescent="0.2">
      <c r="A1178" s="24"/>
      <c r="B1178" s="17" t="s">
        <v>21</v>
      </c>
      <c r="C1178" s="45">
        <v>36267.919999999998</v>
      </c>
      <c r="D1178" s="48">
        <v>327403.7</v>
      </c>
      <c r="E1178" s="44">
        <v>221</v>
      </c>
      <c r="F1178" s="44">
        <v>2414</v>
      </c>
      <c r="G1178" s="45">
        <v>28853.13</v>
      </c>
      <c r="H1178" s="45">
        <v>376856.36</v>
      </c>
      <c r="I1178" s="45">
        <v>11650.72</v>
      </c>
      <c r="J1178" s="45">
        <v>232801.95</v>
      </c>
      <c r="K1178" s="18"/>
    </row>
    <row r="1179" spans="1:11" ht="15" x14ac:dyDescent="0.2">
      <c r="A1179" s="24"/>
      <c r="B1179" s="17" t="s">
        <v>22</v>
      </c>
      <c r="C1179" s="43">
        <v>42529.52</v>
      </c>
      <c r="D1179" s="43">
        <v>314760.81</v>
      </c>
      <c r="E1179" s="44">
        <v>231</v>
      </c>
      <c r="F1179" s="44">
        <v>2316</v>
      </c>
      <c r="G1179" s="43">
        <v>22193.81</v>
      </c>
      <c r="H1179" s="43">
        <v>313063.44</v>
      </c>
      <c r="I1179" s="43">
        <v>5789.84</v>
      </c>
      <c r="J1179" s="43">
        <v>190267.94</v>
      </c>
      <c r="K1179" s="18"/>
    </row>
    <row r="1180" spans="1:11" ht="15.75" x14ac:dyDescent="0.25">
      <c r="A1180" s="21"/>
      <c r="B1180" s="16" t="s">
        <v>19</v>
      </c>
      <c r="C1180" s="40"/>
      <c r="D1180" s="40"/>
      <c r="E1180" s="40"/>
      <c r="F1180" s="40"/>
      <c r="G1180" s="40"/>
      <c r="H1180" s="40"/>
      <c r="I1180" s="40"/>
      <c r="J1180" s="40"/>
      <c r="K1180" s="18"/>
    </row>
    <row r="1181" spans="1:11" ht="15.75" x14ac:dyDescent="0.25">
      <c r="A1181" s="24" t="s">
        <v>19</v>
      </c>
      <c r="B1181" s="16" t="s">
        <v>30</v>
      </c>
      <c r="C1181" s="18"/>
      <c r="D1181" s="48"/>
      <c r="E1181" s="18"/>
      <c r="F1181" s="44"/>
      <c r="G1181" s="55"/>
      <c r="H1181" s="45"/>
      <c r="I1181" s="55"/>
      <c r="J1181" s="45"/>
      <c r="K1181" s="18"/>
    </row>
    <row r="1182" spans="1:11" ht="15" x14ac:dyDescent="0.2">
      <c r="A1182" s="24" t="s">
        <v>19</v>
      </c>
      <c r="B1182" s="17" t="s">
        <v>24</v>
      </c>
      <c r="C1182" s="45">
        <v>63003.82</v>
      </c>
      <c r="D1182" s="48">
        <v>335631.06</v>
      </c>
      <c r="E1182" s="44">
        <v>341</v>
      </c>
      <c r="F1182" s="44">
        <v>2614</v>
      </c>
      <c r="G1182" s="45">
        <v>26491.33</v>
      </c>
      <c r="H1182" s="45">
        <f>293325.77+1303.32</f>
        <v>294629.09000000003</v>
      </c>
      <c r="I1182" s="45">
        <v>7360.92</v>
      </c>
      <c r="J1182" s="45">
        <f>155833.41+5205.94</f>
        <v>161039.35</v>
      </c>
      <c r="K1182" s="18"/>
    </row>
    <row r="1183" spans="1:11" ht="15" x14ac:dyDescent="0.2">
      <c r="A1183" s="24"/>
      <c r="B1183" s="17" t="s">
        <v>25</v>
      </c>
      <c r="C1183" s="45">
        <v>53162.76</v>
      </c>
      <c r="D1183" s="48">
        <v>370227.26</v>
      </c>
      <c r="E1183" s="44">
        <v>321</v>
      </c>
      <c r="F1183" s="44">
        <v>2915</v>
      </c>
      <c r="G1183" s="45">
        <v>26583.95</v>
      </c>
      <c r="H1183" s="45">
        <f>362402.54+8194.41</f>
        <v>370596.94999999995</v>
      </c>
      <c r="I1183" s="45">
        <v>7001.26</v>
      </c>
      <c r="J1183" s="45">
        <f>164676.66+62.54+13313.52</f>
        <v>178052.72</v>
      </c>
      <c r="K1183" s="18"/>
    </row>
    <row r="1184" spans="1:11" ht="15" x14ac:dyDescent="0.2">
      <c r="A1184" s="24"/>
      <c r="B1184" s="17" t="s">
        <v>11</v>
      </c>
      <c r="C1184" s="43">
        <v>50676.26</v>
      </c>
      <c r="D1184" s="43">
        <v>357593.03</v>
      </c>
      <c r="E1184" s="44">
        <f>280</f>
        <v>280</v>
      </c>
      <c r="F1184" s="44">
        <v>2620</v>
      </c>
      <c r="G1184" s="43">
        <f>38129.79</f>
        <v>38129.79</v>
      </c>
      <c r="H1184" s="43">
        <f>363033.72+4835.45</f>
        <v>367869.17</v>
      </c>
      <c r="I1184" s="43">
        <v>10233.01</v>
      </c>
      <c r="J1184" s="43">
        <f>144012.42+6788.99</f>
        <v>150801.41</v>
      </c>
      <c r="K1184" s="18"/>
    </row>
    <row r="1185" spans="1:11" ht="15" x14ac:dyDescent="0.2">
      <c r="A1185" s="24"/>
      <c r="B1185" s="17"/>
      <c r="C1185" s="43"/>
      <c r="D1185" s="43"/>
      <c r="E1185" s="44"/>
      <c r="F1185" s="44"/>
      <c r="G1185" s="43"/>
      <c r="H1185" s="43"/>
      <c r="I1185" s="43"/>
      <c r="J1185" s="43"/>
      <c r="K1185" s="18"/>
    </row>
    <row r="1186" spans="1:11" ht="15.75" x14ac:dyDescent="0.25">
      <c r="A1186" s="24"/>
      <c r="B1186" s="16" t="s">
        <v>31</v>
      </c>
      <c r="C1186" s="18"/>
      <c r="D1186" s="48"/>
      <c r="E1186" s="18"/>
      <c r="F1186" s="44"/>
      <c r="G1186" s="55"/>
      <c r="H1186" s="45"/>
      <c r="I1186" s="55"/>
      <c r="J1186" s="45"/>
      <c r="K1186" s="18"/>
    </row>
    <row r="1187" spans="1:11" ht="15" x14ac:dyDescent="0.2">
      <c r="A1187" s="24" t="s">
        <v>19</v>
      </c>
      <c r="B1187" s="17" t="s">
        <v>12</v>
      </c>
      <c r="C1187" s="45">
        <v>92011.65</v>
      </c>
      <c r="D1187" s="48">
        <v>731204.34</v>
      </c>
      <c r="E1187" s="44">
        <v>476</v>
      </c>
      <c r="F1187" s="44">
        <v>4969</v>
      </c>
      <c r="G1187" s="45">
        <v>47188.76</v>
      </c>
      <c r="H1187" s="45">
        <f>396293.01+3498.9</f>
        <v>399791.91000000003</v>
      </c>
      <c r="I1187" s="45">
        <v>14221.7</v>
      </c>
      <c r="J1187" s="45">
        <f>181448.01+31.28+8037.52</f>
        <v>189516.81</v>
      </c>
      <c r="K1187" s="18"/>
    </row>
    <row r="1188" spans="1:11" ht="15" x14ac:dyDescent="0.2">
      <c r="A1188" s="24"/>
      <c r="B1188" s="17" t="s">
        <v>13</v>
      </c>
      <c r="C1188" s="45">
        <v>45778.18</v>
      </c>
      <c r="D1188" s="48">
        <v>438589.15</v>
      </c>
      <c r="E1188" s="44">
        <v>275</v>
      </c>
      <c r="F1188" s="44">
        <v>3136</v>
      </c>
      <c r="G1188" s="45">
        <v>47347.38</v>
      </c>
      <c r="H1188" s="45">
        <f>383797.72+4318.6</f>
        <v>388116.31999999995</v>
      </c>
      <c r="I1188" s="45">
        <v>12157.16</v>
      </c>
      <c r="J1188" s="45">
        <f>163053.51+7196.46</f>
        <v>170249.97</v>
      </c>
      <c r="K1188" s="18"/>
    </row>
    <row r="1189" spans="1:11" ht="15" x14ac:dyDescent="0.2">
      <c r="A1189" s="24"/>
      <c r="B1189" s="17" t="s">
        <v>14</v>
      </c>
      <c r="C1189" s="43">
        <v>30079.55</v>
      </c>
      <c r="D1189" s="43">
        <v>369713.77</v>
      </c>
      <c r="E1189" s="44">
        <v>196</v>
      </c>
      <c r="F1189" s="44">
        <v>2781</v>
      </c>
      <c r="G1189" s="43">
        <v>62435.57</v>
      </c>
      <c r="H1189" s="43">
        <f>603086.51+4312.36</f>
        <v>607398.87</v>
      </c>
      <c r="I1189" s="43">
        <v>13480.18</v>
      </c>
      <c r="J1189" s="43">
        <f>352677.35+6708.63</f>
        <v>359385.98</v>
      </c>
      <c r="K1189" s="18"/>
    </row>
    <row r="1190" spans="1:11" ht="15" x14ac:dyDescent="0.2">
      <c r="A1190" s="24"/>
      <c r="B1190" s="17"/>
      <c r="C1190" s="43"/>
      <c r="D1190" s="43"/>
      <c r="E1190" s="44"/>
      <c r="F1190" s="44"/>
      <c r="G1190" s="43"/>
      <c r="H1190" s="43"/>
      <c r="I1190" s="43"/>
      <c r="J1190" s="43"/>
      <c r="K1190" s="18"/>
    </row>
    <row r="1191" spans="1:11" ht="15.75" x14ac:dyDescent="0.25">
      <c r="A1191" s="24" t="s">
        <v>19</v>
      </c>
      <c r="B1191" s="16" t="s">
        <v>33</v>
      </c>
      <c r="C1191" s="18"/>
      <c r="D1191" s="48"/>
      <c r="E1191" s="18"/>
      <c r="F1191" s="44"/>
      <c r="G1191" s="55"/>
      <c r="H1191" s="45"/>
      <c r="I1191" s="55"/>
      <c r="J1191" s="45"/>
      <c r="K1191" s="18"/>
    </row>
    <row r="1192" spans="1:11" ht="15" x14ac:dyDescent="0.2">
      <c r="A1192" s="24">
        <v>2003</v>
      </c>
      <c r="B1192" s="17" t="s">
        <v>15</v>
      </c>
      <c r="C1192" s="45">
        <v>31286.12</v>
      </c>
      <c r="D1192" s="48">
        <v>380217.56</v>
      </c>
      <c r="E1192" s="44">
        <v>183</v>
      </c>
      <c r="F1192" s="44">
        <v>2994</v>
      </c>
      <c r="G1192" s="45">
        <v>40508.15</v>
      </c>
      <c r="H1192" s="45">
        <f>337220.8+38.02+4959.41</f>
        <v>342218.23</v>
      </c>
      <c r="I1192" s="45">
        <v>9831.0400000000009</v>
      </c>
      <c r="J1192" s="45">
        <f>130810.47+5626.78</f>
        <v>136437.25</v>
      </c>
      <c r="K1192" s="18"/>
    </row>
    <row r="1193" spans="1:11" ht="15" x14ac:dyDescent="0.2">
      <c r="A1193" s="24"/>
      <c r="B1193" s="17" t="s">
        <v>16</v>
      </c>
      <c r="C1193" s="45">
        <v>16619.099999999999</v>
      </c>
      <c r="D1193" s="48">
        <v>332851.37</v>
      </c>
      <c r="E1193" s="44">
        <v>119</v>
      </c>
      <c r="F1193" s="44">
        <v>2474</v>
      </c>
      <c r="G1193" s="45">
        <v>48104.72</v>
      </c>
      <c r="H1193" s="45">
        <f>338775.97+2989.93</f>
        <v>341765.89999999997</v>
      </c>
      <c r="I1193" s="45">
        <v>14193.14</v>
      </c>
      <c r="J1193" s="45">
        <f>141166.92+1.12+2434.08</f>
        <v>143602.12</v>
      </c>
      <c r="K1193" s="18"/>
    </row>
    <row r="1194" spans="1:11" ht="15" x14ac:dyDescent="0.2">
      <c r="A1194" s="24"/>
      <c r="B1194" s="17" t="s">
        <v>17</v>
      </c>
      <c r="C1194" s="43">
        <v>36593.620000000003</v>
      </c>
      <c r="D1194" s="43">
        <v>395962.82</v>
      </c>
      <c r="E1194" s="44">
        <v>188</v>
      </c>
      <c r="F1194" s="44">
        <v>2758</v>
      </c>
      <c r="G1194" s="43">
        <v>56287.86</v>
      </c>
      <c r="H1194" s="43">
        <f>443519.8+1616.27</f>
        <v>445136.07</v>
      </c>
      <c r="I1194" s="43">
        <v>14767.99</v>
      </c>
      <c r="J1194" s="43">
        <f>158587.65+3879.18</f>
        <v>162466.82999999999</v>
      </c>
      <c r="K1194" s="18"/>
    </row>
    <row r="1195" spans="1:11" ht="15" x14ac:dyDescent="0.2">
      <c r="A1195" s="24"/>
      <c r="B1195" s="17"/>
      <c r="C1195" s="43"/>
      <c r="D1195" s="43"/>
      <c r="E1195" s="44"/>
      <c r="F1195" s="44"/>
      <c r="G1195" s="43"/>
      <c r="H1195" s="43"/>
      <c r="I1195" s="43"/>
      <c r="J1195" s="43"/>
      <c r="K1195" s="18"/>
    </row>
    <row r="1196" spans="1:11" ht="15.75" x14ac:dyDescent="0.25">
      <c r="A1196" s="24" t="s">
        <v>19</v>
      </c>
      <c r="B1196" s="16" t="s">
        <v>34</v>
      </c>
      <c r="C1196" s="18"/>
      <c r="D1196" s="48"/>
      <c r="E1196" s="18"/>
      <c r="F1196" s="44"/>
      <c r="G1196" s="55"/>
      <c r="H1196" s="45"/>
      <c r="I1196" s="55"/>
      <c r="J1196" s="45"/>
      <c r="K1196" s="18"/>
    </row>
    <row r="1197" spans="1:11" ht="15" x14ac:dyDescent="0.2">
      <c r="A1197" s="24"/>
      <c r="B1197" s="17" t="s">
        <v>20</v>
      </c>
      <c r="C1197" s="45">
        <v>35343</v>
      </c>
      <c r="D1197" s="48">
        <f>364823.98+1002.32</f>
        <v>365826.3</v>
      </c>
      <c r="E1197" s="44">
        <v>236</v>
      </c>
      <c r="F1197" s="44">
        <v>2679</v>
      </c>
      <c r="G1197" s="45">
        <v>47940.81</v>
      </c>
      <c r="H1197" s="45">
        <f>381073.77+3641.46+3334.07</f>
        <v>388049.30000000005</v>
      </c>
      <c r="I1197" s="45">
        <v>12562.72</v>
      </c>
      <c r="J1197" s="45">
        <f>193691.12+3641.46+6213.04</f>
        <v>203545.62</v>
      </c>
      <c r="K1197" s="18"/>
    </row>
    <row r="1198" spans="1:11" ht="15" x14ac:dyDescent="0.2">
      <c r="A1198" s="24"/>
      <c r="B1198" s="17" t="s">
        <v>21</v>
      </c>
      <c r="C1198" s="45">
        <v>46613.87</v>
      </c>
      <c r="D1198" s="48">
        <f>355154.15+204.63</f>
        <v>355358.78</v>
      </c>
      <c r="E1198" s="44">
        <v>294</v>
      </c>
      <c r="F1198" s="44">
        <v>2763</v>
      </c>
      <c r="G1198" s="45">
        <v>38294.870000000003</v>
      </c>
      <c r="H1198" s="45">
        <f>349863.49+1505.05</f>
        <v>351368.54</v>
      </c>
      <c r="I1198" s="45">
        <v>11244.45</v>
      </c>
      <c r="J1198" s="45">
        <f>143219.83+3258.31</f>
        <v>146478.13999999998</v>
      </c>
      <c r="K1198" s="18"/>
    </row>
    <row r="1199" spans="1:11" ht="15" x14ac:dyDescent="0.2">
      <c r="A1199" s="24"/>
      <c r="B1199" s="17" t="s">
        <v>22</v>
      </c>
      <c r="C1199" s="43">
        <v>27103.7</v>
      </c>
      <c r="D1199" s="43">
        <f>224750.04+74.55</f>
        <v>224824.59</v>
      </c>
      <c r="E1199" s="44">
        <v>162</v>
      </c>
      <c r="F1199" s="44">
        <v>1741</v>
      </c>
      <c r="G1199" s="43">
        <v>28885.77</v>
      </c>
      <c r="H1199" s="43">
        <f>314154.62+1394.54</f>
        <v>315549.15999999997</v>
      </c>
      <c r="I1199" s="43">
        <v>11155.59</v>
      </c>
      <c r="J1199" s="43">
        <f>143978.73+3354.7</f>
        <v>147333.43000000002</v>
      </c>
      <c r="K1199" s="18"/>
    </row>
    <row r="1200" spans="1:11" ht="15" x14ac:dyDescent="0.2">
      <c r="A1200" s="24"/>
      <c r="B1200" s="17"/>
      <c r="C1200" s="43"/>
      <c r="D1200" s="43"/>
      <c r="E1200" s="44"/>
      <c r="F1200" s="44"/>
      <c r="G1200" s="43"/>
      <c r="H1200" s="43"/>
      <c r="I1200" s="43"/>
      <c r="J1200" s="43"/>
      <c r="K1200" s="18"/>
    </row>
    <row r="1201" spans="1:11" ht="15.75" x14ac:dyDescent="0.25">
      <c r="A1201" s="24" t="s">
        <v>19</v>
      </c>
      <c r="B1201" s="16" t="s">
        <v>35</v>
      </c>
      <c r="C1201" s="18"/>
      <c r="D1201" s="48"/>
      <c r="E1201" s="18"/>
      <c r="F1201" s="44"/>
      <c r="G1201" s="55"/>
      <c r="H1201" s="45"/>
      <c r="I1201" s="55"/>
      <c r="J1201" s="45"/>
      <c r="K1201" s="18"/>
    </row>
    <row r="1202" spans="1:11" ht="15" x14ac:dyDescent="0.2">
      <c r="A1202" s="24"/>
      <c r="B1202" s="17" t="s">
        <v>24</v>
      </c>
      <c r="C1202" s="45">
        <v>14828.84</v>
      </c>
      <c r="D1202" s="48">
        <v>141422.73000000001</v>
      </c>
      <c r="E1202" s="44">
        <v>134</v>
      </c>
      <c r="F1202" s="44">
        <v>1615</v>
      </c>
      <c r="G1202" s="45">
        <v>27397.06</v>
      </c>
      <c r="H1202" s="45">
        <f>311238.21+2982.44</f>
        <v>314220.65000000002</v>
      </c>
      <c r="I1202" s="45">
        <v>11134.35</v>
      </c>
      <c r="J1202" s="45">
        <f>158064.81+4519.34</f>
        <v>162584.15</v>
      </c>
      <c r="K1202" s="18"/>
    </row>
    <row r="1203" spans="1:11" ht="15" x14ac:dyDescent="0.2">
      <c r="A1203" s="24"/>
      <c r="B1203" s="17" t="s">
        <v>25</v>
      </c>
      <c r="C1203" s="45">
        <v>29442.85</v>
      </c>
      <c r="D1203" s="48">
        <v>148458.70000000001</v>
      </c>
      <c r="E1203" s="44">
        <v>185</v>
      </c>
      <c r="F1203" s="44">
        <v>1627</v>
      </c>
      <c r="G1203" s="45">
        <v>37283.42</v>
      </c>
      <c r="H1203" s="45">
        <f>373434.79+2450.61</f>
        <v>375885.39999999997</v>
      </c>
      <c r="I1203" s="45">
        <v>12712.65</v>
      </c>
      <c r="J1203" s="45">
        <f>169517.88+5667.47</f>
        <v>175185.35</v>
      </c>
      <c r="K1203" s="18"/>
    </row>
    <row r="1204" spans="1:11" ht="15" x14ac:dyDescent="0.2">
      <c r="A1204" s="24"/>
      <c r="B1204" s="17" t="s">
        <v>11</v>
      </c>
      <c r="C1204" s="43">
        <v>82813.31</v>
      </c>
      <c r="D1204" s="43">
        <f>622677.06+504.87</f>
        <v>623181.93000000005</v>
      </c>
      <c r="E1204" s="44">
        <v>563</v>
      </c>
      <c r="F1204" s="44">
        <v>5988</v>
      </c>
      <c r="G1204" s="43">
        <v>47148.33</v>
      </c>
      <c r="H1204" s="43">
        <f>419129.17+3059.6</f>
        <v>422188.76999999996</v>
      </c>
      <c r="I1204" s="43">
        <v>16994.61</v>
      </c>
      <c r="J1204" s="43">
        <f>193851.69+4038.5</f>
        <v>197890.19</v>
      </c>
      <c r="K1204" s="18"/>
    </row>
    <row r="1205" spans="1:11" ht="15.75" x14ac:dyDescent="0.25">
      <c r="A1205" s="24" t="s">
        <v>19</v>
      </c>
      <c r="B1205" s="16" t="s">
        <v>36</v>
      </c>
      <c r="C1205" s="18"/>
      <c r="D1205" s="48"/>
      <c r="E1205" s="18"/>
      <c r="F1205" s="44"/>
      <c r="G1205" s="55"/>
      <c r="H1205" s="45"/>
      <c r="I1205" s="55"/>
      <c r="J1205" s="45"/>
      <c r="K1205" s="18"/>
    </row>
    <row r="1206" spans="1:11" ht="15" x14ac:dyDescent="0.2">
      <c r="A1206" s="24"/>
      <c r="B1206" s="17" t="s">
        <v>12</v>
      </c>
      <c r="C1206" s="45">
        <v>27726.42</v>
      </c>
      <c r="D1206" s="48">
        <v>309729.21000000002</v>
      </c>
      <c r="E1206" s="44">
        <v>215</v>
      </c>
      <c r="F1206" s="44">
        <f>2969</f>
        <v>2969</v>
      </c>
      <c r="G1206" s="45">
        <v>44459.67</v>
      </c>
      <c r="H1206" s="45">
        <f>342163.47+3430.79</f>
        <v>345594.25999999995</v>
      </c>
      <c r="I1206" s="45">
        <v>10989.38</v>
      </c>
      <c r="J1206" s="45">
        <f>149064.71+4817.27</f>
        <v>153881.97999999998</v>
      </c>
      <c r="K1206" s="18"/>
    </row>
    <row r="1207" spans="1:11" ht="15" x14ac:dyDescent="0.2">
      <c r="A1207" s="24"/>
      <c r="B1207" s="17" t="s">
        <v>13</v>
      </c>
      <c r="C1207" s="45">
        <v>24654.23</v>
      </c>
      <c r="D1207" s="48">
        <v>219651.4</v>
      </c>
      <c r="E1207" s="44">
        <v>178</v>
      </c>
      <c r="F1207" s="44">
        <f>1858</f>
        <v>1858</v>
      </c>
      <c r="G1207" s="45">
        <v>33207.86</v>
      </c>
      <c r="H1207" s="45">
        <f>368470.26+1863.31</f>
        <v>370333.57</v>
      </c>
      <c r="I1207" s="45">
        <v>12959.87</v>
      </c>
      <c r="J1207" s="45">
        <f>162444.43+2981.22</f>
        <v>165425.65</v>
      </c>
      <c r="K1207" s="18"/>
    </row>
    <row r="1208" spans="1:11" ht="15" x14ac:dyDescent="0.2">
      <c r="A1208" s="24"/>
      <c r="B1208" s="17" t="s">
        <v>14</v>
      </c>
      <c r="C1208" s="43">
        <v>30346.42</v>
      </c>
      <c r="D1208" s="43">
        <v>267841.08</v>
      </c>
      <c r="E1208" s="44">
        <v>189</v>
      </c>
      <c r="F1208" s="44">
        <f>2157</f>
        <v>2157</v>
      </c>
      <c r="G1208" s="43">
        <v>42992.39</v>
      </c>
      <c r="H1208" s="43">
        <f>343632.86+3439.6</f>
        <v>347072.45999999996</v>
      </c>
      <c r="I1208" s="43">
        <v>12989.38</v>
      </c>
      <c r="J1208" s="43">
        <f>141352.85+2082.91</f>
        <v>143435.76</v>
      </c>
      <c r="K1208" s="18"/>
    </row>
    <row r="1209" spans="1:11" ht="15" x14ac:dyDescent="0.2">
      <c r="A1209" s="24"/>
      <c r="B1209" s="17"/>
      <c r="C1209" s="43"/>
      <c r="D1209" s="43"/>
      <c r="E1209" s="44"/>
      <c r="F1209" s="44"/>
      <c r="G1209" s="43"/>
      <c r="H1209" s="43"/>
      <c r="I1209" s="43"/>
      <c r="J1209" s="43"/>
      <c r="K1209" s="18"/>
    </row>
    <row r="1210" spans="1:11" ht="15.75" x14ac:dyDescent="0.25">
      <c r="A1210" s="24" t="s">
        <v>19</v>
      </c>
      <c r="B1210" s="16" t="s">
        <v>37</v>
      </c>
      <c r="C1210" s="18"/>
      <c r="D1210" s="48"/>
      <c r="E1210" s="18"/>
      <c r="F1210" s="44"/>
      <c r="G1210" s="55"/>
      <c r="H1210" s="45"/>
      <c r="I1210" s="55"/>
      <c r="J1210" s="45"/>
      <c r="K1210" s="18"/>
    </row>
    <row r="1211" spans="1:11" ht="15" x14ac:dyDescent="0.2">
      <c r="A1211" s="24">
        <v>2004</v>
      </c>
      <c r="B1211" s="17" t="s">
        <v>15</v>
      </c>
      <c r="C1211" s="45">
        <v>32094.2</v>
      </c>
      <c r="D1211" s="48">
        <v>233169.91</v>
      </c>
      <c r="E1211" s="44">
        <v>243</v>
      </c>
      <c r="F1211" s="44">
        <v>2945</v>
      </c>
      <c r="G1211" s="45">
        <v>59149.82</v>
      </c>
      <c r="H1211" s="45">
        <f>350099.03+919.02</f>
        <v>351018.05000000005</v>
      </c>
      <c r="I1211" s="45">
        <v>12652.19</v>
      </c>
      <c r="J1211" s="45">
        <f>136278.95+1638.8</f>
        <v>137917.75</v>
      </c>
      <c r="K1211" s="18"/>
    </row>
    <row r="1212" spans="1:11" ht="15" x14ac:dyDescent="0.2">
      <c r="A1212" s="24"/>
      <c r="B1212" s="17" t="s">
        <v>16</v>
      </c>
      <c r="C1212" s="45">
        <v>33932.06</v>
      </c>
      <c r="D1212" s="48">
        <f>267715.76+112.11</f>
        <v>267827.87</v>
      </c>
      <c r="E1212" s="44">
        <v>274</v>
      </c>
      <c r="F1212" s="44">
        <v>4122</v>
      </c>
      <c r="G1212" s="45">
        <v>41069.370000000003</v>
      </c>
      <c r="H1212" s="45">
        <f>390710.18+408.41+2741.33</f>
        <v>393859.92</v>
      </c>
      <c r="I1212" s="45">
        <v>19611.7</v>
      </c>
      <c r="J1212" s="45">
        <f>216343.14+863.31+3825.62</f>
        <v>221032.07</v>
      </c>
      <c r="K1212" s="18"/>
    </row>
    <row r="1213" spans="1:11" ht="15" x14ac:dyDescent="0.2">
      <c r="A1213" s="24"/>
      <c r="B1213" s="17" t="s">
        <v>17</v>
      </c>
      <c r="C1213" s="43">
        <v>43402.15</v>
      </c>
      <c r="D1213" s="43">
        <f>347570.74+206.57</f>
        <v>347777.31</v>
      </c>
      <c r="E1213" s="44">
        <v>235</v>
      </c>
      <c r="F1213" s="44">
        <v>3167</v>
      </c>
      <c r="G1213" s="43">
        <v>46963.4</v>
      </c>
      <c r="H1213" s="43">
        <f>385541.1+1341.06+1018.9</f>
        <v>387901.06</v>
      </c>
      <c r="I1213" s="43">
        <v>16661.509999999998</v>
      </c>
      <c r="J1213" s="43">
        <f>191629.73+1463.51+2817.45</f>
        <v>195910.69000000003</v>
      </c>
      <c r="K1213" s="18"/>
    </row>
    <row r="1214" spans="1:11" ht="15.75" x14ac:dyDescent="0.25">
      <c r="A1214" s="24" t="s">
        <v>19</v>
      </c>
      <c r="B1214" s="16" t="s">
        <v>38</v>
      </c>
      <c r="C1214" s="18"/>
      <c r="D1214" s="48"/>
      <c r="E1214" s="18"/>
      <c r="F1214" s="44"/>
      <c r="G1214" s="55"/>
      <c r="H1214" s="45"/>
      <c r="I1214" s="55"/>
      <c r="J1214" s="45"/>
      <c r="K1214" s="18"/>
    </row>
    <row r="1215" spans="1:11" ht="15" x14ac:dyDescent="0.2">
      <c r="A1215" s="24">
        <v>2004</v>
      </c>
      <c r="B1215" s="17" t="s">
        <v>20</v>
      </c>
      <c r="C1215" s="45">
        <v>38624.449999999997</v>
      </c>
      <c r="D1215" s="48">
        <f>302683.16+580.66</f>
        <v>303263.81999999995</v>
      </c>
      <c r="E1215" s="44">
        <v>243</v>
      </c>
      <c r="F1215" s="44">
        <f>2943+5</f>
        <v>2948</v>
      </c>
      <c r="G1215" s="45">
        <v>55929.86</v>
      </c>
      <c r="H1215" s="45">
        <f>414896.63+1276.44</f>
        <v>416173.07</v>
      </c>
      <c r="I1215" s="45">
        <v>19344.150000000001</v>
      </c>
      <c r="J1215" s="45">
        <f>181388.59+1807.19</f>
        <v>183195.78</v>
      </c>
      <c r="K1215" s="18"/>
    </row>
    <row r="1216" spans="1:11" ht="15" x14ac:dyDescent="0.2">
      <c r="A1216" s="24"/>
      <c r="B1216" s="17" t="s">
        <v>21</v>
      </c>
      <c r="C1216" s="45">
        <v>44475.82</v>
      </c>
      <c r="D1216" s="48">
        <f>278155.08+510.71</f>
        <v>278665.79000000004</v>
      </c>
      <c r="E1216" s="44">
        <v>251</v>
      </c>
      <c r="F1216" s="44">
        <f>2631+2</f>
        <v>2633</v>
      </c>
      <c r="G1216" s="45">
        <v>49710.27</v>
      </c>
      <c r="H1216" s="45">
        <f>341647.97+1516.94</f>
        <v>343164.91</v>
      </c>
      <c r="I1216" s="45">
        <v>14569.84</v>
      </c>
      <c r="J1216" s="45">
        <f>156801.46+1788.31</f>
        <v>158589.76999999999</v>
      </c>
      <c r="K1216" s="18"/>
    </row>
    <row r="1217" spans="1:11" ht="15" x14ac:dyDescent="0.2">
      <c r="A1217" s="24"/>
      <c r="B1217" s="17" t="s">
        <v>22</v>
      </c>
      <c r="C1217" s="43">
        <v>107301.42</v>
      </c>
      <c r="D1217" s="43">
        <f>328296.65</f>
        <v>328296.65000000002</v>
      </c>
      <c r="E1217" s="44">
        <v>447</v>
      </c>
      <c r="F1217" s="44">
        <f>3410+1</f>
        <v>3411</v>
      </c>
      <c r="G1217" s="43">
        <v>46085.120000000003</v>
      </c>
      <c r="H1217" s="43">
        <f>297015.62+417.27+2247.5</f>
        <v>299680.39</v>
      </c>
      <c r="I1217" s="43">
        <v>21562.720000000001</v>
      </c>
      <c r="J1217" s="43">
        <f>149597.33+40.95+2573.36</f>
        <v>152211.63999999998</v>
      </c>
      <c r="K1217" s="18"/>
    </row>
    <row r="1218" spans="1:11" ht="15" x14ac:dyDescent="0.2">
      <c r="A1218" s="24"/>
      <c r="B1218" s="17"/>
      <c r="C1218" s="43"/>
      <c r="D1218" s="43"/>
      <c r="E1218" s="44"/>
      <c r="F1218" s="44"/>
      <c r="G1218" s="43"/>
      <c r="H1218" s="43"/>
      <c r="I1218" s="43"/>
      <c r="J1218" s="43"/>
      <c r="K1218" s="18"/>
    </row>
    <row r="1219" spans="1:11" ht="15.75" x14ac:dyDescent="0.25">
      <c r="A1219" s="24" t="s">
        <v>19</v>
      </c>
      <c r="B1219" s="16" t="s">
        <v>39</v>
      </c>
      <c r="C1219" s="18"/>
      <c r="D1219" s="48"/>
      <c r="E1219" s="18"/>
      <c r="F1219" s="44"/>
      <c r="G1219" s="55"/>
      <c r="H1219" s="45"/>
      <c r="I1219" s="55"/>
      <c r="J1219" s="45"/>
      <c r="K1219" s="18"/>
    </row>
    <row r="1220" spans="1:11" ht="15" x14ac:dyDescent="0.2">
      <c r="A1220" s="24" t="s">
        <v>19</v>
      </c>
      <c r="B1220" s="17" t="s">
        <v>24</v>
      </c>
      <c r="C1220" s="45">
        <v>66399.570000000007</v>
      </c>
      <c r="D1220" s="48">
        <f>236036.75</f>
        <v>236036.75</v>
      </c>
      <c r="E1220" s="44">
        <v>399</v>
      </c>
      <c r="F1220" s="44">
        <v>3170</v>
      </c>
      <c r="G1220" s="45">
        <v>34539.69</v>
      </c>
      <c r="H1220" s="45">
        <f>264840.95+2216.99</f>
        <v>267057.94</v>
      </c>
      <c r="I1220" s="45">
        <v>14244.09</v>
      </c>
      <c r="J1220" s="45">
        <f>144244.28+3074.62</f>
        <v>147318.9</v>
      </c>
      <c r="K1220" s="18"/>
    </row>
    <row r="1221" spans="1:11" ht="15" x14ac:dyDescent="0.2">
      <c r="A1221" s="24"/>
      <c r="B1221" s="17" t="s">
        <v>25</v>
      </c>
      <c r="C1221" s="45">
        <v>50573.98</v>
      </c>
      <c r="D1221" s="48">
        <f>298402.99</f>
        <v>298402.99</v>
      </c>
      <c r="E1221" s="44">
        <v>287</v>
      </c>
      <c r="F1221" s="44">
        <v>3354</v>
      </c>
      <c r="G1221" s="45">
        <v>49601.89</v>
      </c>
      <c r="H1221" s="45">
        <f>353145.33+3530.2</f>
        <v>356675.53</v>
      </c>
      <c r="I1221" s="45">
        <v>20295.099999999999</v>
      </c>
      <c r="J1221" s="45">
        <f>165743.23+372.37+4870.25</f>
        <v>170985.85</v>
      </c>
      <c r="K1221" s="18"/>
    </row>
    <row r="1222" spans="1:11" ht="15" x14ac:dyDescent="0.2">
      <c r="A1222" s="24"/>
      <c r="B1222" s="17" t="s">
        <v>11</v>
      </c>
      <c r="C1222" s="43">
        <v>51128.33</v>
      </c>
      <c r="D1222" s="43">
        <f>440193.98+79.56</f>
        <v>440273.54</v>
      </c>
      <c r="E1222" s="44">
        <v>288</v>
      </c>
      <c r="F1222" s="44">
        <f>3886+2</f>
        <v>3888</v>
      </c>
      <c r="G1222" s="43">
        <v>57097.279999999999</v>
      </c>
      <c r="H1222" s="43">
        <f>368762.99+1825.95</f>
        <v>370588.94</v>
      </c>
      <c r="I1222" s="43">
        <v>16026.52</v>
      </c>
      <c r="J1222" s="43">
        <f>142221.65+1861.3</f>
        <v>144082.94999999998</v>
      </c>
      <c r="K1222" s="18"/>
    </row>
    <row r="1223" spans="1:11" ht="15" x14ac:dyDescent="0.2">
      <c r="A1223" s="24"/>
      <c r="B1223" s="17"/>
      <c r="C1223" s="43"/>
      <c r="D1223" s="43"/>
      <c r="E1223" s="44"/>
      <c r="F1223" s="44"/>
      <c r="G1223" s="43"/>
      <c r="H1223" s="43"/>
      <c r="I1223" s="43"/>
      <c r="J1223" s="43"/>
      <c r="K1223" s="18"/>
    </row>
    <row r="1224" spans="1:11" ht="15.75" x14ac:dyDescent="0.25">
      <c r="A1224" s="89" t="s">
        <v>114</v>
      </c>
      <c r="B1224" s="17"/>
      <c r="C1224" s="43"/>
      <c r="D1224" s="43"/>
      <c r="E1224" s="44"/>
      <c r="F1224" s="44"/>
      <c r="G1224" s="43"/>
      <c r="H1224" s="43"/>
      <c r="I1224" s="43"/>
      <c r="J1224" s="43"/>
      <c r="K1224" s="18"/>
    </row>
    <row r="1225" spans="1:11" ht="27.75" x14ac:dyDescent="0.55000000000000004">
      <c r="A1225" s="24"/>
      <c r="B1225" s="17"/>
      <c r="C1225" s="105" t="s">
        <v>160</v>
      </c>
      <c r="D1225" s="105"/>
      <c r="E1225" s="105"/>
      <c r="F1225" s="105"/>
      <c r="G1225" s="18"/>
      <c r="H1225" s="18"/>
      <c r="I1225" s="18"/>
      <c r="J1225" s="18"/>
      <c r="K1225" s="18"/>
    </row>
    <row r="1226" spans="1:11" ht="27.75" x14ac:dyDescent="0.55000000000000004">
      <c r="A1226" s="24"/>
      <c r="B1226" s="16"/>
      <c r="C1226" s="104" t="s">
        <v>115</v>
      </c>
      <c r="D1226" s="105"/>
      <c r="E1226" s="104" t="s">
        <v>116</v>
      </c>
      <c r="F1226" s="105"/>
      <c r="G1226" s="105" t="s">
        <v>161</v>
      </c>
      <c r="H1226" s="105"/>
      <c r="I1226" s="105" t="s">
        <v>162</v>
      </c>
      <c r="J1226" s="105"/>
      <c r="K1226" s="18"/>
    </row>
    <row r="1227" spans="1:11" ht="15.75" x14ac:dyDescent="0.25">
      <c r="A1227" s="21" t="s">
        <v>8</v>
      </c>
      <c r="B1227" s="16" t="s">
        <v>32</v>
      </c>
      <c r="C1227" s="40" t="s">
        <v>108</v>
      </c>
      <c r="D1227" s="40" t="s">
        <v>109</v>
      </c>
      <c r="E1227" s="40" t="s">
        <v>108</v>
      </c>
      <c r="F1227" s="40" t="s">
        <v>109</v>
      </c>
      <c r="G1227" s="40" t="s">
        <v>108</v>
      </c>
      <c r="H1227" s="40" t="s">
        <v>117</v>
      </c>
      <c r="I1227" s="40" t="s">
        <v>108</v>
      </c>
      <c r="J1227" s="40" t="s">
        <v>117</v>
      </c>
      <c r="K1227" s="18"/>
    </row>
    <row r="1228" spans="1:11" ht="15" x14ac:dyDescent="0.2">
      <c r="A1228" s="24"/>
      <c r="B1228" s="17"/>
      <c r="C1228" s="43"/>
      <c r="D1228" s="43"/>
      <c r="E1228" s="44"/>
      <c r="F1228" s="44"/>
      <c r="G1228" s="43"/>
      <c r="H1228" s="43"/>
      <c r="I1228" s="43"/>
      <c r="J1228" s="43"/>
      <c r="K1228" s="18"/>
    </row>
    <row r="1229" spans="1:11" ht="15.75" x14ac:dyDescent="0.25">
      <c r="A1229" s="24" t="s">
        <v>19</v>
      </c>
      <c r="B1229" s="16" t="s">
        <v>40</v>
      </c>
      <c r="C1229" s="18"/>
      <c r="D1229" s="48"/>
      <c r="E1229" s="18"/>
      <c r="F1229" s="44"/>
      <c r="G1229" s="55"/>
      <c r="H1229" s="45"/>
      <c r="I1229" s="55"/>
      <c r="J1229" s="45"/>
      <c r="K1229" s="18"/>
    </row>
    <row r="1230" spans="1:11" ht="15.75" x14ac:dyDescent="0.25">
      <c r="A1230" s="24"/>
      <c r="B1230" s="16"/>
      <c r="C1230" s="18"/>
      <c r="D1230" s="48"/>
      <c r="E1230" s="18"/>
      <c r="F1230" s="44"/>
      <c r="G1230" s="55"/>
      <c r="H1230" s="45"/>
      <c r="I1230" s="55"/>
      <c r="J1230" s="45"/>
      <c r="K1230" s="18"/>
    </row>
    <row r="1231" spans="1:11" ht="15" x14ac:dyDescent="0.2">
      <c r="A1231" s="24">
        <v>2004</v>
      </c>
      <c r="B1231" s="17" t="s">
        <v>12</v>
      </c>
      <c r="C1231" s="45">
        <v>44076.31</v>
      </c>
      <c r="D1231" s="48">
        <v>386703.35</v>
      </c>
      <c r="E1231" s="44">
        <v>249</v>
      </c>
      <c r="F1231" s="44">
        <v>3978</v>
      </c>
      <c r="G1231" s="45">
        <v>54281.09</v>
      </c>
      <c r="H1231" s="45">
        <f>350608.31+413.32+2679.15</f>
        <v>353700.78</v>
      </c>
      <c r="I1231" s="45">
        <v>17851.73</v>
      </c>
      <c r="J1231" s="45">
        <f>136959.47+408.1+3147.19</f>
        <v>140514.76</v>
      </c>
      <c r="K1231" s="18"/>
    </row>
    <row r="1232" spans="1:11" ht="15" x14ac:dyDescent="0.2">
      <c r="A1232" s="24"/>
      <c r="B1232" s="17" t="s">
        <v>13</v>
      </c>
      <c r="C1232" s="45">
        <v>26230.02</v>
      </c>
      <c r="D1232" s="48">
        <v>334899.82</v>
      </c>
      <c r="E1232" s="44">
        <v>186</v>
      </c>
      <c r="F1232" s="44">
        <v>2888</v>
      </c>
      <c r="G1232" s="45">
        <v>105638.23</v>
      </c>
      <c r="H1232" s="45">
        <f>386064.08+2446.97</f>
        <v>388511.05</v>
      </c>
      <c r="I1232" s="45">
        <v>27644.61</v>
      </c>
      <c r="J1232" s="45">
        <f>204585.63+3435.71</f>
        <v>208021.34</v>
      </c>
      <c r="K1232" s="18"/>
    </row>
    <row r="1233" spans="1:11" ht="15" x14ac:dyDescent="0.2">
      <c r="A1233" s="24"/>
      <c r="B1233" s="17" t="s">
        <v>14</v>
      </c>
      <c r="C1233" s="43">
        <v>19743.59</v>
      </c>
      <c r="D1233" s="43">
        <v>365377.53</v>
      </c>
      <c r="E1233" s="44">
        <v>136</v>
      </c>
      <c r="F1233" s="44">
        <v>3133</v>
      </c>
      <c r="G1233" s="43">
        <v>71692.87</v>
      </c>
      <c r="H1233" s="43">
        <f>339084.24+1835.05</f>
        <v>340919.29</v>
      </c>
      <c r="I1233" s="43">
        <v>19492.330000000002</v>
      </c>
      <c r="J1233" s="43">
        <f>153945.86+2872.21</f>
        <v>156818.06999999998</v>
      </c>
      <c r="K1233" s="18"/>
    </row>
    <row r="1234" spans="1:11" ht="15" x14ac:dyDescent="0.2">
      <c r="A1234" s="24"/>
      <c r="B1234" s="17"/>
      <c r="C1234" s="43"/>
      <c r="D1234" s="43"/>
      <c r="E1234" s="44"/>
      <c r="F1234" s="44"/>
      <c r="G1234" s="43"/>
      <c r="H1234" s="43"/>
      <c r="I1234" s="43"/>
      <c r="J1234" s="43"/>
      <c r="K1234" s="18"/>
    </row>
    <row r="1235" spans="1:11" ht="15.75" x14ac:dyDescent="0.25">
      <c r="A1235" s="24" t="s">
        <v>19</v>
      </c>
      <c r="B1235" s="16" t="s">
        <v>41</v>
      </c>
      <c r="C1235" s="18"/>
      <c r="D1235" s="48"/>
      <c r="E1235" s="18"/>
      <c r="F1235" s="44"/>
      <c r="G1235" s="55"/>
      <c r="H1235" s="45"/>
      <c r="I1235" s="55"/>
      <c r="J1235" s="45"/>
      <c r="K1235" s="18"/>
    </row>
    <row r="1236" spans="1:11" ht="15" x14ac:dyDescent="0.2">
      <c r="A1236" s="24">
        <v>2005</v>
      </c>
      <c r="B1236" s="17" t="s">
        <v>15</v>
      </c>
      <c r="C1236" s="45">
        <v>16997</v>
      </c>
      <c r="D1236" s="48">
        <v>231944.86</v>
      </c>
      <c r="E1236" s="44">
        <v>139</v>
      </c>
      <c r="F1236" s="44">
        <v>2730</v>
      </c>
      <c r="G1236" s="45">
        <v>60250.879999999997</v>
      </c>
      <c r="H1236" s="45">
        <f>307150.09+2171.08</f>
        <v>309321.17000000004</v>
      </c>
      <c r="I1236" s="45">
        <v>22132.71</v>
      </c>
      <c r="J1236" s="45">
        <f>141820.32+3023.18</f>
        <v>144843.5</v>
      </c>
      <c r="K1236" s="18"/>
    </row>
    <row r="1237" spans="1:11" ht="15" x14ac:dyDescent="0.2">
      <c r="A1237" s="24"/>
      <c r="B1237" s="17" t="s">
        <v>16</v>
      </c>
      <c r="C1237" s="45">
        <v>12019.21</v>
      </c>
      <c r="D1237" s="48">
        <v>210403.46</v>
      </c>
      <c r="E1237" s="44">
        <v>93</v>
      </c>
      <c r="F1237" s="44">
        <v>2364</v>
      </c>
      <c r="G1237" s="45">
        <v>59181.56</v>
      </c>
      <c r="H1237" s="45">
        <f>406726.99+2751.23</f>
        <v>409478.22</v>
      </c>
      <c r="I1237" s="45">
        <v>31159.8</v>
      </c>
      <c r="J1237" s="45">
        <f>202000.94+2683.91</f>
        <v>204684.85</v>
      </c>
      <c r="K1237" s="18"/>
    </row>
    <row r="1238" spans="1:11" ht="15" x14ac:dyDescent="0.2">
      <c r="A1238" s="24"/>
      <c r="B1238" s="17" t="s">
        <v>17</v>
      </c>
      <c r="C1238" s="43">
        <v>17894.810000000001</v>
      </c>
      <c r="D1238" s="43">
        <v>356228.71</v>
      </c>
      <c r="E1238" s="44">
        <v>139</v>
      </c>
      <c r="F1238" s="44">
        <v>3134</v>
      </c>
      <c r="G1238" s="43">
        <v>58461.91</v>
      </c>
      <c r="H1238" s="43">
        <f>435546.28+1470.73</f>
        <v>437017.01</v>
      </c>
      <c r="I1238" s="43">
        <v>23345.15</v>
      </c>
      <c r="J1238" s="43">
        <f>205179.66+2543.73</f>
        <v>207723.39</v>
      </c>
      <c r="K1238" s="18"/>
    </row>
    <row r="1239" spans="1:11" ht="15" x14ac:dyDescent="0.2">
      <c r="A1239" s="24"/>
      <c r="B1239" s="17"/>
      <c r="C1239" s="43"/>
      <c r="D1239" s="43"/>
      <c r="E1239" s="44"/>
      <c r="F1239" s="44"/>
      <c r="G1239" s="43"/>
      <c r="H1239" s="43"/>
      <c r="I1239" s="43"/>
      <c r="J1239" s="43"/>
      <c r="K1239" s="18"/>
    </row>
    <row r="1240" spans="1:11" ht="15.75" x14ac:dyDescent="0.25">
      <c r="A1240" s="24" t="s">
        <v>19</v>
      </c>
      <c r="B1240" s="16" t="s">
        <v>42</v>
      </c>
      <c r="C1240" s="18"/>
      <c r="D1240" s="48"/>
      <c r="E1240" s="18"/>
      <c r="F1240" s="44"/>
      <c r="G1240" s="55"/>
      <c r="H1240" s="45"/>
      <c r="I1240" s="55"/>
      <c r="J1240" s="45"/>
      <c r="K1240" s="18"/>
    </row>
    <row r="1241" spans="1:11" ht="15" x14ac:dyDescent="0.2">
      <c r="A1241" s="24"/>
      <c r="B1241" s="17" t="s">
        <v>20</v>
      </c>
      <c r="C1241" s="45">
        <v>31549.59</v>
      </c>
      <c r="D1241" s="48">
        <v>280050</v>
      </c>
      <c r="E1241" s="44">
        <v>191</v>
      </c>
      <c r="F1241" s="44">
        <v>2993</v>
      </c>
      <c r="G1241" s="45">
        <v>38836.76</v>
      </c>
      <c r="H1241" s="45">
        <f>374842.17+1697.2</f>
        <v>376539.37</v>
      </c>
      <c r="I1241" s="45">
        <v>20298.68</v>
      </c>
      <c r="J1241" s="45">
        <f>205482.88+2144.11</f>
        <v>207626.99</v>
      </c>
      <c r="K1241" s="18"/>
    </row>
    <row r="1242" spans="1:11" ht="15" x14ac:dyDescent="0.2">
      <c r="A1242" s="24"/>
      <c r="B1242" s="17" t="s">
        <v>21</v>
      </c>
      <c r="C1242" s="45">
        <v>30247.52</v>
      </c>
      <c r="D1242" s="48">
        <v>264695.03000000003</v>
      </c>
      <c r="E1242" s="44">
        <v>215</v>
      </c>
      <c r="F1242" s="44">
        <v>2539</v>
      </c>
      <c r="G1242" s="45">
        <v>29590.05</v>
      </c>
      <c r="H1242" s="45">
        <f>314840.41+3043.96</f>
        <v>317884.37</v>
      </c>
      <c r="I1242" s="45">
        <v>21047</v>
      </c>
      <c r="J1242" s="45">
        <f>152627.65+3528.45</f>
        <v>156156.1</v>
      </c>
      <c r="K1242" s="18"/>
    </row>
    <row r="1243" spans="1:11" ht="15" x14ac:dyDescent="0.2">
      <c r="A1243" s="24"/>
      <c r="B1243" s="17" t="s">
        <v>22</v>
      </c>
      <c r="C1243" s="43">
        <v>30461.83</v>
      </c>
      <c r="D1243" s="43">
        <v>339345.1</v>
      </c>
      <c r="E1243" s="44">
        <v>217</v>
      </c>
      <c r="F1243" s="44">
        <v>3172</v>
      </c>
      <c r="G1243" s="43">
        <v>26584.16</v>
      </c>
      <c r="H1243" s="43">
        <f>277051.15+6850.57</f>
        <v>283901.72000000003</v>
      </c>
      <c r="I1243" s="43">
        <v>16066.77</v>
      </c>
      <c r="J1243" s="43">
        <f>140822+6592.52</f>
        <v>147414.51999999999</v>
      </c>
      <c r="K1243" s="18"/>
    </row>
    <row r="1244" spans="1:11" ht="15" x14ac:dyDescent="0.2">
      <c r="A1244" s="24"/>
      <c r="B1244" s="17"/>
      <c r="C1244" s="43"/>
      <c r="D1244" s="43"/>
      <c r="E1244" s="44"/>
      <c r="F1244" s="44"/>
      <c r="G1244" s="43"/>
      <c r="H1244" s="43"/>
      <c r="I1244" s="43"/>
      <c r="J1244" s="43"/>
      <c r="K1244" s="18"/>
    </row>
    <row r="1245" spans="1:11" ht="15.75" x14ac:dyDescent="0.25">
      <c r="A1245" s="24" t="s">
        <v>19</v>
      </c>
      <c r="B1245" s="16" t="s">
        <v>43</v>
      </c>
      <c r="C1245" s="18"/>
      <c r="D1245" s="48"/>
      <c r="E1245" s="18"/>
      <c r="F1245" s="44"/>
      <c r="G1245" s="55"/>
      <c r="H1245" s="45"/>
      <c r="I1245" s="55"/>
      <c r="J1245" s="45"/>
      <c r="K1245" s="18"/>
    </row>
    <row r="1246" spans="1:11" ht="15" x14ac:dyDescent="0.2">
      <c r="A1246" s="24" t="s">
        <v>19</v>
      </c>
      <c r="B1246" s="17" t="s">
        <v>24</v>
      </c>
      <c r="C1246" s="45">
        <v>34697.93</v>
      </c>
      <c r="D1246" s="48">
        <v>258383.34</v>
      </c>
      <c r="E1246" s="44">
        <v>254</v>
      </c>
      <c r="F1246" s="44">
        <v>3099</v>
      </c>
      <c r="G1246" s="45">
        <v>29508.3</v>
      </c>
      <c r="H1246" s="45">
        <f>272412.66+1269.9</f>
        <v>273682.56</v>
      </c>
      <c r="I1246" s="45">
        <v>19004.93</v>
      </c>
      <c r="J1246" s="45">
        <f>148084.68+1122.23</f>
        <v>149206.91</v>
      </c>
      <c r="K1246" s="18"/>
    </row>
    <row r="1247" spans="1:11" ht="15" x14ac:dyDescent="0.2">
      <c r="A1247" s="24"/>
      <c r="B1247" s="17" t="s">
        <v>25</v>
      </c>
      <c r="C1247" s="45">
        <v>40758.910000000003</v>
      </c>
      <c r="D1247" s="48">
        <v>309433.49</v>
      </c>
      <c r="E1247" s="44">
        <v>310</v>
      </c>
      <c r="F1247" s="44">
        <v>3507</v>
      </c>
      <c r="G1247" s="45">
        <v>27717.71</v>
      </c>
      <c r="H1247" s="45">
        <f>367231.04+1289.89</f>
        <v>368520.93</v>
      </c>
      <c r="I1247" s="45">
        <v>19665.41</v>
      </c>
      <c r="J1247" s="45">
        <f>171335.24+1465.01</f>
        <v>172800.25</v>
      </c>
      <c r="K1247" s="18"/>
    </row>
    <row r="1248" spans="1:11" ht="15" x14ac:dyDescent="0.2">
      <c r="A1248" s="24"/>
      <c r="B1248" s="17" t="s">
        <v>11</v>
      </c>
      <c r="C1248" s="43">
        <v>38152.639999999999</v>
      </c>
      <c r="D1248" s="43">
        <v>373976.86</v>
      </c>
      <c r="E1248" s="44">
        <v>256</v>
      </c>
      <c r="F1248" s="44">
        <v>3240</v>
      </c>
      <c r="G1248" s="43">
        <v>36908.050000000003</v>
      </c>
      <c r="H1248" s="43">
        <f>365727.85+1571.01</f>
        <v>367298.86</v>
      </c>
      <c r="I1248" s="43">
        <v>19394.669999999998</v>
      </c>
      <c r="J1248" s="43">
        <f>186423.4+2158.27</f>
        <v>188581.66999999998</v>
      </c>
      <c r="K1248" s="18"/>
    </row>
    <row r="1249" spans="1:11" ht="15" x14ac:dyDescent="0.2">
      <c r="A1249" s="24" t="s">
        <v>19</v>
      </c>
      <c r="B1249" s="17"/>
      <c r="C1249" s="18"/>
      <c r="D1249" s="18"/>
      <c r="E1249" s="18"/>
      <c r="F1249" s="18"/>
      <c r="G1249" s="18"/>
      <c r="H1249" s="18"/>
      <c r="I1249" s="18"/>
      <c r="J1249" s="18"/>
      <c r="K1249" s="18"/>
    </row>
    <row r="1250" spans="1:11" ht="15.75" x14ac:dyDescent="0.25">
      <c r="A1250" s="82"/>
      <c r="B1250" s="16" t="s">
        <v>44</v>
      </c>
      <c r="C1250" s="18"/>
      <c r="D1250" s="48"/>
      <c r="E1250" s="18"/>
      <c r="F1250" s="44"/>
      <c r="G1250" s="55"/>
      <c r="H1250" s="45"/>
      <c r="I1250" s="55"/>
      <c r="J1250" s="45"/>
      <c r="K1250" s="18"/>
    </row>
    <row r="1251" spans="1:11" ht="15" x14ac:dyDescent="0.2">
      <c r="A1251" s="24" t="s">
        <v>19</v>
      </c>
      <c r="B1251" s="17" t="s">
        <v>12</v>
      </c>
      <c r="C1251" s="45">
        <v>25261.65</v>
      </c>
      <c r="D1251" s="48">
        <v>340869.84</v>
      </c>
      <c r="E1251" s="44">
        <v>259</v>
      </c>
      <c r="F1251" s="44">
        <v>3703</v>
      </c>
      <c r="G1251" s="45">
        <v>45975.9</v>
      </c>
      <c r="H1251" s="45">
        <f>373847.45+357.97</f>
        <v>374205.42</v>
      </c>
      <c r="I1251" s="45">
        <v>18537.59</v>
      </c>
      <c r="J1251" s="45">
        <f>181649.6+658.51</f>
        <v>182308.11000000002</v>
      </c>
      <c r="K1251" s="18"/>
    </row>
    <row r="1252" spans="1:11" ht="18" customHeight="1" x14ac:dyDescent="0.2">
      <c r="A1252" s="85"/>
      <c r="B1252" s="17" t="s">
        <v>13</v>
      </c>
      <c r="C1252" s="45">
        <v>40505.99</v>
      </c>
      <c r="D1252" s="48">
        <v>386814.63</v>
      </c>
      <c r="E1252" s="44">
        <v>249</v>
      </c>
      <c r="F1252" s="44">
        <v>3426</v>
      </c>
      <c r="G1252" s="45">
        <v>48432.84</v>
      </c>
      <c r="H1252" s="45">
        <f>439034.83+3604.92+4175.93</f>
        <v>446815.68</v>
      </c>
      <c r="I1252" s="45">
        <v>26352.58</v>
      </c>
      <c r="J1252" s="45">
        <f>220200.27+3604.92+4555.98</f>
        <v>228361.17</v>
      </c>
      <c r="K1252" s="18"/>
    </row>
    <row r="1253" spans="1:11" ht="15" x14ac:dyDescent="0.2">
      <c r="A1253" s="24"/>
      <c r="B1253" s="17" t="s">
        <v>14</v>
      </c>
      <c r="C1253" s="43">
        <f>32863.89+2.52</f>
        <v>32866.409999999996</v>
      </c>
      <c r="D1253" s="43">
        <v>438258.21</v>
      </c>
      <c r="E1253" s="44">
        <v>221</v>
      </c>
      <c r="F1253" s="44">
        <v>3542</v>
      </c>
      <c r="G1253" s="43">
        <v>40182.85</v>
      </c>
      <c r="H1253" s="43">
        <f>321077.16+506.38</f>
        <v>321583.53999999998</v>
      </c>
      <c r="I1253" s="43">
        <v>17004.990000000002</v>
      </c>
      <c r="J1253" s="43">
        <f>135329.36+854.29</f>
        <v>136183.65</v>
      </c>
      <c r="K1253" s="18"/>
    </row>
    <row r="1254" spans="1:11" ht="15" x14ac:dyDescent="0.2">
      <c r="A1254" s="24"/>
      <c r="B1254" s="17"/>
      <c r="C1254" s="43"/>
      <c r="D1254" s="43"/>
      <c r="E1254" s="44"/>
      <c r="F1254" s="44"/>
      <c r="G1254" s="43"/>
      <c r="H1254" s="43"/>
      <c r="I1254" s="43"/>
      <c r="J1254" s="43"/>
      <c r="K1254" s="18"/>
    </row>
    <row r="1255" spans="1:11" ht="15.75" x14ac:dyDescent="0.25">
      <c r="A1255" s="24" t="s">
        <v>19</v>
      </c>
      <c r="B1255" s="16" t="s">
        <v>45</v>
      </c>
      <c r="C1255" s="18"/>
      <c r="D1255" s="48"/>
      <c r="E1255" s="18"/>
      <c r="F1255" s="44"/>
      <c r="G1255" s="55"/>
      <c r="H1255" s="45"/>
      <c r="I1255" s="55"/>
      <c r="J1255" s="45"/>
      <c r="K1255" s="18"/>
    </row>
    <row r="1256" spans="1:11" ht="15" x14ac:dyDescent="0.2">
      <c r="A1256" s="24">
        <v>2006</v>
      </c>
      <c r="B1256" s="17" t="s">
        <v>15</v>
      </c>
      <c r="C1256" s="45">
        <v>19900.79</v>
      </c>
      <c r="D1256" s="48">
        <f>207114.92+113.99</f>
        <v>207228.91</v>
      </c>
      <c r="E1256" s="44">
        <f>187</f>
        <v>187</v>
      </c>
      <c r="F1256" s="44">
        <f>2625+1+4</f>
        <v>2630</v>
      </c>
      <c r="G1256" s="45">
        <v>32459.52</v>
      </c>
      <c r="H1256" s="45">
        <f>287185.63+229.74+819.67</f>
        <v>288235.03999999998</v>
      </c>
      <c r="I1256" s="45">
        <f>13765.75</f>
        <v>13765.75</v>
      </c>
      <c r="J1256" s="45">
        <f>131036.05+224.52+1125.18</f>
        <v>132385.75</v>
      </c>
      <c r="K1256" s="18"/>
    </row>
    <row r="1257" spans="1:11" ht="15" x14ac:dyDescent="0.2">
      <c r="A1257" s="24"/>
      <c r="B1257" s="17" t="s">
        <v>16</v>
      </c>
      <c r="C1257" s="45">
        <v>24598.39</v>
      </c>
      <c r="D1257" s="48">
        <f>265471.62</f>
        <v>265471.62</v>
      </c>
      <c r="E1257" s="44">
        <f>165</f>
        <v>165</v>
      </c>
      <c r="F1257" s="44">
        <f>2547</f>
        <v>2547</v>
      </c>
      <c r="G1257" s="45">
        <v>40037.67</v>
      </c>
      <c r="H1257" s="45">
        <f>326409.83</f>
        <v>326409.83</v>
      </c>
      <c r="I1257" s="45">
        <f>16444.72</f>
        <v>16444.72</v>
      </c>
      <c r="J1257" s="45">
        <f>140382.31+467.9</f>
        <v>140850.21</v>
      </c>
      <c r="K1257" s="18"/>
    </row>
    <row r="1258" spans="1:11" ht="15" x14ac:dyDescent="0.2">
      <c r="A1258" s="24"/>
      <c r="B1258" s="17" t="s">
        <v>17</v>
      </c>
      <c r="C1258" s="43">
        <v>22787.33</v>
      </c>
      <c r="D1258" s="43">
        <f>368132.56+293.29</f>
        <v>368425.85</v>
      </c>
      <c r="E1258" s="44">
        <f>161</f>
        <v>161</v>
      </c>
      <c r="F1258" s="44">
        <f>3318+1</f>
        <v>3319</v>
      </c>
      <c r="G1258" s="43">
        <v>37254.21</v>
      </c>
      <c r="H1258" s="43">
        <f>368138.09+503.26</f>
        <v>368641.35000000003</v>
      </c>
      <c r="I1258" s="43">
        <f>14451.4</f>
        <v>14451.4</v>
      </c>
      <c r="J1258" s="43">
        <f>153856.99+849.7</f>
        <v>154706.69</v>
      </c>
      <c r="K1258" s="18"/>
    </row>
    <row r="1259" spans="1:11" ht="15.75" x14ac:dyDescent="0.25">
      <c r="A1259" s="24" t="s">
        <v>19</v>
      </c>
      <c r="B1259" s="16" t="s">
        <v>46</v>
      </c>
      <c r="C1259" s="18"/>
      <c r="D1259" s="48"/>
      <c r="E1259" s="18"/>
      <c r="F1259" s="44"/>
      <c r="G1259" s="55"/>
      <c r="H1259" s="45"/>
      <c r="I1259" s="55"/>
      <c r="J1259" s="45"/>
      <c r="K1259" s="18"/>
    </row>
    <row r="1260" spans="1:11" ht="15" x14ac:dyDescent="0.2">
      <c r="A1260" s="24"/>
      <c r="B1260" s="17" t="s">
        <v>20</v>
      </c>
      <c r="C1260" s="45">
        <v>31899.25</v>
      </c>
      <c r="D1260" s="48">
        <v>280895.61</v>
      </c>
      <c r="E1260" s="44">
        <v>210</v>
      </c>
      <c r="F1260" s="44">
        <v>2877</v>
      </c>
      <c r="G1260" s="45">
        <v>33022.86</v>
      </c>
      <c r="H1260" s="45">
        <f>350015.82+467.1</f>
        <v>350482.92</v>
      </c>
      <c r="I1260" s="45">
        <v>15191.32</v>
      </c>
      <c r="J1260" s="45">
        <f>142062.39+1563.84</f>
        <v>143626.23000000001</v>
      </c>
      <c r="K1260" s="18"/>
    </row>
    <row r="1261" spans="1:11" ht="15" x14ac:dyDescent="0.2">
      <c r="A1261" s="24"/>
      <c r="B1261" s="17" t="s">
        <v>21</v>
      </c>
      <c r="C1261" s="45">
        <v>43836.1</v>
      </c>
      <c r="D1261" s="48">
        <v>344029.88</v>
      </c>
      <c r="E1261" s="44">
        <v>252</v>
      </c>
      <c r="F1261" s="44">
        <v>3148</v>
      </c>
      <c r="G1261" s="45">
        <v>31470.93</v>
      </c>
      <c r="H1261" s="45">
        <f>307843.34+12.86</f>
        <v>307856.2</v>
      </c>
      <c r="I1261" s="45">
        <v>12343.61</v>
      </c>
      <c r="J1261" s="45">
        <f>125014.75+820.81</f>
        <v>125835.56</v>
      </c>
      <c r="K1261" s="18"/>
    </row>
    <row r="1262" spans="1:11" ht="15" x14ac:dyDescent="0.2">
      <c r="A1262" s="24"/>
      <c r="B1262" s="17" t="s">
        <v>22</v>
      </c>
      <c r="C1262" s="43">
        <v>45637.26</v>
      </c>
      <c r="D1262" s="43">
        <v>326834.40999999997</v>
      </c>
      <c r="E1262" s="44">
        <v>280</v>
      </c>
      <c r="F1262" s="44">
        <v>3163</v>
      </c>
      <c r="G1262" s="43">
        <v>24896.560000000001</v>
      </c>
      <c r="H1262" s="43">
        <f>230635.41+415.03</f>
        <v>231050.44</v>
      </c>
      <c r="I1262" s="43">
        <v>15336.73</v>
      </c>
      <c r="J1262" s="43">
        <f>118128.07+428.42</f>
        <v>118556.49</v>
      </c>
      <c r="K1262" s="18"/>
    </row>
    <row r="1263" spans="1:11" ht="15" x14ac:dyDescent="0.2">
      <c r="A1263" s="24"/>
      <c r="B1263" s="17"/>
      <c r="C1263" s="43"/>
      <c r="D1263" s="43"/>
      <c r="E1263" s="44"/>
      <c r="F1263" s="44"/>
      <c r="G1263" s="43"/>
      <c r="H1263" s="43"/>
      <c r="I1263" s="43"/>
      <c r="J1263" s="43"/>
      <c r="K1263" s="18"/>
    </row>
    <row r="1264" spans="1:11" ht="15.75" x14ac:dyDescent="0.25">
      <c r="A1264" s="24" t="s">
        <v>19</v>
      </c>
      <c r="B1264" s="16" t="s">
        <v>47</v>
      </c>
      <c r="C1264" s="18"/>
      <c r="D1264" s="48"/>
      <c r="E1264" s="18"/>
      <c r="F1264" s="44"/>
      <c r="G1264" s="55"/>
      <c r="H1264" s="45"/>
      <c r="I1264" s="55"/>
      <c r="J1264" s="45"/>
      <c r="K1264" s="18"/>
    </row>
    <row r="1265" spans="1:11" ht="15" x14ac:dyDescent="0.2">
      <c r="A1265" s="24" t="s">
        <v>19</v>
      </c>
      <c r="B1265" s="17" t="s">
        <v>24</v>
      </c>
      <c r="C1265" s="45">
        <v>30021.47</v>
      </c>
      <c r="D1265" s="48">
        <v>193487.98</v>
      </c>
      <c r="E1265" s="44">
        <v>282</v>
      </c>
      <c r="F1265" s="44">
        <v>2737</v>
      </c>
      <c r="G1265" s="45">
        <v>24119.13</v>
      </c>
      <c r="H1265" s="45">
        <v>239521.72</v>
      </c>
      <c r="I1265" s="45">
        <v>16979.060000000001</v>
      </c>
      <c r="J1265" s="45">
        <v>158575.70000000001</v>
      </c>
      <c r="K1265" s="18"/>
    </row>
    <row r="1266" spans="1:11" ht="15" x14ac:dyDescent="0.2">
      <c r="A1266" s="24"/>
      <c r="B1266" s="17" t="s">
        <v>25</v>
      </c>
      <c r="C1266" s="45">
        <v>39784.53</v>
      </c>
      <c r="D1266" s="48">
        <v>331398.05</v>
      </c>
      <c r="E1266" s="44">
        <v>333</v>
      </c>
      <c r="F1266" s="44">
        <v>3588</v>
      </c>
      <c r="G1266" s="45">
        <v>28478.799999999999</v>
      </c>
      <c r="H1266" s="45">
        <v>310757.52</v>
      </c>
      <c r="I1266" s="45">
        <v>14588.75</v>
      </c>
      <c r="J1266" s="45">
        <v>128320.4</v>
      </c>
      <c r="K1266" s="18"/>
    </row>
    <row r="1267" spans="1:11" ht="15" x14ac:dyDescent="0.2">
      <c r="A1267" s="24"/>
      <c r="B1267" s="17" t="s">
        <v>11</v>
      </c>
      <c r="C1267" s="43">
        <v>32957.379999999997</v>
      </c>
      <c r="D1267" s="43">
        <v>449208.65</v>
      </c>
      <c r="E1267" s="44">
        <v>228</v>
      </c>
      <c r="F1267" s="44">
        <v>3560</v>
      </c>
      <c r="G1267" s="43">
        <v>24400.7</v>
      </c>
      <c r="H1267" s="43">
        <v>275715.01</v>
      </c>
      <c r="I1267" s="43">
        <v>15406.14</v>
      </c>
      <c r="J1267" s="43">
        <v>134734.51</v>
      </c>
      <c r="K1267" s="18"/>
    </row>
    <row r="1268" spans="1:11" ht="15" x14ac:dyDescent="0.2">
      <c r="A1268" s="24"/>
      <c r="B1268" s="17"/>
      <c r="C1268" s="43"/>
      <c r="D1268" s="43"/>
      <c r="E1268" s="44"/>
      <c r="F1268" s="44"/>
      <c r="G1268" s="43"/>
      <c r="H1268" s="43"/>
      <c r="I1268" s="43"/>
      <c r="J1268" s="43"/>
      <c r="K1268" s="18"/>
    </row>
    <row r="1269" spans="1:11" ht="15.75" x14ac:dyDescent="0.25">
      <c r="A1269" s="24"/>
      <c r="B1269" s="16" t="s">
        <v>48</v>
      </c>
      <c r="C1269" s="43"/>
      <c r="D1269" s="43"/>
      <c r="E1269" s="44"/>
      <c r="F1269" s="44"/>
      <c r="G1269" s="43"/>
      <c r="H1269" s="43"/>
      <c r="I1269" s="43"/>
      <c r="J1269" s="43"/>
      <c r="K1269" s="18"/>
    </row>
    <row r="1270" spans="1:11" ht="15" x14ac:dyDescent="0.2">
      <c r="A1270" s="24">
        <v>2006</v>
      </c>
      <c r="B1270" s="17" t="s">
        <v>12</v>
      </c>
      <c r="C1270" s="45">
        <v>48406.39</v>
      </c>
      <c r="D1270" s="48">
        <v>384073.99</v>
      </c>
      <c r="E1270" s="44">
        <v>325</v>
      </c>
      <c r="F1270" s="44">
        <v>3931</v>
      </c>
      <c r="G1270" s="45">
        <v>35893.839999999997</v>
      </c>
      <c r="H1270" s="45">
        <f>342843.75+1104.77</f>
        <v>343948.52</v>
      </c>
      <c r="I1270" s="45">
        <f>17894.03</f>
        <v>17894.03</v>
      </c>
      <c r="J1270" s="45">
        <f>140970.92+1638.87</f>
        <v>142609.79</v>
      </c>
      <c r="K1270" s="18"/>
    </row>
    <row r="1271" spans="1:11" ht="15" x14ac:dyDescent="0.2">
      <c r="A1271" s="24"/>
      <c r="B1271" s="17" t="s">
        <v>13</v>
      </c>
      <c r="C1271" s="45">
        <v>30206.73</v>
      </c>
      <c r="D1271" s="48">
        <v>308121.49</v>
      </c>
      <c r="E1271" s="44">
        <v>220</v>
      </c>
      <c r="F1271" s="44">
        <v>2765</v>
      </c>
      <c r="G1271" s="45">
        <v>28883.46</v>
      </c>
      <c r="H1271" s="45">
        <f>249375.66+653.59</f>
        <v>250029.25</v>
      </c>
      <c r="I1271" s="45">
        <f>12585.27</f>
        <v>12585.27</v>
      </c>
      <c r="J1271" s="45">
        <f>128885.05+697.5</f>
        <v>129582.55</v>
      </c>
      <c r="K1271" s="18"/>
    </row>
    <row r="1272" spans="1:11" ht="15" x14ac:dyDescent="0.2">
      <c r="A1272" s="24"/>
      <c r="B1272" s="17" t="s">
        <v>14</v>
      </c>
      <c r="C1272" s="43">
        <v>44527.12</v>
      </c>
      <c r="D1272" s="43">
        <v>367803.53</v>
      </c>
      <c r="E1272" s="44">
        <v>263</v>
      </c>
      <c r="F1272" s="44">
        <v>3011</v>
      </c>
      <c r="G1272" s="43">
        <v>36209.15</v>
      </c>
      <c r="H1272" s="43">
        <f>248715.19+423.58</f>
        <v>249138.77</v>
      </c>
      <c r="I1272" s="43">
        <v>13504.47</v>
      </c>
      <c r="J1272" s="43">
        <f>136250.55+716.9</f>
        <v>136967.44999999998</v>
      </c>
      <c r="K1272" s="18"/>
    </row>
    <row r="1273" spans="1:11" ht="15" x14ac:dyDescent="0.2">
      <c r="A1273" s="24"/>
      <c r="B1273" s="17"/>
      <c r="C1273" s="43"/>
      <c r="D1273" s="43"/>
      <c r="E1273" s="44"/>
      <c r="F1273" s="44"/>
      <c r="G1273" s="43"/>
      <c r="H1273" s="43"/>
      <c r="I1273" s="43"/>
      <c r="J1273" s="43"/>
      <c r="K1273" s="18"/>
    </row>
    <row r="1274" spans="1:11" ht="15.75" x14ac:dyDescent="0.25">
      <c r="A1274" s="24" t="s">
        <v>19</v>
      </c>
      <c r="B1274" s="16" t="s">
        <v>49</v>
      </c>
      <c r="C1274" s="18"/>
      <c r="D1274" s="48"/>
      <c r="E1274" s="18"/>
      <c r="F1274" s="44"/>
      <c r="G1274" s="55"/>
      <c r="H1274" s="45"/>
      <c r="I1274" s="55"/>
      <c r="J1274" s="45"/>
      <c r="K1274" s="18"/>
    </row>
    <row r="1275" spans="1:11" ht="15" x14ac:dyDescent="0.2">
      <c r="A1275" s="24">
        <v>2007</v>
      </c>
      <c r="B1275" s="17" t="s">
        <v>15</v>
      </c>
      <c r="C1275" s="45">
        <v>21451.43</v>
      </c>
      <c r="D1275" s="48">
        <v>223505.07</v>
      </c>
      <c r="E1275" s="44">
        <v>181</v>
      </c>
      <c r="F1275" s="44">
        <v>2509</v>
      </c>
      <c r="G1275" s="45">
        <v>35298.769999999997</v>
      </c>
      <c r="H1275" s="45">
        <v>275497</v>
      </c>
      <c r="I1275" s="45">
        <v>14762.07</v>
      </c>
      <c r="J1275" s="45">
        <f>116240.34+456.98</f>
        <v>116697.31999999999</v>
      </c>
      <c r="K1275" s="18"/>
    </row>
    <row r="1276" spans="1:11" ht="15" x14ac:dyDescent="0.2">
      <c r="A1276" s="24"/>
      <c r="B1276" s="17" t="s">
        <v>118</v>
      </c>
      <c r="C1276" s="45">
        <v>6779.02</v>
      </c>
      <c r="D1276" s="48">
        <v>90557.27</v>
      </c>
      <c r="E1276" s="44">
        <v>63</v>
      </c>
      <c r="F1276" s="44">
        <v>1081</v>
      </c>
      <c r="G1276" s="45">
        <v>47777.26</v>
      </c>
      <c r="H1276" s="45">
        <f>321936.46+3604.92+1145.84</f>
        <v>326687.22000000003</v>
      </c>
      <c r="I1276" s="45">
        <v>18590.580000000002</v>
      </c>
      <c r="J1276" s="45">
        <f>126013.11+3604.92+1581.69</f>
        <v>131199.72</v>
      </c>
      <c r="K1276" s="18"/>
    </row>
    <row r="1277" spans="1:11" ht="15" x14ac:dyDescent="0.2">
      <c r="A1277" s="24"/>
      <c r="B1277" s="17" t="s">
        <v>119</v>
      </c>
      <c r="C1277" s="43">
        <v>0</v>
      </c>
      <c r="D1277" s="43">
        <v>0</v>
      </c>
      <c r="E1277" s="44">
        <v>0</v>
      </c>
      <c r="F1277" s="44">
        <v>0</v>
      </c>
      <c r="G1277" s="43">
        <v>44781.52</v>
      </c>
      <c r="H1277" s="43">
        <f>342014.64+1271.61</f>
        <v>343286.25</v>
      </c>
      <c r="I1277" s="43">
        <v>16598.91</v>
      </c>
      <c r="J1277" s="43">
        <f>150189.98+1914.54</f>
        <v>152104.52000000002</v>
      </c>
      <c r="K1277" s="18"/>
    </row>
    <row r="1278" spans="1:11" ht="15" x14ac:dyDescent="0.2">
      <c r="A1278" s="24"/>
      <c r="B1278" s="17"/>
      <c r="C1278" s="43"/>
      <c r="D1278" s="43"/>
      <c r="E1278" s="44"/>
      <c r="F1278" s="44"/>
      <c r="G1278" s="43"/>
      <c r="H1278" s="43"/>
      <c r="I1278" s="43"/>
      <c r="J1278" s="43"/>
      <c r="K1278" s="18"/>
    </row>
    <row r="1279" spans="1:11" ht="15.75" x14ac:dyDescent="0.25">
      <c r="A1279" s="89" t="s">
        <v>114</v>
      </c>
      <c r="B1279" s="17"/>
      <c r="C1279" s="43"/>
      <c r="D1279" s="43"/>
      <c r="E1279" s="44"/>
      <c r="F1279" s="44"/>
      <c r="G1279" s="43"/>
      <c r="H1279" s="43"/>
      <c r="I1279" s="43"/>
      <c r="J1279" s="43"/>
      <c r="K1279" s="18"/>
    </row>
    <row r="1280" spans="1:11" ht="27.75" x14ac:dyDescent="0.55000000000000004">
      <c r="A1280" s="24"/>
      <c r="B1280" s="17"/>
      <c r="C1280" s="105" t="s">
        <v>160</v>
      </c>
      <c r="D1280" s="105"/>
      <c r="E1280" s="105"/>
      <c r="F1280" s="105"/>
      <c r="G1280" s="18"/>
      <c r="H1280" s="18"/>
      <c r="I1280" s="18"/>
      <c r="J1280" s="18"/>
      <c r="K1280" s="18"/>
    </row>
    <row r="1281" spans="1:11" ht="27.75" x14ac:dyDescent="0.55000000000000004">
      <c r="A1281" s="24"/>
      <c r="B1281" s="16"/>
      <c r="C1281" s="104" t="s">
        <v>115</v>
      </c>
      <c r="D1281" s="105"/>
      <c r="E1281" s="104" t="s">
        <v>116</v>
      </c>
      <c r="F1281" s="105"/>
      <c r="G1281" s="105" t="s">
        <v>161</v>
      </c>
      <c r="H1281" s="105"/>
      <c r="I1281" s="105" t="s">
        <v>162</v>
      </c>
      <c r="J1281" s="105"/>
      <c r="K1281" s="18"/>
    </row>
    <row r="1282" spans="1:11" ht="15.75" x14ac:dyDescent="0.25">
      <c r="A1282" s="21" t="s">
        <v>8</v>
      </c>
      <c r="B1282" s="16" t="s">
        <v>32</v>
      </c>
      <c r="C1282" s="40" t="s">
        <v>108</v>
      </c>
      <c r="D1282" s="40" t="s">
        <v>109</v>
      </c>
      <c r="E1282" s="40" t="s">
        <v>108</v>
      </c>
      <c r="F1282" s="40" t="s">
        <v>109</v>
      </c>
      <c r="G1282" s="40" t="s">
        <v>108</v>
      </c>
      <c r="H1282" s="40" t="s">
        <v>117</v>
      </c>
      <c r="I1282" s="40" t="s">
        <v>108</v>
      </c>
      <c r="J1282" s="40" t="s">
        <v>117</v>
      </c>
      <c r="K1282" s="18"/>
    </row>
    <row r="1283" spans="1:11" ht="15.75" x14ac:dyDescent="0.25">
      <c r="A1283" s="24" t="s">
        <v>19</v>
      </c>
      <c r="B1283" s="16" t="s">
        <v>50</v>
      </c>
      <c r="C1283" s="18"/>
      <c r="D1283" s="48"/>
      <c r="E1283" s="18"/>
      <c r="F1283" s="44"/>
      <c r="G1283" s="55"/>
      <c r="H1283" s="45"/>
      <c r="I1283" s="55"/>
      <c r="J1283" s="45"/>
      <c r="K1283" s="18"/>
    </row>
    <row r="1284" spans="1:11" ht="15" x14ac:dyDescent="0.2">
      <c r="A1284" s="24" t="s">
        <v>19</v>
      </c>
      <c r="B1284" s="17" t="s">
        <v>20</v>
      </c>
      <c r="C1284" s="45">
        <v>0</v>
      </c>
      <c r="D1284" s="48">
        <v>376.59</v>
      </c>
      <c r="E1284" s="44">
        <v>0</v>
      </c>
      <c r="F1284" s="44">
        <v>23</v>
      </c>
      <c r="G1284" s="45">
        <v>45138.97</v>
      </c>
      <c r="H1284" s="45">
        <f>356618.61+101.33</f>
        <v>356719.94</v>
      </c>
      <c r="I1284" s="45">
        <v>15253.54</v>
      </c>
      <c r="J1284" s="45">
        <f>146846.79+357.36</f>
        <v>147204.15</v>
      </c>
      <c r="K1284" s="18"/>
    </row>
    <row r="1285" spans="1:11" ht="15" x14ac:dyDescent="0.2">
      <c r="A1285" s="24"/>
      <c r="B1285" s="17" t="s">
        <v>21</v>
      </c>
      <c r="C1285" s="45">
        <v>110498.52</v>
      </c>
      <c r="D1285" s="48">
        <f>951060.76+121.38</f>
        <v>951182.14</v>
      </c>
      <c r="E1285" s="44">
        <v>585</v>
      </c>
      <c r="F1285" s="44">
        <v>6719</v>
      </c>
      <c r="G1285" s="45">
        <v>43509.59</v>
      </c>
      <c r="H1285" s="45">
        <f>275724.54+3604.92+534.65</f>
        <v>279864.11</v>
      </c>
      <c r="I1285" s="45">
        <v>18437.900000000001</v>
      </c>
      <c r="J1285" s="45">
        <f>130694.29+3604.92+774.16</f>
        <v>135073.37</v>
      </c>
      <c r="K1285" s="18"/>
    </row>
    <row r="1286" spans="1:11" ht="15" x14ac:dyDescent="0.2">
      <c r="A1286" s="24"/>
      <c r="B1286" s="17" t="s">
        <v>22</v>
      </c>
      <c r="C1286" s="43">
        <v>54810.31</v>
      </c>
      <c r="D1286" s="43">
        <f>426099.25</f>
        <v>426099.25</v>
      </c>
      <c r="E1286" s="44">
        <v>422</v>
      </c>
      <c r="F1286" s="44">
        <v>5560</v>
      </c>
      <c r="G1286" s="43">
        <v>28552.29</v>
      </c>
      <c r="H1286" s="43">
        <f>248654.03+627.39</f>
        <v>249281.42</v>
      </c>
      <c r="I1286" s="43">
        <v>16908.240000000002</v>
      </c>
      <c r="J1286" s="43">
        <f>138109.49+1991.22</f>
        <v>140100.71</v>
      </c>
      <c r="K1286" s="18"/>
    </row>
    <row r="1287" spans="1:11" ht="15" x14ac:dyDescent="0.2">
      <c r="A1287" s="24"/>
      <c r="B1287" s="17"/>
      <c r="C1287" s="43"/>
      <c r="D1287" s="43"/>
      <c r="E1287" s="44"/>
      <c r="F1287" s="44"/>
      <c r="G1287" s="43"/>
      <c r="H1287" s="43"/>
      <c r="I1287" s="43"/>
      <c r="J1287" s="43"/>
      <c r="K1287" s="18"/>
    </row>
    <row r="1288" spans="1:11" ht="15.75" x14ac:dyDescent="0.25">
      <c r="A1288" s="24" t="s">
        <v>19</v>
      </c>
      <c r="B1288" s="16" t="s">
        <v>51</v>
      </c>
      <c r="C1288" s="18"/>
      <c r="D1288" s="48"/>
      <c r="E1288" s="18"/>
      <c r="F1288" s="44"/>
      <c r="G1288" s="55"/>
      <c r="H1288" s="45"/>
      <c r="I1288" s="55"/>
      <c r="J1288" s="45"/>
      <c r="K1288" s="18"/>
    </row>
    <row r="1289" spans="1:11" ht="15" x14ac:dyDescent="0.2">
      <c r="A1289" s="24"/>
      <c r="B1289" s="17" t="s">
        <v>24</v>
      </c>
      <c r="C1289" s="45">
        <v>40347.32</v>
      </c>
      <c r="D1289" s="48">
        <f>220593.25</f>
        <v>220593.25</v>
      </c>
      <c r="E1289" s="44">
        <v>296</v>
      </c>
      <c r="F1289" s="44">
        <v>2719</v>
      </c>
      <c r="G1289" s="45">
        <v>23114.54</v>
      </c>
      <c r="H1289" s="45">
        <f>249625.33+1265.32</f>
        <v>250890.65</v>
      </c>
      <c r="I1289" s="45">
        <v>14039.23</v>
      </c>
      <c r="J1289" s="45">
        <f>121905.39+1297.53</f>
        <v>123202.92</v>
      </c>
      <c r="K1289" s="18"/>
    </row>
    <row r="1290" spans="1:11" ht="15" x14ac:dyDescent="0.2">
      <c r="A1290" s="24"/>
      <c r="B1290" s="17" t="s">
        <v>25</v>
      </c>
      <c r="C1290" s="45">
        <v>52324.22</v>
      </c>
      <c r="D1290" s="48">
        <f>349834.2+42.49</f>
        <v>349876.69</v>
      </c>
      <c r="E1290" s="44">
        <v>346</v>
      </c>
      <c r="F1290" s="44">
        <v>3497</v>
      </c>
      <c r="G1290" s="45">
        <v>33095.75</v>
      </c>
      <c r="H1290" s="45">
        <f>340795.92+854.97</f>
        <v>341650.88999999996</v>
      </c>
      <c r="I1290" s="45">
        <v>16035.26</v>
      </c>
      <c r="J1290" s="45">
        <f>131992.6+971.49</f>
        <v>132964.09</v>
      </c>
      <c r="K1290" s="18"/>
    </row>
    <row r="1291" spans="1:11" ht="15" x14ac:dyDescent="0.2">
      <c r="A1291" s="24"/>
      <c r="B1291" s="17" t="s">
        <v>11</v>
      </c>
      <c r="C1291" s="43">
        <v>56145.69</v>
      </c>
      <c r="D1291" s="43">
        <f>477420.54</f>
        <v>477420.54</v>
      </c>
      <c r="E1291" s="44">
        <v>336</v>
      </c>
      <c r="F1291" s="44">
        <v>3360</v>
      </c>
      <c r="G1291" s="43">
        <v>43813.66</v>
      </c>
      <c r="H1291" s="43">
        <f>327808.93+879.46</f>
        <v>328688.39</v>
      </c>
      <c r="I1291" s="43">
        <v>15548.93</v>
      </c>
      <c r="J1291" s="43">
        <f>130983.76+1472.24</f>
        <v>132456</v>
      </c>
      <c r="K1291" s="18"/>
    </row>
    <row r="1292" spans="1:11" ht="15" x14ac:dyDescent="0.2">
      <c r="A1292" s="24"/>
      <c r="B1292" s="17"/>
      <c r="C1292" s="43"/>
      <c r="D1292" s="43"/>
      <c r="E1292" s="44"/>
      <c r="F1292" s="44"/>
      <c r="G1292" s="43"/>
      <c r="H1292" s="43"/>
      <c r="I1292" s="43"/>
      <c r="J1292" s="43"/>
      <c r="K1292" s="18"/>
    </row>
    <row r="1293" spans="1:11" ht="15.75" x14ac:dyDescent="0.25">
      <c r="A1293" s="24" t="s">
        <v>19</v>
      </c>
      <c r="B1293" s="16" t="s">
        <v>52</v>
      </c>
      <c r="C1293" s="18"/>
      <c r="D1293" s="48"/>
      <c r="E1293" s="18"/>
      <c r="F1293" s="44"/>
      <c r="G1293" s="55"/>
      <c r="H1293" s="45"/>
      <c r="I1293" s="55"/>
      <c r="J1293" s="45"/>
      <c r="K1293" s="18"/>
    </row>
    <row r="1294" spans="1:11" ht="15" x14ac:dyDescent="0.2">
      <c r="A1294" s="24" t="s">
        <v>19</v>
      </c>
      <c r="B1294" s="17" t="s">
        <v>12</v>
      </c>
      <c r="C1294" s="45">
        <v>58726.7</v>
      </c>
      <c r="D1294" s="48">
        <v>523621.95</v>
      </c>
      <c r="E1294" s="44">
        <v>367</v>
      </c>
      <c r="F1294" s="44">
        <v>4110</v>
      </c>
      <c r="G1294" s="45">
        <v>33722.449999999997</v>
      </c>
      <c r="H1294" s="45">
        <f>305657.9+1510.83</f>
        <v>307168.73000000004</v>
      </c>
      <c r="I1294" s="45">
        <v>13949.67</v>
      </c>
      <c r="J1294" s="45">
        <f>105131.39+1119.49</f>
        <v>106250.88</v>
      </c>
      <c r="K1294" s="18"/>
    </row>
    <row r="1295" spans="1:11" ht="15" x14ac:dyDescent="0.2">
      <c r="A1295" s="24"/>
      <c r="B1295" s="17" t="s">
        <v>13</v>
      </c>
      <c r="C1295" s="45">
        <v>42493.99</v>
      </c>
      <c r="D1295" s="48">
        <f>387584.73+217.59</f>
        <v>387802.32</v>
      </c>
      <c r="E1295" s="44">
        <v>227</v>
      </c>
      <c r="F1295" s="44">
        <v>2823</v>
      </c>
      <c r="G1295" s="45">
        <v>54726.37</v>
      </c>
      <c r="H1295" s="45">
        <f>342649.77+247.57</f>
        <v>342897.34</v>
      </c>
      <c r="I1295" s="45">
        <v>14979.46</v>
      </c>
      <c r="J1295" s="45">
        <f>143801.51+665.7</f>
        <v>144467.21000000002</v>
      </c>
      <c r="K1295" s="18"/>
    </row>
    <row r="1296" spans="1:11" ht="15" x14ac:dyDescent="0.2">
      <c r="A1296" s="24"/>
      <c r="B1296" s="17" t="s">
        <v>14</v>
      </c>
      <c r="C1296" s="43">
        <v>52483.87</v>
      </c>
      <c r="D1296" s="43">
        <v>429271.34</v>
      </c>
      <c r="E1296" s="44">
        <v>272</v>
      </c>
      <c r="F1296" s="44">
        <v>2944</v>
      </c>
      <c r="G1296" s="43">
        <v>53093.22</v>
      </c>
      <c r="H1296" s="43">
        <f>279956.8+28.34</f>
        <v>279985.14</v>
      </c>
      <c r="I1296" s="43">
        <v>13654.18</v>
      </c>
      <c r="J1296" s="43">
        <f>106764.92+0.2</f>
        <v>106765.12</v>
      </c>
      <c r="K1296" s="18"/>
    </row>
    <row r="1297" spans="1:11" ht="15" x14ac:dyDescent="0.2">
      <c r="A1297" s="24"/>
      <c r="B1297" s="17"/>
      <c r="C1297" s="43"/>
      <c r="D1297" s="43"/>
      <c r="E1297" s="44"/>
      <c r="F1297" s="44"/>
      <c r="G1297" s="43"/>
      <c r="H1297" s="43"/>
      <c r="I1297" s="43"/>
      <c r="J1297" s="43"/>
      <c r="K1297" s="18"/>
    </row>
    <row r="1298" spans="1:11" ht="15.75" x14ac:dyDescent="0.25">
      <c r="A1298" s="24" t="s">
        <v>19</v>
      </c>
      <c r="B1298" s="16" t="s">
        <v>54</v>
      </c>
      <c r="C1298" s="18"/>
      <c r="D1298" s="48"/>
      <c r="E1298" s="18"/>
      <c r="F1298" s="44"/>
      <c r="G1298" s="55"/>
      <c r="H1298" s="45"/>
      <c r="I1298" s="55"/>
      <c r="J1298" s="45"/>
      <c r="K1298" s="18"/>
    </row>
    <row r="1299" spans="1:11" ht="15" x14ac:dyDescent="0.2">
      <c r="A1299" s="24">
        <v>2008</v>
      </c>
      <c r="B1299" s="17" t="s">
        <v>15</v>
      </c>
      <c r="C1299" s="45">
        <v>34299.440000000002</v>
      </c>
      <c r="D1299" s="48">
        <v>340341.2</v>
      </c>
      <c r="E1299" s="44">
        <v>239</v>
      </c>
      <c r="F1299" s="44">
        <v>2917</v>
      </c>
      <c r="G1299" s="45">
        <v>50262.3</v>
      </c>
      <c r="H1299" s="45">
        <f>327344.67+458.78</f>
        <v>327803.45</v>
      </c>
      <c r="I1299" s="45">
        <v>17809.990000000002</v>
      </c>
      <c r="J1299" s="45">
        <f>119217.74+458.78</f>
        <v>119676.52</v>
      </c>
      <c r="K1299" s="18"/>
    </row>
    <row r="1300" spans="1:11" ht="15" x14ac:dyDescent="0.2">
      <c r="A1300" s="24"/>
      <c r="B1300" s="17" t="s">
        <v>118</v>
      </c>
      <c r="C1300" s="45">
        <v>26814.400000000001</v>
      </c>
      <c r="D1300" s="48">
        <v>305401.25</v>
      </c>
      <c r="E1300" s="44">
        <v>161</v>
      </c>
      <c r="F1300" s="44">
        <v>2373</v>
      </c>
      <c r="G1300" s="45">
        <v>60726.12</v>
      </c>
      <c r="H1300" s="45">
        <f>419677.75+285.07</f>
        <v>419962.82</v>
      </c>
      <c r="I1300" s="45">
        <v>19602.599999999999</v>
      </c>
      <c r="J1300" s="45">
        <f>142354.51+97.42</f>
        <v>142451.93000000002</v>
      </c>
      <c r="K1300" s="18"/>
    </row>
    <row r="1301" spans="1:11" ht="15" x14ac:dyDescent="0.2">
      <c r="A1301" s="24"/>
      <c r="B1301" s="17" t="s">
        <v>120</v>
      </c>
      <c r="C1301" s="43">
        <v>33540.39</v>
      </c>
      <c r="D1301" s="43">
        <v>431772.83</v>
      </c>
      <c r="E1301" s="44">
        <v>190</v>
      </c>
      <c r="F1301" s="44">
        <v>2982</v>
      </c>
      <c r="G1301" s="43">
        <v>66100.52</v>
      </c>
      <c r="H1301" s="43">
        <f>492653.73+605.94</f>
        <v>493259.67</v>
      </c>
      <c r="I1301" s="43">
        <v>20967.59</v>
      </c>
      <c r="J1301" s="43">
        <f>181835.73+771.39</f>
        <v>182607.12000000002</v>
      </c>
      <c r="K1301" s="18"/>
    </row>
    <row r="1302" spans="1:11" ht="15" x14ac:dyDescent="0.2">
      <c r="A1302" s="24"/>
      <c r="B1302" s="17"/>
      <c r="C1302" s="43"/>
      <c r="D1302" s="43"/>
      <c r="E1302" s="44"/>
      <c r="F1302" s="44"/>
      <c r="G1302" s="43"/>
      <c r="H1302" s="43"/>
      <c r="I1302" s="43"/>
      <c r="J1302" s="43"/>
      <c r="K1302" s="18"/>
    </row>
    <row r="1303" spans="1:11" ht="15.75" x14ac:dyDescent="0.25">
      <c r="A1303" s="24" t="s">
        <v>19</v>
      </c>
      <c r="B1303" s="16" t="s">
        <v>55</v>
      </c>
      <c r="C1303" s="18"/>
      <c r="D1303" s="48"/>
      <c r="E1303" s="18"/>
      <c r="F1303" s="44"/>
      <c r="G1303" s="55"/>
      <c r="H1303" s="45"/>
      <c r="I1303" s="55"/>
      <c r="J1303" s="45"/>
      <c r="K1303" s="18"/>
    </row>
    <row r="1304" spans="1:11" ht="15" x14ac:dyDescent="0.2">
      <c r="A1304" s="24"/>
      <c r="B1304" s="17" t="s">
        <v>20</v>
      </c>
      <c r="C1304" s="45">
        <v>44011.99</v>
      </c>
      <c r="D1304" s="48">
        <v>402699.63</v>
      </c>
      <c r="E1304" s="44">
        <v>279</v>
      </c>
      <c r="F1304" s="44">
        <v>3101</v>
      </c>
      <c r="G1304" s="45">
        <v>51556.13</v>
      </c>
      <c r="H1304" s="45">
        <f>449902.32+302.36</f>
        <v>450204.68</v>
      </c>
      <c r="I1304" s="45">
        <v>18610.47</v>
      </c>
      <c r="J1304" s="45">
        <f>136487.77+472.39</f>
        <v>136960.16</v>
      </c>
      <c r="K1304" s="18"/>
    </row>
    <row r="1305" spans="1:11" ht="15" x14ac:dyDescent="0.2">
      <c r="A1305" s="24"/>
      <c r="B1305" s="17" t="s">
        <v>21</v>
      </c>
      <c r="C1305" s="45">
        <v>41965.919999999998</v>
      </c>
      <c r="D1305" s="48">
        <v>452118.36</v>
      </c>
      <c r="E1305" s="44">
        <v>197</v>
      </c>
      <c r="F1305" s="44">
        <v>3254</v>
      </c>
      <c r="G1305" s="45">
        <v>58575.29</v>
      </c>
      <c r="H1305" s="45">
        <f>382444.31+163.91</f>
        <v>382608.22</v>
      </c>
      <c r="I1305" s="45">
        <v>23053.88</v>
      </c>
      <c r="J1305" s="45">
        <f>174253.13+227</f>
        <v>174480.13</v>
      </c>
      <c r="K1305" s="18"/>
    </row>
    <row r="1306" spans="1:11" ht="15" x14ac:dyDescent="0.2">
      <c r="A1306" s="24"/>
      <c r="B1306" s="17" t="s">
        <v>22</v>
      </c>
      <c r="C1306" s="43">
        <v>41213.83</v>
      </c>
      <c r="D1306" s="43">
        <v>389313.54</v>
      </c>
      <c r="E1306" s="44">
        <v>213</v>
      </c>
      <c r="F1306" s="44">
        <v>2824</v>
      </c>
      <c r="G1306" s="43">
        <v>46979.53</v>
      </c>
      <c r="H1306" s="43">
        <f>328450.46+480.23</f>
        <v>328930.69</v>
      </c>
      <c r="I1306" s="43">
        <v>16856.900000000001</v>
      </c>
      <c r="J1306" s="43">
        <f>148611.06+1223.06</f>
        <v>149834.12</v>
      </c>
      <c r="K1306" s="18"/>
    </row>
    <row r="1307" spans="1:11" ht="15" x14ac:dyDescent="0.2">
      <c r="A1307" s="24"/>
      <c r="B1307" s="17"/>
      <c r="C1307" s="43"/>
      <c r="D1307" s="43"/>
      <c r="E1307" s="44"/>
      <c r="F1307" s="44"/>
      <c r="G1307" s="43"/>
      <c r="H1307" s="43"/>
      <c r="I1307" s="43"/>
      <c r="J1307" s="43"/>
      <c r="K1307" s="18"/>
    </row>
    <row r="1308" spans="1:11" ht="15.75" x14ac:dyDescent="0.25">
      <c r="A1308" s="24" t="s">
        <v>19</v>
      </c>
      <c r="B1308" s="16" t="s">
        <v>56</v>
      </c>
      <c r="C1308" s="18"/>
      <c r="D1308" s="48"/>
      <c r="E1308" s="18"/>
      <c r="F1308" s="44"/>
      <c r="G1308" s="55"/>
      <c r="H1308" s="45"/>
      <c r="I1308" s="55"/>
      <c r="J1308" s="45"/>
      <c r="K1308" s="18"/>
    </row>
    <row r="1309" spans="1:11" s="6" customFormat="1" ht="15" x14ac:dyDescent="0.2">
      <c r="A1309" s="24" t="s">
        <v>19</v>
      </c>
      <c r="B1309" s="17" t="s">
        <v>24</v>
      </c>
      <c r="C1309" s="45">
        <v>52025.120000000003</v>
      </c>
      <c r="D1309" s="48">
        <v>317073.63</v>
      </c>
      <c r="E1309" s="44">
        <v>307</v>
      </c>
      <c r="F1309" s="44">
        <v>3071</v>
      </c>
      <c r="G1309" s="45">
        <v>32208.71</v>
      </c>
      <c r="H1309" s="45">
        <f>323362.9+116.73</f>
        <v>323479.63</v>
      </c>
      <c r="I1309" s="45">
        <v>18771.11</v>
      </c>
      <c r="J1309" s="45">
        <f>148234.72+456.44</f>
        <v>148691.16</v>
      </c>
      <c r="K1309" s="18"/>
    </row>
    <row r="1310" spans="1:11" s="6" customFormat="1" ht="15" x14ac:dyDescent="0.2">
      <c r="A1310" s="24"/>
      <c r="B1310" s="17" t="s">
        <v>25</v>
      </c>
      <c r="C1310" s="45">
        <v>65832.34</v>
      </c>
      <c r="D1310" s="48">
        <v>367424.33</v>
      </c>
      <c r="E1310" s="44">
        <v>313</v>
      </c>
      <c r="F1310" s="44">
        <v>3366</v>
      </c>
      <c r="G1310" s="45">
        <v>40953.120000000003</v>
      </c>
      <c r="H1310" s="45">
        <f>383519.58</f>
        <v>383519.58</v>
      </c>
      <c r="I1310" s="45">
        <v>18811.27</v>
      </c>
      <c r="J1310" s="45">
        <f>141259.74+183.79</f>
        <v>141443.53</v>
      </c>
      <c r="K1310" s="18"/>
    </row>
    <row r="1311" spans="1:11" s="6" customFormat="1" ht="15" x14ac:dyDescent="0.2">
      <c r="A1311" s="24"/>
      <c r="B1311" s="17" t="s">
        <v>11</v>
      </c>
      <c r="C1311" s="43">
        <v>57837.18</v>
      </c>
      <c r="D1311" s="43">
        <v>474395.98</v>
      </c>
      <c r="E1311" s="44">
        <v>293</v>
      </c>
      <c r="F1311" s="44">
        <v>3385</v>
      </c>
      <c r="G1311" s="43">
        <v>46513.21</v>
      </c>
      <c r="H1311" s="43">
        <f>456930.05+1629.3</f>
        <v>458559.35</v>
      </c>
      <c r="I1311" s="43">
        <v>14534.07</v>
      </c>
      <c r="J1311" s="43">
        <f>137453.65+1062.43</f>
        <v>138516.07999999999</v>
      </c>
      <c r="K1311" s="18"/>
    </row>
    <row r="1312" spans="1:11" s="6" customFormat="1" ht="15" x14ac:dyDescent="0.2">
      <c r="A1312" s="24"/>
      <c r="B1312" s="17"/>
      <c r="C1312" s="43"/>
      <c r="D1312" s="43"/>
      <c r="E1312" s="44"/>
      <c r="F1312" s="44"/>
      <c r="G1312" s="43"/>
      <c r="H1312" s="43"/>
      <c r="I1312" s="43"/>
      <c r="J1312" s="43"/>
      <c r="K1312" s="18"/>
    </row>
    <row r="1313" spans="1:11" ht="15.75" x14ac:dyDescent="0.25">
      <c r="A1313" s="24" t="s">
        <v>19</v>
      </c>
      <c r="B1313" s="16" t="s">
        <v>57</v>
      </c>
      <c r="C1313" s="18"/>
      <c r="D1313" s="48"/>
      <c r="E1313" s="18"/>
      <c r="F1313" s="44"/>
      <c r="G1313" s="55"/>
      <c r="H1313" s="45"/>
      <c r="I1313" s="55"/>
      <c r="J1313" s="45"/>
      <c r="K1313" s="18"/>
    </row>
    <row r="1314" spans="1:11" s="6" customFormat="1" ht="15" x14ac:dyDescent="0.2">
      <c r="A1314" s="24"/>
      <c r="B1314" s="17" t="s">
        <v>12</v>
      </c>
      <c r="C1314" s="45">
        <v>60196.34</v>
      </c>
      <c r="D1314" s="48">
        <v>567158.16</v>
      </c>
      <c r="E1314" s="44">
        <v>328</v>
      </c>
      <c r="F1314" s="44">
        <v>4110</v>
      </c>
      <c r="G1314" s="45">
        <v>51331.11</v>
      </c>
      <c r="H1314" s="45">
        <f>456973.66+712.58</f>
        <v>457686.24</v>
      </c>
      <c r="I1314" s="45">
        <v>19236.38</v>
      </c>
      <c r="J1314" s="45">
        <f>168461.78+813.99</f>
        <v>169275.77</v>
      </c>
      <c r="K1314" s="18"/>
    </row>
    <row r="1315" spans="1:11" s="6" customFormat="1" ht="15" x14ac:dyDescent="0.2">
      <c r="A1315" s="24"/>
      <c r="B1315" s="17" t="s">
        <v>13</v>
      </c>
      <c r="C1315" s="45">
        <v>54359.15</v>
      </c>
      <c r="D1315" s="48">
        <v>436597.42</v>
      </c>
      <c r="E1315" s="44">
        <v>274</v>
      </c>
      <c r="F1315" s="44">
        <v>3235</v>
      </c>
      <c r="G1315" s="45">
        <v>45086.22</v>
      </c>
      <c r="H1315" s="45">
        <f>407457.85+275.89</f>
        <v>407733.74</v>
      </c>
      <c r="I1315" s="45">
        <v>20280.349999999999</v>
      </c>
      <c r="J1315" s="45">
        <f>195373.55+615.36</f>
        <v>195988.90999999997</v>
      </c>
      <c r="K1315" s="18"/>
    </row>
    <row r="1316" spans="1:11" s="6" customFormat="1" ht="15" x14ac:dyDescent="0.2">
      <c r="A1316" s="24"/>
      <c r="B1316" s="17" t="s">
        <v>14</v>
      </c>
      <c r="C1316" s="43">
        <v>53921.66</v>
      </c>
      <c r="D1316" s="43">
        <v>554458.57999999996</v>
      </c>
      <c r="E1316" s="44">
        <v>273</v>
      </c>
      <c r="F1316" s="44">
        <v>3650</v>
      </c>
      <c r="G1316" s="43">
        <v>52943.24</v>
      </c>
      <c r="H1316" s="43">
        <f>391289.07+301.89</f>
        <v>391590.96</v>
      </c>
      <c r="I1316" s="43">
        <v>22665.67</v>
      </c>
      <c r="J1316" s="43">
        <f>152095.29+513.92</f>
        <v>152609.21000000002</v>
      </c>
      <c r="K1316" s="18"/>
    </row>
    <row r="1317" spans="1:11" ht="15" x14ac:dyDescent="0.2">
      <c r="A1317" s="24"/>
      <c r="B1317" s="17"/>
      <c r="C1317" s="43"/>
      <c r="D1317" s="43"/>
      <c r="E1317" s="44"/>
      <c r="F1317" s="44"/>
      <c r="G1317" s="43"/>
      <c r="H1317" s="43"/>
      <c r="I1317" s="43"/>
      <c r="J1317" s="43"/>
      <c r="K1317" s="18"/>
    </row>
    <row r="1318" spans="1:11" ht="15.75" x14ac:dyDescent="0.25">
      <c r="A1318" s="24" t="s">
        <v>19</v>
      </c>
      <c r="B1318" s="16" t="s">
        <v>58</v>
      </c>
      <c r="C1318" s="18"/>
      <c r="D1318" s="48"/>
      <c r="E1318" s="18"/>
      <c r="F1318" s="44"/>
      <c r="G1318" s="55"/>
      <c r="H1318" s="45"/>
      <c r="I1318" s="55"/>
      <c r="J1318" s="45"/>
      <c r="K1318" s="18"/>
    </row>
    <row r="1319" spans="1:11" s="6" customFormat="1" ht="15" x14ac:dyDescent="0.2">
      <c r="A1319" s="24">
        <v>2009</v>
      </c>
      <c r="B1319" s="17" t="s">
        <v>15</v>
      </c>
      <c r="C1319" s="45">
        <v>32740.720000000001</v>
      </c>
      <c r="D1319" s="48">
        <v>356789.81</v>
      </c>
      <c r="E1319" s="44">
        <v>221</v>
      </c>
      <c r="F1319" s="44">
        <v>3374</v>
      </c>
      <c r="G1319" s="45">
        <v>60144.12</v>
      </c>
      <c r="H1319" s="45">
        <f>395179.85+183.36</f>
        <v>395363.20999999996</v>
      </c>
      <c r="I1319" s="45">
        <v>24695</v>
      </c>
      <c r="J1319" s="45">
        <f>161229.65+127.81</f>
        <v>161357.46</v>
      </c>
      <c r="K1319" s="18"/>
    </row>
    <row r="1320" spans="1:11" s="6" customFormat="1" ht="15" x14ac:dyDescent="0.2">
      <c r="A1320" s="24"/>
      <c r="B1320" s="17" t="s">
        <v>118</v>
      </c>
      <c r="C1320" s="45">
        <v>23478.5</v>
      </c>
      <c r="D1320" s="48">
        <v>337947.52</v>
      </c>
      <c r="E1320" s="44">
        <v>157</v>
      </c>
      <c r="F1320" s="44">
        <v>2624</v>
      </c>
      <c r="G1320" s="45">
        <v>58793.46</v>
      </c>
      <c r="H1320" s="45">
        <f>434281.78</f>
        <v>434281.78</v>
      </c>
      <c r="I1320" s="45">
        <v>19497.95</v>
      </c>
      <c r="J1320" s="45">
        <f>164593.84+496.16</f>
        <v>165090</v>
      </c>
      <c r="K1320" s="18"/>
    </row>
    <row r="1321" spans="1:11" s="6" customFormat="1" ht="15" x14ac:dyDescent="0.2">
      <c r="A1321" s="24"/>
      <c r="B1321" s="17" t="s">
        <v>120</v>
      </c>
      <c r="C1321" s="43">
        <v>34432.19</v>
      </c>
      <c r="D1321" s="43">
        <v>513745.55</v>
      </c>
      <c r="E1321" s="44">
        <v>186</v>
      </c>
      <c r="F1321" s="44">
        <v>3142</v>
      </c>
      <c r="G1321" s="43">
        <v>71406.89</v>
      </c>
      <c r="H1321" s="43">
        <f>538464.35+457.09</f>
        <v>538921.43999999994</v>
      </c>
      <c r="I1321" s="43">
        <v>25730.86</v>
      </c>
      <c r="J1321" s="43">
        <f>201264.99+829.19</f>
        <v>202094.18</v>
      </c>
      <c r="K1321" s="18"/>
    </row>
    <row r="1322" spans="1:11" ht="15" x14ac:dyDescent="0.2">
      <c r="A1322" s="24"/>
      <c r="B1322" s="106" t="s">
        <v>121</v>
      </c>
      <c r="C1322" s="106"/>
      <c r="D1322" s="106"/>
      <c r="E1322" s="106"/>
      <c r="F1322" s="106"/>
      <c r="G1322" s="106"/>
      <c r="H1322" s="43"/>
      <c r="I1322" s="43"/>
      <c r="J1322" s="43"/>
      <c r="K1322" s="18"/>
    </row>
    <row r="1323" spans="1:11" ht="15" x14ac:dyDescent="0.2">
      <c r="A1323" s="24"/>
      <c r="B1323" s="56"/>
      <c r="C1323" s="56"/>
      <c r="D1323" s="56"/>
      <c r="E1323" s="56"/>
      <c r="F1323" s="56"/>
      <c r="G1323" s="56"/>
      <c r="H1323" s="43"/>
      <c r="I1323" s="43"/>
      <c r="J1323" s="43"/>
      <c r="K1323" s="18"/>
    </row>
    <row r="1324" spans="1:11" ht="15.75" x14ac:dyDescent="0.25">
      <c r="A1324" s="24" t="s">
        <v>19</v>
      </c>
      <c r="B1324" s="16" t="s">
        <v>59</v>
      </c>
      <c r="C1324" s="18"/>
      <c r="D1324" s="48"/>
      <c r="E1324" s="18"/>
      <c r="F1324" s="44"/>
      <c r="G1324" s="55"/>
      <c r="H1324" s="45"/>
      <c r="I1324" s="55"/>
      <c r="J1324" s="45"/>
      <c r="K1324" s="18"/>
    </row>
    <row r="1325" spans="1:11" s="6" customFormat="1" ht="15" x14ac:dyDescent="0.2">
      <c r="A1325" s="24" t="s">
        <v>19</v>
      </c>
      <c r="B1325" s="17" t="s">
        <v>20</v>
      </c>
      <c r="C1325" s="45">
        <v>40825.46</v>
      </c>
      <c r="D1325" s="48">
        <v>402458.44</v>
      </c>
      <c r="E1325" s="44">
        <v>228</v>
      </c>
      <c r="F1325" s="44">
        <v>3270</v>
      </c>
      <c r="G1325" s="45">
        <v>70713.17</v>
      </c>
      <c r="H1325" s="45">
        <f>485350.17+2159</f>
        <v>487509.17</v>
      </c>
      <c r="I1325" s="45">
        <v>19288.150000000001</v>
      </c>
      <c r="J1325" s="45">
        <f>189010.17+2375.47</f>
        <v>191385.64</v>
      </c>
      <c r="K1325" s="18"/>
    </row>
    <row r="1326" spans="1:11" s="6" customFormat="1" ht="15" x14ac:dyDescent="0.2">
      <c r="A1326" s="24"/>
      <c r="B1326" s="17" t="s">
        <v>21</v>
      </c>
      <c r="C1326" s="45">
        <v>45567.68</v>
      </c>
      <c r="D1326" s="48">
        <v>358724.72</v>
      </c>
      <c r="E1326" s="44">
        <v>227</v>
      </c>
      <c r="F1326" s="44">
        <v>2898</v>
      </c>
      <c r="G1326" s="45">
        <v>59453.58</v>
      </c>
      <c r="H1326" s="45">
        <f>474741.48+474.04</f>
        <v>475215.51999999996</v>
      </c>
      <c r="I1326" s="45">
        <v>22187.32</v>
      </c>
      <c r="J1326" s="45">
        <f>182948.08+439.46</f>
        <v>183387.53999999998</v>
      </c>
      <c r="K1326" s="18"/>
    </row>
    <row r="1327" spans="1:11" s="6" customFormat="1" ht="15" x14ac:dyDescent="0.2">
      <c r="A1327" s="24"/>
      <c r="B1327" s="17" t="s">
        <v>22</v>
      </c>
      <c r="C1327" s="43">
        <v>54484.959999999999</v>
      </c>
      <c r="D1327" s="43">
        <v>387801.86</v>
      </c>
      <c r="E1327" s="44">
        <v>281</v>
      </c>
      <c r="F1327" s="44">
        <v>3015</v>
      </c>
      <c r="G1327" s="43">
        <v>45682.5</v>
      </c>
      <c r="H1327" s="43">
        <f>388520.72+104.64</f>
        <v>388625.36</v>
      </c>
      <c r="I1327" s="43">
        <v>19875.68</v>
      </c>
      <c r="J1327" s="43">
        <f>155523.69+258.72</f>
        <v>155782.41</v>
      </c>
      <c r="K1327" s="18"/>
    </row>
    <row r="1328" spans="1:11" s="6" customFormat="1" ht="15" x14ac:dyDescent="0.2">
      <c r="A1328" s="24"/>
      <c r="B1328" s="17"/>
      <c r="C1328" s="43"/>
      <c r="D1328" s="43"/>
      <c r="E1328" s="44"/>
      <c r="F1328" s="44"/>
      <c r="G1328" s="43"/>
      <c r="H1328" s="43"/>
      <c r="I1328" s="43"/>
      <c r="J1328" s="43"/>
      <c r="K1328" s="18"/>
    </row>
    <row r="1329" spans="1:11" ht="15.75" x14ac:dyDescent="0.25">
      <c r="A1329" s="24" t="s">
        <v>19</v>
      </c>
      <c r="B1329" s="16" t="s">
        <v>60</v>
      </c>
      <c r="C1329" s="18"/>
      <c r="D1329" s="48"/>
      <c r="E1329" s="18"/>
      <c r="F1329" s="44"/>
      <c r="G1329" s="55"/>
      <c r="H1329" s="45"/>
      <c r="I1329" s="55"/>
      <c r="J1329" s="45"/>
      <c r="K1329" s="18"/>
    </row>
    <row r="1330" spans="1:11" s="6" customFormat="1" ht="15" x14ac:dyDescent="0.2">
      <c r="A1330" s="24" t="s">
        <v>19</v>
      </c>
      <c r="B1330" s="17" t="s">
        <v>24</v>
      </c>
      <c r="C1330" s="45">
        <v>49335.7</v>
      </c>
      <c r="D1330" s="48">
        <v>279824.15999999997</v>
      </c>
      <c r="E1330" s="44">
        <v>358</v>
      </c>
      <c r="F1330" s="44">
        <v>3139</v>
      </c>
      <c r="G1330" s="45">
        <v>32854.35</v>
      </c>
      <c r="H1330" s="45">
        <f>358984.36+1695.23</f>
        <v>360679.58999999997</v>
      </c>
      <c r="I1330" s="45">
        <v>19995.34</v>
      </c>
      <c r="J1330" s="45">
        <f>170385.25+1871.86</f>
        <v>172257.11</v>
      </c>
      <c r="K1330" s="18"/>
    </row>
    <row r="1331" spans="1:11" s="6" customFormat="1" ht="15" x14ac:dyDescent="0.2">
      <c r="A1331" s="24"/>
      <c r="B1331" s="17" t="s">
        <v>25</v>
      </c>
      <c r="C1331" s="45">
        <v>53170.38</v>
      </c>
      <c r="D1331" s="48">
        <v>347168.09</v>
      </c>
      <c r="E1331" s="44">
        <v>356</v>
      </c>
      <c r="F1331" s="44">
        <v>3697</v>
      </c>
      <c r="G1331" s="45">
        <v>46408.79</v>
      </c>
      <c r="H1331" s="45">
        <f>494546.05+1040.33</f>
        <v>495586.38</v>
      </c>
      <c r="I1331" s="45">
        <v>27160.33</v>
      </c>
      <c r="J1331" s="45">
        <f>169441.23+1182.99</f>
        <v>170624.22</v>
      </c>
      <c r="K1331" s="18"/>
    </row>
    <row r="1332" spans="1:11" s="6" customFormat="1" ht="15" x14ac:dyDescent="0.2">
      <c r="A1332" s="24"/>
      <c r="B1332" s="17" t="s">
        <v>11</v>
      </c>
      <c r="C1332" s="43">
        <v>72236.03</v>
      </c>
      <c r="D1332" s="43">
        <v>492138.43</v>
      </c>
      <c r="E1332" s="44">
        <v>387</v>
      </c>
      <c r="F1332" s="44">
        <v>3766</v>
      </c>
      <c r="G1332" s="43">
        <v>50394.89</v>
      </c>
      <c r="H1332" s="43">
        <f>454937.49+136.01</f>
        <v>455073.5</v>
      </c>
      <c r="I1332" s="43">
        <v>20035.830000000002</v>
      </c>
      <c r="J1332" s="43">
        <f>177765.88+267.78</f>
        <v>178033.66</v>
      </c>
      <c r="K1332" s="18"/>
    </row>
    <row r="1333" spans="1:11" ht="15" x14ac:dyDescent="0.2">
      <c r="A1333" s="24"/>
      <c r="B1333" s="17"/>
      <c r="C1333" s="43"/>
      <c r="D1333" s="43"/>
      <c r="E1333" s="44"/>
      <c r="F1333" s="44"/>
      <c r="G1333" s="43"/>
      <c r="H1333" s="43"/>
      <c r="I1333" s="43"/>
      <c r="J1333" s="43"/>
      <c r="K1333" s="18"/>
    </row>
    <row r="1334" spans="1:11" ht="15.75" x14ac:dyDescent="0.25">
      <c r="A1334" s="89" t="s">
        <v>114</v>
      </c>
      <c r="B1334" s="17"/>
      <c r="C1334" s="18"/>
      <c r="D1334" s="18"/>
      <c r="E1334" s="18"/>
      <c r="F1334" s="18"/>
      <c r="G1334" s="18"/>
      <c r="H1334" s="18"/>
      <c r="I1334" s="18"/>
      <c r="J1334" s="18"/>
      <c r="K1334" s="18"/>
    </row>
    <row r="1335" spans="1:11" ht="27.75" x14ac:dyDescent="0.55000000000000004">
      <c r="A1335" s="82"/>
      <c r="B1335" s="17"/>
      <c r="C1335" s="105" t="s">
        <v>160</v>
      </c>
      <c r="D1335" s="105"/>
      <c r="E1335" s="105"/>
      <c r="F1335" s="105"/>
      <c r="G1335" s="18"/>
      <c r="H1335" s="18"/>
      <c r="I1335" s="18"/>
      <c r="J1335" s="18"/>
      <c r="K1335" s="18"/>
    </row>
    <row r="1336" spans="1:11" ht="27.75" x14ac:dyDescent="0.55000000000000004">
      <c r="A1336" s="82"/>
      <c r="B1336" s="16"/>
      <c r="C1336" s="104" t="s">
        <v>115</v>
      </c>
      <c r="D1336" s="105"/>
      <c r="E1336" s="104" t="s">
        <v>116</v>
      </c>
      <c r="F1336" s="105"/>
      <c r="G1336" s="105" t="s">
        <v>161</v>
      </c>
      <c r="H1336" s="105"/>
      <c r="I1336" s="105" t="s">
        <v>162</v>
      </c>
      <c r="J1336" s="105"/>
      <c r="K1336" s="18"/>
    </row>
    <row r="1337" spans="1:11" ht="15.75" x14ac:dyDescent="0.25">
      <c r="A1337" s="21" t="s">
        <v>8</v>
      </c>
      <c r="B1337" s="16" t="s">
        <v>32</v>
      </c>
      <c r="C1337" s="40" t="s">
        <v>108</v>
      </c>
      <c r="D1337" s="40" t="s">
        <v>109</v>
      </c>
      <c r="E1337" s="40" t="s">
        <v>108</v>
      </c>
      <c r="F1337" s="40" t="s">
        <v>109</v>
      </c>
      <c r="G1337" s="40" t="s">
        <v>108</v>
      </c>
      <c r="H1337" s="40" t="s">
        <v>117</v>
      </c>
      <c r="I1337" s="40" t="s">
        <v>108</v>
      </c>
      <c r="J1337" s="40" t="s">
        <v>117</v>
      </c>
      <c r="K1337" s="18"/>
    </row>
    <row r="1338" spans="1:11" ht="15" x14ac:dyDescent="0.2">
      <c r="A1338" s="24"/>
      <c r="B1338" s="17"/>
      <c r="C1338" s="43"/>
      <c r="D1338" s="43"/>
      <c r="E1338" s="44"/>
      <c r="F1338" s="44"/>
      <c r="G1338" s="43"/>
      <c r="H1338" s="43"/>
      <c r="I1338" s="43"/>
      <c r="J1338" s="43"/>
      <c r="K1338" s="18"/>
    </row>
    <row r="1339" spans="1:11" ht="15.75" x14ac:dyDescent="0.25">
      <c r="A1339" s="24" t="s">
        <v>19</v>
      </c>
      <c r="B1339" s="16" t="s">
        <v>61</v>
      </c>
      <c r="C1339" s="18"/>
      <c r="D1339" s="48"/>
      <c r="E1339" s="18"/>
      <c r="F1339" s="44"/>
      <c r="G1339" s="55"/>
      <c r="H1339" s="45"/>
      <c r="I1339" s="55"/>
      <c r="J1339" s="45"/>
      <c r="K1339" s="18"/>
    </row>
    <row r="1340" spans="1:11" s="6" customFormat="1" ht="15" x14ac:dyDescent="0.2">
      <c r="A1340" s="24" t="s">
        <v>19</v>
      </c>
      <c r="B1340" s="17" t="s">
        <v>12</v>
      </c>
      <c r="C1340" s="45">
        <v>65459</v>
      </c>
      <c r="D1340" s="48">
        <v>510554</v>
      </c>
      <c r="E1340" s="44">
        <v>356</v>
      </c>
      <c r="F1340" s="44">
        <v>4058</v>
      </c>
      <c r="G1340" s="45">
        <v>51778</v>
      </c>
      <c r="H1340" s="45">
        <f>379015+247</f>
        <v>379262</v>
      </c>
      <c r="I1340" s="45">
        <v>20088</v>
      </c>
      <c r="J1340" s="45">
        <f>166539+1031</f>
        <v>167570</v>
      </c>
      <c r="K1340" s="18"/>
    </row>
    <row r="1341" spans="1:11" s="6" customFormat="1" ht="15" x14ac:dyDescent="0.2">
      <c r="A1341" s="24"/>
      <c r="B1341" s="17" t="s">
        <v>13</v>
      </c>
      <c r="C1341" s="45">
        <v>51814</v>
      </c>
      <c r="D1341" s="48">
        <v>427830</v>
      </c>
      <c r="E1341" s="44">
        <v>279</v>
      </c>
      <c r="F1341" s="44">
        <v>2852</v>
      </c>
      <c r="G1341" s="45">
        <v>52371</v>
      </c>
      <c r="H1341" s="45">
        <f>441786+168</f>
        <v>441954</v>
      </c>
      <c r="I1341" s="45">
        <v>22133</v>
      </c>
      <c r="J1341" s="45">
        <f>194360+242</f>
        <v>194602</v>
      </c>
      <c r="K1341" s="18"/>
    </row>
    <row r="1342" spans="1:11" s="6" customFormat="1" ht="15" x14ac:dyDescent="0.2">
      <c r="A1342" s="24"/>
      <c r="B1342" s="17" t="s">
        <v>14</v>
      </c>
      <c r="C1342" s="43">
        <v>66854</v>
      </c>
      <c r="D1342" s="43">
        <v>627736</v>
      </c>
      <c r="E1342" s="44">
        <v>369</v>
      </c>
      <c r="F1342" s="44">
        <v>3876</v>
      </c>
      <c r="G1342" s="43">
        <v>71776</v>
      </c>
      <c r="H1342" s="43">
        <f>440832+869</f>
        <v>441701</v>
      </c>
      <c r="I1342" s="43">
        <v>30569</v>
      </c>
      <c r="J1342" s="43">
        <f>186533+904</f>
        <v>187437</v>
      </c>
      <c r="K1342" s="18"/>
    </row>
    <row r="1343" spans="1:11" s="6" customFormat="1" ht="15" x14ac:dyDescent="0.2">
      <c r="A1343" s="24"/>
      <c r="B1343" s="17"/>
      <c r="C1343" s="43"/>
      <c r="D1343" s="43"/>
      <c r="E1343" s="44"/>
      <c r="F1343" s="44"/>
      <c r="G1343" s="43"/>
      <c r="H1343" s="43"/>
      <c r="I1343" s="43"/>
      <c r="J1343" s="43"/>
      <c r="K1343" s="18"/>
    </row>
    <row r="1344" spans="1:11" ht="15.75" x14ac:dyDescent="0.25">
      <c r="A1344" s="24" t="s">
        <v>19</v>
      </c>
      <c r="B1344" s="16" t="s">
        <v>62</v>
      </c>
      <c r="C1344" s="18"/>
      <c r="D1344" s="48"/>
      <c r="E1344" s="18"/>
      <c r="F1344" s="44"/>
      <c r="G1344" s="55"/>
      <c r="H1344" s="45"/>
      <c r="I1344" s="55"/>
      <c r="J1344" s="45"/>
      <c r="K1344" s="18"/>
    </row>
    <row r="1345" spans="1:11" s="6" customFormat="1" ht="15" x14ac:dyDescent="0.2">
      <c r="A1345" s="24">
        <v>2010</v>
      </c>
      <c r="B1345" s="17" t="s">
        <v>15</v>
      </c>
      <c r="C1345" s="45">
        <v>30466.57</v>
      </c>
      <c r="D1345" s="48">
        <v>315794.49</v>
      </c>
      <c r="E1345" s="44">
        <v>218</v>
      </c>
      <c r="F1345" s="44">
        <v>2686</v>
      </c>
      <c r="G1345" s="45">
        <v>72627.83</v>
      </c>
      <c r="H1345" s="45">
        <f>406791.14+642.45</f>
        <v>407433.59</v>
      </c>
      <c r="I1345" s="45">
        <v>24609.33</v>
      </c>
      <c r="J1345" s="45">
        <f>153457.84+1010.37</f>
        <v>154468.21</v>
      </c>
      <c r="K1345" s="18"/>
    </row>
    <row r="1346" spans="1:11" s="6" customFormat="1" ht="15" x14ac:dyDescent="0.2">
      <c r="A1346" s="24"/>
      <c r="B1346" s="17" t="s">
        <v>118</v>
      </c>
      <c r="C1346" s="45">
        <v>39628.269999999997</v>
      </c>
      <c r="D1346" s="48">
        <v>356896.56</v>
      </c>
      <c r="E1346" s="44">
        <v>196</v>
      </c>
      <c r="F1346" s="44">
        <v>2614</v>
      </c>
      <c r="G1346" s="45">
        <v>75819.53</v>
      </c>
      <c r="H1346" s="45">
        <f>482677.41</f>
        <v>482677.41</v>
      </c>
      <c r="I1346" s="45">
        <v>30661.07</v>
      </c>
      <c r="J1346" s="45">
        <f>181702.49+432.27</f>
        <v>182134.75999999998</v>
      </c>
      <c r="K1346" s="18"/>
    </row>
    <row r="1347" spans="1:11" s="6" customFormat="1" ht="16.5" customHeight="1" x14ac:dyDescent="0.2">
      <c r="A1347" s="24"/>
      <c r="B1347" s="17" t="s">
        <v>120</v>
      </c>
      <c r="C1347" s="43">
        <v>63082.559999999998</v>
      </c>
      <c r="D1347" s="43">
        <v>536896.12</v>
      </c>
      <c r="E1347" s="44">
        <v>300</v>
      </c>
      <c r="F1347" s="44">
        <v>3518</v>
      </c>
      <c r="G1347" s="43">
        <v>87145.99</v>
      </c>
      <c r="H1347" s="43">
        <f>518969.25+1241.31</f>
        <v>520210.56</v>
      </c>
      <c r="I1347" s="43">
        <v>37788.82</v>
      </c>
      <c r="J1347" s="43">
        <f>225524.74+1383.73</f>
        <v>226908.47</v>
      </c>
      <c r="K1347" s="18"/>
    </row>
    <row r="1348" spans="1:11" s="6" customFormat="1" ht="16.5" customHeight="1" x14ac:dyDescent="0.2">
      <c r="A1348" s="24"/>
      <c r="B1348" s="17"/>
      <c r="C1348" s="43"/>
      <c r="D1348" s="43"/>
      <c r="E1348" s="44"/>
      <c r="F1348" s="44"/>
      <c r="G1348" s="43"/>
      <c r="H1348" s="43"/>
      <c r="I1348" s="43"/>
      <c r="J1348" s="43"/>
      <c r="K1348" s="18"/>
    </row>
    <row r="1349" spans="1:11" ht="15.75" x14ac:dyDescent="0.25">
      <c r="A1349" s="24" t="s">
        <v>19</v>
      </c>
      <c r="B1349" s="16" t="s">
        <v>63</v>
      </c>
      <c r="C1349" s="18"/>
      <c r="D1349" s="48"/>
      <c r="E1349" s="18"/>
      <c r="F1349" s="44"/>
      <c r="G1349" s="55"/>
      <c r="H1349" s="45"/>
      <c r="I1349" s="55"/>
      <c r="J1349" s="45"/>
      <c r="K1349" s="18"/>
    </row>
    <row r="1350" spans="1:11" s="6" customFormat="1" ht="15" x14ac:dyDescent="0.2">
      <c r="A1350" s="24" t="s">
        <v>19</v>
      </c>
      <c r="B1350" s="17" t="s">
        <v>20</v>
      </c>
      <c r="C1350" s="45">
        <v>54219.99</v>
      </c>
      <c r="D1350" s="48">
        <v>403561.51</v>
      </c>
      <c r="E1350" s="44">
        <v>288</v>
      </c>
      <c r="F1350" s="44">
        <v>3129</v>
      </c>
      <c r="G1350" s="45">
        <v>76978.44</v>
      </c>
      <c r="H1350" s="45">
        <f>506707.19+38.19</f>
        <v>506745.38</v>
      </c>
      <c r="I1350" s="45">
        <v>31705.07</v>
      </c>
      <c r="J1350" s="45">
        <f>193926.6+136.6</f>
        <v>194063.2</v>
      </c>
      <c r="K1350" s="18"/>
    </row>
    <row r="1351" spans="1:11" s="6" customFormat="1" ht="15" x14ac:dyDescent="0.2">
      <c r="A1351" s="24"/>
      <c r="B1351" s="17" t="s">
        <v>21</v>
      </c>
      <c r="C1351" s="45">
        <v>61327.53</v>
      </c>
      <c r="D1351" s="48">
        <v>347397.4</v>
      </c>
      <c r="E1351" s="44">
        <v>295</v>
      </c>
      <c r="F1351" s="44">
        <v>2845</v>
      </c>
      <c r="G1351" s="45">
        <v>59451.1</v>
      </c>
      <c r="H1351" s="45">
        <f>463220.87</f>
        <v>463220.87</v>
      </c>
      <c r="I1351" s="45">
        <v>22229.21</v>
      </c>
      <c r="J1351" s="45">
        <f>176430+835.2</f>
        <v>177265.2</v>
      </c>
      <c r="K1351" s="18"/>
    </row>
    <row r="1352" spans="1:11" s="6" customFormat="1" ht="15" x14ac:dyDescent="0.2">
      <c r="A1352" s="24"/>
      <c r="B1352" s="17" t="s">
        <v>22</v>
      </c>
      <c r="C1352" s="43">
        <v>71958.990000000005</v>
      </c>
      <c r="D1352" s="43">
        <v>377004.97</v>
      </c>
      <c r="E1352" s="44">
        <v>368</v>
      </c>
      <c r="F1352" s="44">
        <v>3152</v>
      </c>
      <c r="G1352" s="43">
        <v>51508.7</v>
      </c>
      <c r="H1352" s="43">
        <f>396755.76+1016.98</f>
        <v>397772.74</v>
      </c>
      <c r="I1352" s="43">
        <v>23326.720000000001</v>
      </c>
      <c r="J1352" s="43">
        <f>201004.5+913.03</f>
        <v>201917.53</v>
      </c>
      <c r="K1352" s="18"/>
    </row>
    <row r="1353" spans="1:11" ht="15" x14ac:dyDescent="0.2">
      <c r="A1353" s="24"/>
      <c r="B1353" s="17"/>
      <c r="C1353" s="43"/>
      <c r="D1353" s="43"/>
      <c r="E1353" s="44"/>
      <c r="F1353" s="44"/>
      <c r="G1353" s="43"/>
      <c r="H1353" s="43"/>
      <c r="I1353" s="43"/>
      <c r="J1353" s="43"/>
      <c r="K1353" s="18"/>
    </row>
    <row r="1354" spans="1:11" ht="15.75" x14ac:dyDescent="0.25">
      <c r="A1354" s="24" t="s">
        <v>19</v>
      </c>
      <c r="B1354" s="16" t="s">
        <v>64</v>
      </c>
      <c r="C1354" s="18"/>
      <c r="D1354" s="48"/>
      <c r="E1354" s="18"/>
      <c r="F1354" s="44"/>
      <c r="G1354" s="55"/>
      <c r="H1354" s="45"/>
      <c r="I1354" s="55"/>
      <c r="J1354" s="45"/>
      <c r="K1354" s="18"/>
    </row>
    <row r="1355" spans="1:11" s="6" customFormat="1" ht="15" x14ac:dyDescent="0.2">
      <c r="A1355" s="24" t="s">
        <v>19</v>
      </c>
      <c r="B1355" s="17" t="s">
        <v>24</v>
      </c>
      <c r="C1355" s="45">
        <v>80334.14</v>
      </c>
      <c r="D1355" s="48">
        <v>295509.84999999998</v>
      </c>
      <c r="E1355" s="44">
        <v>434</v>
      </c>
      <c r="F1355" s="44">
        <v>3024</v>
      </c>
      <c r="G1355" s="45">
        <v>49933.93</v>
      </c>
      <c r="H1355" s="45">
        <f>380063.5+488.91</f>
        <v>380552.41</v>
      </c>
      <c r="I1355" s="45">
        <v>21297.66</v>
      </c>
      <c r="J1355" s="45">
        <f>174546.5+796.04</f>
        <v>175342.54</v>
      </c>
      <c r="K1355" s="18"/>
    </row>
    <row r="1356" spans="1:11" s="6" customFormat="1" ht="15" x14ac:dyDescent="0.2">
      <c r="A1356" s="24"/>
      <c r="B1356" s="17" t="s">
        <v>25</v>
      </c>
      <c r="C1356" s="45">
        <v>85265.87</v>
      </c>
      <c r="D1356" s="48">
        <v>368150.33</v>
      </c>
      <c r="E1356" s="44">
        <v>492</v>
      </c>
      <c r="F1356" s="44">
        <v>3430</v>
      </c>
      <c r="G1356" s="45">
        <v>55582.29</v>
      </c>
      <c r="H1356" s="45">
        <f>451840.85+588.93</f>
        <v>452429.77999999997</v>
      </c>
      <c r="I1356" s="45">
        <v>22630.65</v>
      </c>
      <c r="J1356" s="45">
        <f>166520.28+838.9</f>
        <v>167359.18</v>
      </c>
      <c r="K1356" s="18"/>
    </row>
    <row r="1357" spans="1:11" s="6" customFormat="1" ht="15" x14ac:dyDescent="0.2">
      <c r="A1357" s="24"/>
      <c r="B1357" s="17" t="s">
        <v>11</v>
      </c>
      <c r="C1357" s="43">
        <v>109509.2</v>
      </c>
      <c r="D1357" s="43">
        <v>527102.27</v>
      </c>
      <c r="E1357" s="44">
        <v>532</v>
      </c>
      <c r="F1357" s="44">
        <v>3693</v>
      </c>
      <c r="G1357" s="43">
        <v>59592.79</v>
      </c>
      <c r="H1357" s="43">
        <f>415653.15+782.08</f>
        <v>416435.23000000004</v>
      </c>
      <c r="I1357" s="43">
        <v>27383.08</v>
      </c>
      <c r="J1357" s="43">
        <f>193984.76+1179.69</f>
        <v>195164.45</v>
      </c>
      <c r="K1357" s="18"/>
    </row>
    <row r="1358" spans="1:11" ht="15" x14ac:dyDescent="0.2">
      <c r="A1358" s="24"/>
      <c r="B1358" s="17"/>
      <c r="C1358" s="43"/>
      <c r="D1358" s="43"/>
      <c r="E1358" s="44"/>
      <c r="F1358" s="44"/>
      <c r="G1358" s="43"/>
      <c r="H1358" s="43"/>
      <c r="I1358" s="43"/>
      <c r="J1358" s="43"/>
      <c r="K1358" s="18"/>
    </row>
    <row r="1359" spans="1:11" ht="15.75" x14ac:dyDescent="0.25">
      <c r="A1359" s="24" t="s">
        <v>19</v>
      </c>
      <c r="B1359" s="16" t="s">
        <v>65</v>
      </c>
      <c r="C1359" s="18"/>
      <c r="D1359" s="48"/>
      <c r="E1359" s="18"/>
      <c r="F1359" s="44"/>
      <c r="G1359" s="55"/>
      <c r="H1359" s="45"/>
      <c r="I1359" s="55"/>
      <c r="J1359" s="45"/>
      <c r="K1359" s="18"/>
    </row>
    <row r="1360" spans="1:11" s="6" customFormat="1" ht="15" x14ac:dyDescent="0.2">
      <c r="A1360" s="24" t="s">
        <v>19</v>
      </c>
      <c r="B1360" s="17" t="s">
        <v>12</v>
      </c>
      <c r="C1360" s="45">
        <v>83218.63</v>
      </c>
      <c r="D1360" s="48">
        <v>439863.16</v>
      </c>
      <c r="E1360" s="44">
        <v>443</v>
      </c>
      <c r="F1360" s="44">
        <v>3560</v>
      </c>
      <c r="G1360" s="45">
        <v>58482.87</v>
      </c>
      <c r="H1360" s="45">
        <f>421829.13+210.66</f>
        <v>422039.79</v>
      </c>
      <c r="I1360" s="45">
        <v>23316.32</v>
      </c>
      <c r="J1360" s="45">
        <f>166511.8+261.25</f>
        <v>166773.04999999999</v>
      </c>
      <c r="K1360" s="18"/>
    </row>
    <row r="1361" spans="1:11" s="6" customFormat="1" ht="15" x14ac:dyDescent="0.2">
      <c r="A1361" s="24"/>
      <c r="B1361" s="17" t="s">
        <v>13</v>
      </c>
      <c r="C1361" s="45">
        <v>87905.2</v>
      </c>
      <c r="D1361" s="48">
        <v>425406.31</v>
      </c>
      <c r="E1361" s="44">
        <v>431</v>
      </c>
      <c r="F1361" s="44">
        <v>3092</v>
      </c>
      <c r="G1361" s="45">
        <v>69840.22</v>
      </c>
      <c r="H1361" s="45">
        <f>384541.61+370.34</f>
        <v>384911.95</v>
      </c>
      <c r="I1361" s="45">
        <v>27819.25</v>
      </c>
      <c r="J1361" s="45">
        <f>192972.76+444.77</f>
        <v>193417.53</v>
      </c>
      <c r="K1361" s="18"/>
    </row>
    <row r="1362" spans="1:11" s="6" customFormat="1" ht="15" x14ac:dyDescent="0.2">
      <c r="A1362" s="24"/>
      <c r="B1362" s="17" t="s">
        <v>14</v>
      </c>
      <c r="C1362" s="43">
        <v>84998.3</v>
      </c>
      <c r="D1362" s="43">
        <v>490217.61</v>
      </c>
      <c r="E1362" s="44">
        <v>423</v>
      </c>
      <c r="F1362" s="44">
        <v>3261</v>
      </c>
      <c r="G1362" s="43">
        <v>87502.78</v>
      </c>
      <c r="H1362" s="43">
        <f>392591.57</f>
        <v>392591.57</v>
      </c>
      <c r="I1362" s="43">
        <v>26136.66</v>
      </c>
      <c r="J1362" s="43">
        <f>200456.19+266.8</f>
        <v>200722.99</v>
      </c>
      <c r="K1362" s="18"/>
    </row>
    <row r="1363" spans="1:11" ht="15" x14ac:dyDescent="0.2">
      <c r="A1363" s="24"/>
      <c r="B1363" s="17"/>
      <c r="C1363" s="43"/>
      <c r="D1363" s="43"/>
      <c r="E1363" s="44"/>
      <c r="F1363" s="44"/>
      <c r="G1363" s="43"/>
      <c r="H1363" s="43"/>
      <c r="I1363" s="43"/>
      <c r="J1363" s="43"/>
      <c r="K1363" s="18"/>
    </row>
    <row r="1364" spans="1:11" ht="15.75" x14ac:dyDescent="0.25">
      <c r="A1364" s="24" t="s">
        <v>19</v>
      </c>
      <c r="B1364" s="16" t="s">
        <v>66</v>
      </c>
      <c r="C1364" s="18"/>
      <c r="D1364" s="48"/>
      <c r="E1364" s="18"/>
      <c r="F1364" s="44"/>
      <c r="G1364" s="55"/>
      <c r="H1364" s="45"/>
      <c r="I1364" s="55"/>
      <c r="J1364" s="45"/>
      <c r="K1364" s="18"/>
    </row>
    <row r="1365" spans="1:11" s="6" customFormat="1" ht="15" x14ac:dyDescent="0.2">
      <c r="A1365" s="24">
        <v>2011</v>
      </c>
      <c r="B1365" s="17" t="s">
        <v>15</v>
      </c>
      <c r="C1365" s="45">
        <v>41482.53</v>
      </c>
      <c r="D1365" s="48">
        <v>287390.42</v>
      </c>
      <c r="E1365" s="44">
        <v>310</v>
      </c>
      <c r="F1365" s="44">
        <v>2667</v>
      </c>
      <c r="G1365" s="45">
        <v>83702.09</v>
      </c>
      <c r="H1365" s="45">
        <f>374857.49+1004.4</f>
        <v>375861.89</v>
      </c>
      <c r="I1365" s="45">
        <v>25052.87</v>
      </c>
      <c r="J1365" s="45">
        <f>157579.28+1543.98</f>
        <v>159123.26</v>
      </c>
      <c r="K1365" s="18"/>
    </row>
    <row r="1366" spans="1:11" s="6" customFormat="1" ht="15" x14ac:dyDescent="0.2">
      <c r="A1366" s="24"/>
      <c r="B1366" s="17" t="s">
        <v>118</v>
      </c>
      <c r="C1366" s="45">
        <v>43668.98</v>
      </c>
      <c r="D1366" s="48">
        <v>318716.63</v>
      </c>
      <c r="E1366" s="44">
        <v>255</v>
      </c>
      <c r="F1366" s="44">
        <v>2579</v>
      </c>
      <c r="G1366" s="45">
        <v>102561.57</v>
      </c>
      <c r="H1366" s="45">
        <f>434941.94+485.48</f>
        <v>435427.42</v>
      </c>
      <c r="I1366" s="45">
        <v>35021.949999999997</v>
      </c>
      <c r="J1366" s="45">
        <f>182254.71+156.12</f>
        <v>182410.83</v>
      </c>
      <c r="K1366" s="18"/>
    </row>
    <row r="1367" spans="1:11" s="6" customFormat="1" ht="16.5" customHeight="1" x14ac:dyDescent="0.2">
      <c r="A1367" s="24"/>
      <c r="B1367" s="17" t="s">
        <v>120</v>
      </c>
      <c r="C1367" s="43">
        <v>43681.16</v>
      </c>
      <c r="D1367" s="43">
        <v>457115.24</v>
      </c>
      <c r="E1367" s="44">
        <v>246</v>
      </c>
      <c r="F1367" s="44">
        <v>3096</v>
      </c>
      <c r="G1367" s="43">
        <v>89732.09</v>
      </c>
      <c r="H1367" s="43">
        <f>455204.95+1397.49</f>
        <v>456602.44</v>
      </c>
      <c r="I1367" s="43">
        <v>34961.769999999997</v>
      </c>
      <c r="J1367" s="43">
        <f>218011.16+1398.94</f>
        <v>219410.1</v>
      </c>
      <c r="K1367" s="18"/>
    </row>
    <row r="1368" spans="1:11" ht="15" x14ac:dyDescent="0.2">
      <c r="A1368" s="24"/>
      <c r="B1368" s="17"/>
      <c r="C1368" s="43"/>
      <c r="D1368" s="43"/>
      <c r="E1368" s="44"/>
      <c r="F1368" s="44"/>
      <c r="G1368" s="43"/>
      <c r="H1368" s="43"/>
      <c r="I1368" s="43"/>
      <c r="J1368" s="43"/>
      <c r="K1368" s="18"/>
    </row>
    <row r="1369" spans="1:11" ht="15.75" x14ac:dyDescent="0.25">
      <c r="A1369" s="24" t="s">
        <v>19</v>
      </c>
      <c r="B1369" s="16" t="s">
        <v>67</v>
      </c>
      <c r="C1369" s="18"/>
      <c r="D1369" s="48"/>
      <c r="E1369" s="18"/>
      <c r="F1369" s="44"/>
      <c r="G1369" s="55"/>
      <c r="H1369" s="45"/>
      <c r="I1369" s="55"/>
      <c r="J1369" s="45"/>
      <c r="K1369" s="18"/>
    </row>
    <row r="1370" spans="1:11" s="6" customFormat="1" ht="15" x14ac:dyDescent="0.2">
      <c r="A1370" s="24" t="s">
        <v>19</v>
      </c>
      <c r="B1370" s="17" t="s">
        <v>20</v>
      </c>
      <c r="C1370" s="45">
        <v>45298.34</v>
      </c>
      <c r="D1370" s="48">
        <v>323147.34000000003</v>
      </c>
      <c r="E1370" s="44">
        <v>277</v>
      </c>
      <c r="F1370" s="44">
        <v>2761</v>
      </c>
      <c r="G1370" s="45">
        <v>104670.39</v>
      </c>
      <c r="H1370" s="45">
        <f>445238.93+996.48</f>
        <v>446235.41</v>
      </c>
      <c r="I1370" s="45">
        <v>33872.36</v>
      </c>
      <c r="J1370" s="45">
        <f>183290.04+1289.14</f>
        <v>184579.18000000002</v>
      </c>
      <c r="K1370" s="18"/>
    </row>
    <row r="1371" spans="1:11" s="6" customFormat="1" ht="15" x14ac:dyDescent="0.2">
      <c r="A1371" s="24"/>
      <c r="B1371" s="17" t="s">
        <v>21</v>
      </c>
      <c r="C1371" s="45">
        <v>52435.62</v>
      </c>
      <c r="D1371" s="48">
        <v>312563.23</v>
      </c>
      <c r="E1371" s="44">
        <v>297</v>
      </c>
      <c r="F1371" s="44">
        <v>2719</v>
      </c>
      <c r="G1371" s="45">
        <v>84205.93</v>
      </c>
      <c r="H1371" s="45">
        <f>444606.66+483.39</f>
        <v>445090.05</v>
      </c>
      <c r="I1371" s="45">
        <v>32502.98</v>
      </c>
      <c r="J1371" s="45">
        <f>219264.53+573.26</f>
        <v>219837.79</v>
      </c>
      <c r="K1371" s="18"/>
    </row>
    <row r="1372" spans="1:11" s="6" customFormat="1" ht="16.5" customHeight="1" x14ac:dyDescent="0.2">
      <c r="A1372" s="24"/>
      <c r="B1372" s="17" t="s">
        <v>22</v>
      </c>
      <c r="C1372" s="43">
        <v>101167.97</v>
      </c>
      <c r="D1372" s="43">
        <v>337261.39</v>
      </c>
      <c r="E1372" s="44">
        <v>485</v>
      </c>
      <c r="F1372" s="44">
        <v>2988</v>
      </c>
      <c r="G1372" s="43">
        <v>63942.09</v>
      </c>
      <c r="H1372" s="43">
        <f>322308.93+415.63</f>
        <v>322724.56</v>
      </c>
      <c r="I1372" s="43">
        <v>26490.23</v>
      </c>
      <c r="J1372" s="43">
        <f>169528.63+918.99</f>
        <v>170447.62</v>
      </c>
      <c r="K1372" s="18"/>
    </row>
    <row r="1373" spans="1:11" ht="15" x14ac:dyDescent="0.2">
      <c r="A1373" s="24"/>
      <c r="B1373" s="17"/>
      <c r="C1373" s="43"/>
      <c r="D1373" s="43"/>
      <c r="E1373" s="44"/>
      <c r="F1373" s="44"/>
      <c r="G1373" s="43"/>
      <c r="H1373" s="43"/>
      <c r="I1373" s="43"/>
      <c r="J1373" s="43"/>
      <c r="K1373" s="18"/>
    </row>
    <row r="1374" spans="1:11" ht="15.75" x14ac:dyDescent="0.25">
      <c r="A1374" s="24" t="s">
        <v>19</v>
      </c>
      <c r="B1374" s="16" t="s">
        <v>68</v>
      </c>
      <c r="C1374" s="18"/>
      <c r="D1374" s="48"/>
      <c r="E1374" s="18"/>
      <c r="F1374" s="44"/>
      <c r="G1374" s="55"/>
      <c r="H1374" s="45"/>
      <c r="I1374" s="55"/>
      <c r="J1374" s="45"/>
      <c r="K1374" s="18"/>
    </row>
    <row r="1375" spans="1:11" s="6" customFormat="1" ht="15" x14ac:dyDescent="0.2">
      <c r="A1375" s="24" t="s">
        <v>19</v>
      </c>
      <c r="B1375" s="17" t="s">
        <v>24</v>
      </c>
      <c r="C1375" s="45">
        <v>88635.93</v>
      </c>
      <c r="D1375" s="48">
        <v>249053.24</v>
      </c>
      <c r="E1375" s="44">
        <v>500</v>
      </c>
      <c r="F1375" s="44">
        <v>2729</v>
      </c>
      <c r="G1375" s="45">
        <v>60186.39</v>
      </c>
      <c r="H1375" s="45">
        <f>327782.84+716.2</f>
        <v>328499.04000000004</v>
      </c>
      <c r="I1375" s="45">
        <v>24519.85</v>
      </c>
      <c r="J1375" s="45">
        <f>170548.01+741.12</f>
        <v>171289.13</v>
      </c>
      <c r="K1375" s="18"/>
    </row>
    <row r="1376" spans="1:11" s="6" customFormat="1" ht="15" x14ac:dyDescent="0.2">
      <c r="A1376" s="24"/>
      <c r="B1376" s="17" t="s">
        <v>25</v>
      </c>
      <c r="C1376" s="45">
        <v>103952.63</v>
      </c>
      <c r="D1376" s="48">
        <v>325147.48</v>
      </c>
      <c r="E1376" s="44">
        <v>598</v>
      </c>
      <c r="F1376" s="44">
        <v>3353</v>
      </c>
      <c r="G1376" s="45">
        <v>55899.03</v>
      </c>
      <c r="H1376" s="45">
        <f>383860.53+1202.64</f>
        <v>385063.17000000004</v>
      </c>
      <c r="I1376" s="45">
        <v>27652.080000000002</v>
      </c>
      <c r="J1376" s="45">
        <f>166589.13+1411</f>
        <v>168000.13</v>
      </c>
      <c r="K1376" s="18"/>
    </row>
    <row r="1377" spans="1:11" s="6" customFormat="1" ht="16.5" customHeight="1" x14ac:dyDescent="0.2">
      <c r="A1377" s="24"/>
      <c r="B1377" s="17" t="s">
        <v>11</v>
      </c>
      <c r="C1377" s="43">
        <v>97216.17</v>
      </c>
      <c r="D1377" s="43">
        <v>468300.31</v>
      </c>
      <c r="E1377" s="44">
        <v>498</v>
      </c>
      <c r="F1377" s="44">
        <v>3565</v>
      </c>
      <c r="G1377" s="43">
        <v>67270.09</v>
      </c>
      <c r="H1377" s="43">
        <f>410852.91+1404.51</f>
        <v>412257.42</v>
      </c>
      <c r="I1377" s="43">
        <v>31283.25</v>
      </c>
      <c r="J1377" s="43">
        <f>194178.21+1440.36</f>
        <v>195618.56999999998</v>
      </c>
      <c r="K1377" s="18"/>
    </row>
    <row r="1378" spans="1:11" ht="15.75" x14ac:dyDescent="0.25">
      <c r="A1378" s="24" t="s">
        <v>19</v>
      </c>
      <c r="B1378" s="16" t="s">
        <v>69</v>
      </c>
      <c r="C1378" s="18"/>
      <c r="D1378" s="48"/>
      <c r="E1378" s="18"/>
      <c r="F1378" s="44"/>
      <c r="G1378" s="55"/>
      <c r="H1378" s="45"/>
      <c r="I1378" s="55"/>
      <c r="J1378" s="45"/>
      <c r="K1378" s="18"/>
    </row>
    <row r="1379" spans="1:11" s="6" customFormat="1" ht="15" x14ac:dyDescent="0.2">
      <c r="A1379" s="24">
        <v>2011</v>
      </c>
      <c r="B1379" s="17" t="s">
        <v>12</v>
      </c>
      <c r="C1379" s="45">
        <v>86470.49</v>
      </c>
      <c r="D1379" s="48">
        <v>412743.7</v>
      </c>
      <c r="E1379" s="44">
        <v>516</v>
      </c>
      <c r="F1379" s="44">
        <v>3413</v>
      </c>
      <c r="G1379" s="45">
        <v>57077.37</v>
      </c>
      <c r="H1379" s="45">
        <f>339673.82+1437.12</f>
        <v>341110.94</v>
      </c>
      <c r="I1379" s="45">
        <v>22056.9</v>
      </c>
      <c r="J1379" s="45">
        <f>173366.81+1545.11</f>
        <v>174911.91999999998</v>
      </c>
      <c r="K1379" s="18"/>
    </row>
    <row r="1380" spans="1:11" s="6" customFormat="1" ht="15" x14ac:dyDescent="0.2">
      <c r="A1380" s="24"/>
      <c r="B1380" s="17" t="s">
        <v>13</v>
      </c>
      <c r="C1380" s="45">
        <v>84427.68</v>
      </c>
      <c r="D1380" s="48">
        <v>397927.14</v>
      </c>
      <c r="E1380" s="44">
        <v>430</v>
      </c>
      <c r="F1380" s="44">
        <v>2879</v>
      </c>
      <c r="G1380" s="45">
        <v>77316.58</v>
      </c>
      <c r="H1380" s="45">
        <f>360036.88+438.88</f>
        <v>360475.76</v>
      </c>
      <c r="I1380" s="45">
        <v>30842.48</v>
      </c>
      <c r="J1380" s="45">
        <f>178433.98+523.55</f>
        <v>178957.53</v>
      </c>
      <c r="K1380" s="18"/>
    </row>
    <row r="1381" spans="1:11" s="6" customFormat="1" ht="16.5" customHeight="1" x14ac:dyDescent="0.2">
      <c r="A1381" s="24"/>
      <c r="B1381" s="17" t="s">
        <v>14</v>
      </c>
      <c r="C1381" s="43">
        <v>65625.84</v>
      </c>
      <c r="D1381" s="43">
        <v>407368.59</v>
      </c>
      <c r="E1381" s="44">
        <v>379</v>
      </c>
      <c r="F1381" s="44">
        <v>2927</v>
      </c>
      <c r="G1381" s="43">
        <v>88965.03</v>
      </c>
      <c r="H1381" s="43">
        <f>369238.55+1615.61</f>
        <v>370854.16</v>
      </c>
      <c r="I1381" s="43">
        <v>33149.64</v>
      </c>
      <c r="J1381" s="43">
        <f>164741.54+1615.61</f>
        <v>166357.15</v>
      </c>
      <c r="K1381" s="18"/>
    </row>
    <row r="1382" spans="1:11" ht="15" x14ac:dyDescent="0.2">
      <c r="A1382" s="24"/>
      <c r="B1382" s="17"/>
      <c r="C1382" s="43"/>
      <c r="D1382" s="43"/>
      <c r="E1382" s="44"/>
      <c r="F1382" s="44"/>
      <c r="G1382" s="43"/>
      <c r="H1382" s="43"/>
      <c r="I1382" s="43"/>
      <c r="J1382" s="43"/>
      <c r="K1382" s="18"/>
    </row>
    <row r="1383" spans="1:11" ht="15.75" x14ac:dyDescent="0.25">
      <c r="A1383" s="24" t="s">
        <v>19</v>
      </c>
      <c r="B1383" s="16" t="s">
        <v>70</v>
      </c>
      <c r="C1383" s="18"/>
      <c r="D1383" s="48"/>
      <c r="E1383" s="18"/>
      <c r="F1383" s="44"/>
      <c r="G1383" s="55"/>
      <c r="H1383" s="45"/>
      <c r="I1383" s="55"/>
      <c r="J1383" s="45"/>
      <c r="K1383" s="18"/>
    </row>
    <row r="1384" spans="1:11" s="6" customFormat="1" ht="15" x14ac:dyDescent="0.2">
      <c r="A1384" s="24">
        <v>2012</v>
      </c>
      <c r="B1384" s="17" t="s">
        <v>15</v>
      </c>
      <c r="C1384" s="45">
        <v>47365.5</v>
      </c>
      <c r="D1384" s="48">
        <f>288185.64+22.39</f>
        <v>288208.03000000003</v>
      </c>
      <c r="E1384" s="44">
        <v>330</v>
      </c>
      <c r="F1384" s="44">
        <v>2758</v>
      </c>
      <c r="G1384" s="45">
        <v>88036.82</v>
      </c>
      <c r="H1384" s="45">
        <f>319154.2+100.43</f>
        <v>319254.63</v>
      </c>
      <c r="I1384" s="45">
        <v>27699.52</v>
      </c>
      <c r="J1384" s="45">
        <f>168216.69+253.05</f>
        <v>168469.74</v>
      </c>
      <c r="K1384" s="18"/>
    </row>
    <row r="1385" spans="1:11" s="6" customFormat="1" ht="15" x14ac:dyDescent="0.2">
      <c r="A1385" s="24"/>
      <c r="B1385" s="17" t="s">
        <v>118</v>
      </c>
      <c r="C1385" s="45">
        <v>51900.51</v>
      </c>
      <c r="D1385" s="48">
        <f>332606.87</f>
        <v>332606.87</v>
      </c>
      <c r="E1385" s="44">
        <v>325</v>
      </c>
      <c r="F1385" s="44">
        <v>2618</v>
      </c>
      <c r="G1385" s="45">
        <v>88006.05</v>
      </c>
      <c r="H1385" s="45">
        <f>407316.96</f>
        <v>407316.96</v>
      </c>
      <c r="I1385" s="45">
        <v>37780.43</v>
      </c>
      <c r="J1385" s="45">
        <f>195102.34+302.7</f>
        <v>195405.04</v>
      </c>
      <c r="K1385" s="18"/>
    </row>
    <row r="1386" spans="1:11" s="6" customFormat="1" ht="16.5" customHeight="1" x14ac:dyDescent="0.2">
      <c r="A1386" s="24"/>
      <c r="B1386" s="17" t="s">
        <v>120</v>
      </c>
      <c r="C1386" s="43">
        <v>71279.14</v>
      </c>
      <c r="D1386" s="43">
        <f>405192.81</f>
        <v>405192.81</v>
      </c>
      <c r="E1386" s="44">
        <v>349</v>
      </c>
      <c r="F1386" s="44">
        <v>2879</v>
      </c>
      <c r="G1386" s="43">
        <v>105881.14</v>
      </c>
      <c r="H1386" s="43">
        <f>435003.89+233.76</f>
        <v>435237.65</v>
      </c>
      <c r="I1386" s="43">
        <v>39416.81</v>
      </c>
      <c r="J1386" s="43">
        <f>201614.29+297.16</f>
        <v>201911.45</v>
      </c>
      <c r="K1386" s="18"/>
    </row>
    <row r="1387" spans="1:11" ht="15.75" x14ac:dyDescent="0.25">
      <c r="A1387" s="89" t="s">
        <v>114</v>
      </c>
      <c r="B1387" s="17"/>
      <c r="C1387" s="18"/>
      <c r="D1387" s="18"/>
      <c r="E1387" s="18"/>
      <c r="F1387" s="18"/>
      <c r="G1387" s="18"/>
      <c r="H1387" s="18"/>
      <c r="I1387" s="18"/>
      <c r="J1387" s="18"/>
      <c r="K1387" s="18"/>
    </row>
    <row r="1388" spans="1:11" ht="27.75" x14ac:dyDescent="0.55000000000000004">
      <c r="A1388" s="82"/>
      <c r="B1388" s="17"/>
      <c r="C1388" s="105" t="s">
        <v>160</v>
      </c>
      <c r="D1388" s="105"/>
      <c r="E1388" s="105"/>
      <c r="F1388" s="105"/>
      <c r="G1388" s="18"/>
      <c r="H1388" s="18"/>
      <c r="I1388" s="18"/>
      <c r="J1388" s="18"/>
      <c r="K1388" s="18"/>
    </row>
    <row r="1389" spans="1:11" ht="27.75" x14ac:dyDescent="0.55000000000000004">
      <c r="A1389" s="82"/>
      <c r="B1389" s="16"/>
      <c r="C1389" s="104" t="s">
        <v>115</v>
      </c>
      <c r="D1389" s="105"/>
      <c r="E1389" s="104" t="s">
        <v>116</v>
      </c>
      <c r="F1389" s="105"/>
      <c r="G1389" s="105" t="s">
        <v>161</v>
      </c>
      <c r="H1389" s="105"/>
      <c r="I1389" s="105" t="s">
        <v>162</v>
      </c>
      <c r="J1389" s="105"/>
      <c r="K1389" s="18"/>
    </row>
    <row r="1390" spans="1:11" ht="15.75" x14ac:dyDescent="0.25">
      <c r="A1390" s="21" t="s">
        <v>8</v>
      </c>
      <c r="B1390" s="16" t="s">
        <v>32</v>
      </c>
      <c r="C1390" s="40" t="s">
        <v>108</v>
      </c>
      <c r="D1390" s="40" t="s">
        <v>109</v>
      </c>
      <c r="E1390" s="40" t="s">
        <v>108</v>
      </c>
      <c r="F1390" s="40" t="s">
        <v>109</v>
      </c>
      <c r="G1390" s="40" t="s">
        <v>108</v>
      </c>
      <c r="H1390" s="40" t="s">
        <v>117</v>
      </c>
      <c r="I1390" s="40" t="s">
        <v>108</v>
      </c>
      <c r="J1390" s="40" t="s">
        <v>117</v>
      </c>
      <c r="K1390" s="18"/>
    </row>
    <row r="1391" spans="1:11" ht="15" x14ac:dyDescent="0.2">
      <c r="A1391" s="24"/>
      <c r="B1391" s="17"/>
      <c r="C1391" s="43"/>
      <c r="D1391" s="43"/>
      <c r="E1391" s="44"/>
      <c r="F1391" s="44"/>
      <c r="G1391" s="43"/>
      <c r="H1391" s="43"/>
      <c r="I1391" s="43"/>
      <c r="J1391" s="43"/>
      <c r="K1391" s="18"/>
    </row>
    <row r="1392" spans="1:11" ht="15.75" x14ac:dyDescent="0.25">
      <c r="A1392" s="24" t="s">
        <v>19</v>
      </c>
      <c r="B1392" s="16" t="s">
        <v>71</v>
      </c>
      <c r="C1392" s="18"/>
      <c r="D1392" s="48"/>
      <c r="E1392" s="18"/>
      <c r="F1392" s="44"/>
      <c r="G1392" s="55"/>
      <c r="H1392" s="45"/>
      <c r="I1392" s="55"/>
      <c r="J1392" s="45"/>
      <c r="K1392" s="18"/>
    </row>
    <row r="1393" spans="1:11" s="6" customFormat="1" ht="15" x14ac:dyDescent="0.2">
      <c r="A1393" s="24">
        <v>2012</v>
      </c>
      <c r="B1393" s="17" t="s">
        <v>20</v>
      </c>
      <c r="C1393" s="45">
        <v>67557.78</v>
      </c>
      <c r="D1393" s="48">
        <v>292313.53000000003</v>
      </c>
      <c r="E1393" s="44">
        <v>376</v>
      </c>
      <c r="F1393" s="44">
        <v>2469</v>
      </c>
      <c r="G1393" s="45">
        <v>107521.22</v>
      </c>
      <c r="H1393" s="45">
        <f>417381.35+872.56</f>
        <v>418253.91</v>
      </c>
      <c r="I1393" s="45">
        <v>40608.54</v>
      </c>
      <c r="J1393" s="45">
        <f>185405.63+922.13</f>
        <v>186327.76</v>
      </c>
      <c r="K1393" s="18"/>
    </row>
    <row r="1394" spans="1:11" s="6" customFormat="1" ht="15" x14ac:dyDescent="0.2">
      <c r="A1394" s="24"/>
      <c r="B1394" s="17" t="s">
        <v>21</v>
      </c>
      <c r="C1394" s="45">
        <v>86340.67</v>
      </c>
      <c r="D1394" s="48">
        <v>311291.07</v>
      </c>
      <c r="E1394" s="44">
        <v>437</v>
      </c>
      <c r="F1394" s="44">
        <v>2684</v>
      </c>
      <c r="G1394" s="45">
        <v>79409.820000000007</v>
      </c>
      <c r="H1394" s="45">
        <f>392834.79+385.03</f>
        <v>393219.82</v>
      </c>
      <c r="I1394" s="45">
        <v>31242.79</v>
      </c>
      <c r="J1394" s="45">
        <f>172791.95+880.3</f>
        <v>173672.25</v>
      </c>
      <c r="K1394" s="18"/>
    </row>
    <row r="1395" spans="1:11" s="6" customFormat="1" ht="16.5" customHeight="1" x14ac:dyDescent="0.2">
      <c r="A1395" s="24"/>
      <c r="B1395" s="17" t="s">
        <v>22</v>
      </c>
      <c r="C1395" s="43">
        <v>73057.55</v>
      </c>
      <c r="D1395" s="43">
        <v>288863.19</v>
      </c>
      <c r="E1395" s="44">
        <v>422</v>
      </c>
      <c r="F1395" s="44">
        <v>2655</v>
      </c>
      <c r="G1395" s="43">
        <v>74804.81</v>
      </c>
      <c r="H1395" s="43">
        <f>364100.53+1034.1</f>
        <v>365134.63</v>
      </c>
      <c r="I1395" s="43">
        <v>40975.21</v>
      </c>
      <c r="J1395" s="43">
        <f>210346.92+1103.66</f>
        <v>211450.58000000002</v>
      </c>
      <c r="K1395" s="18"/>
    </row>
    <row r="1396" spans="1:11" ht="15" x14ac:dyDescent="0.2">
      <c r="A1396" s="24"/>
      <c r="B1396" s="17"/>
      <c r="C1396" s="43"/>
      <c r="D1396" s="43"/>
      <c r="E1396" s="44"/>
      <c r="F1396" s="44"/>
      <c r="G1396" s="43"/>
      <c r="H1396" s="43"/>
      <c r="I1396" s="43"/>
      <c r="J1396" s="43"/>
      <c r="K1396" s="18"/>
    </row>
    <row r="1397" spans="1:11" ht="15.75" x14ac:dyDescent="0.25">
      <c r="A1397" s="24" t="s">
        <v>19</v>
      </c>
      <c r="B1397" s="16" t="s">
        <v>72</v>
      </c>
      <c r="C1397" s="18"/>
      <c r="D1397" s="48"/>
      <c r="E1397" s="18"/>
      <c r="F1397" s="44"/>
      <c r="G1397" s="55"/>
      <c r="H1397" s="45"/>
      <c r="I1397" s="55"/>
      <c r="J1397" s="45"/>
      <c r="K1397" s="18"/>
    </row>
    <row r="1398" spans="1:11" s="6" customFormat="1" ht="15" x14ac:dyDescent="0.2">
      <c r="A1398" s="24" t="s">
        <v>19</v>
      </c>
      <c r="B1398" s="17" t="s">
        <v>24</v>
      </c>
      <c r="C1398" s="45">
        <v>69454.759999999995</v>
      </c>
      <c r="D1398" s="48">
        <v>246423.19</v>
      </c>
      <c r="E1398" s="44">
        <v>453</v>
      </c>
      <c r="F1398" s="44">
        <v>2680</v>
      </c>
      <c r="G1398" s="45">
        <v>65529.04</v>
      </c>
      <c r="H1398" s="45">
        <f>341750.44+102.57</f>
        <v>341853.01</v>
      </c>
      <c r="I1398" s="45">
        <v>32287.39</v>
      </c>
      <c r="J1398" s="45">
        <f>187006.7+123.19</f>
        <v>187129.89</v>
      </c>
      <c r="K1398" s="18"/>
    </row>
    <row r="1399" spans="1:11" s="6" customFormat="1" ht="15" x14ac:dyDescent="0.2">
      <c r="A1399" s="24"/>
      <c r="B1399" s="17" t="s">
        <v>25</v>
      </c>
      <c r="C1399" s="45">
        <v>94565.32</v>
      </c>
      <c r="D1399" s="48">
        <v>371545.24</v>
      </c>
      <c r="E1399" s="44">
        <v>517</v>
      </c>
      <c r="F1399" s="44">
        <v>2940</v>
      </c>
      <c r="G1399" s="45">
        <v>78356.95</v>
      </c>
      <c r="H1399" s="45">
        <f>397986.37+735.46</f>
        <v>398721.83</v>
      </c>
      <c r="I1399" s="45">
        <v>31214.2</v>
      </c>
      <c r="J1399" s="45">
        <f>184238.86+767.61</f>
        <v>185006.46999999997</v>
      </c>
      <c r="K1399" s="18"/>
    </row>
    <row r="1400" spans="1:11" s="6" customFormat="1" ht="16.5" customHeight="1" x14ac:dyDescent="0.2">
      <c r="A1400" s="24"/>
      <c r="B1400" s="17" t="s">
        <v>11</v>
      </c>
      <c r="C1400" s="43">
        <v>89473.07</v>
      </c>
      <c r="D1400" s="43">
        <v>438715.48</v>
      </c>
      <c r="E1400" s="44">
        <v>446</v>
      </c>
      <c r="F1400" s="44">
        <v>2734</v>
      </c>
      <c r="G1400" s="43">
        <v>95883.95</v>
      </c>
      <c r="H1400" s="43">
        <f>395251.88+826.55</f>
        <v>396078.43</v>
      </c>
      <c r="I1400" s="43">
        <v>39900.699999999997</v>
      </c>
      <c r="J1400" s="43">
        <f>197259.47+826.55</f>
        <v>198086.02</v>
      </c>
      <c r="K1400" s="18"/>
    </row>
    <row r="1401" spans="1:11" ht="15" x14ac:dyDescent="0.2">
      <c r="A1401" s="24"/>
      <c r="B1401" s="17"/>
      <c r="C1401" s="43"/>
      <c r="D1401" s="43"/>
      <c r="E1401" s="44"/>
      <c r="F1401" s="44"/>
      <c r="G1401" s="43"/>
      <c r="H1401" s="43"/>
      <c r="I1401" s="43"/>
      <c r="J1401" s="43"/>
      <c r="K1401" s="18"/>
    </row>
    <row r="1402" spans="1:11" ht="15.75" x14ac:dyDescent="0.25">
      <c r="A1402" s="24" t="s">
        <v>19</v>
      </c>
      <c r="B1402" s="16" t="s">
        <v>73</v>
      </c>
      <c r="C1402" s="18"/>
      <c r="D1402" s="48"/>
      <c r="E1402" s="18"/>
      <c r="F1402" s="44"/>
      <c r="G1402" s="55"/>
      <c r="H1402" s="45"/>
      <c r="I1402" s="55"/>
      <c r="J1402" s="45"/>
      <c r="K1402" s="18"/>
    </row>
    <row r="1403" spans="1:11" s="6" customFormat="1" ht="15" x14ac:dyDescent="0.2">
      <c r="A1403" s="24" t="s">
        <v>19</v>
      </c>
      <c r="B1403" s="17" t="s">
        <v>12</v>
      </c>
      <c r="C1403" s="45">
        <v>89211.83</v>
      </c>
      <c r="D1403" s="48">
        <v>511211.14</v>
      </c>
      <c r="E1403" s="44">
        <v>517</v>
      </c>
      <c r="F1403" s="44">
        <v>3276</v>
      </c>
      <c r="G1403" s="45">
        <v>97941.5</v>
      </c>
      <c r="H1403" s="45">
        <f>343193.44+2842.78</f>
        <v>346036.22000000003</v>
      </c>
      <c r="I1403" s="45">
        <v>38212.33</v>
      </c>
      <c r="J1403" s="45">
        <f>188086.38+2926.28</f>
        <v>191012.66</v>
      </c>
      <c r="K1403" s="18"/>
    </row>
    <row r="1404" spans="1:11" s="6" customFormat="1" ht="15" x14ac:dyDescent="0.2">
      <c r="A1404" s="24"/>
      <c r="B1404" s="17" t="s">
        <v>13</v>
      </c>
      <c r="C1404" s="45">
        <v>77594.27</v>
      </c>
      <c r="D1404" s="48">
        <v>431195.88</v>
      </c>
      <c r="E1404" s="44">
        <v>366</v>
      </c>
      <c r="F1404" s="44">
        <v>2636</v>
      </c>
      <c r="G1404" s="45">
        <v>82867.990000000005</v>
      </c>
      <c r="H1404" s="45">
        <f>369164.64+1903.82</f>
        <v>371068.46</v>
      </c>
      <c r="I1404" s="45">
        <v>34153.49</v>
      </c>
      <c r="J1404" s="45">
        <f>196389.29+2268.86</f>
        <v>198658.15</v>
      </c>
      <c r="K1404" s="18"/>
    </row>
    <row r="1405" spans="1:11" s="6" customFormat="1" ht="16.5" customHeight="1" x14ac:dyDescent="0.2">
      <c r="A1405" s="24"/>
      <c r="B1405" s="17" t="s">
        <v>14</v>
      </c>
      <c r="C1405" s="43">
        <v>69099.429999999993</v>
      </c>
      <c r="D1405" s="43">
        <v>395279.72</v>
      </c>
      <c r="E1405" s="44">
        <v>338</v>
      </c>
      <c r="F1405" s="44">
        <v>2467</v>
      </c>
      <c r="G1405" s="43">
        <v>85595.62</v>
      </c>
      <c r="H1405" s="43">
        <f>349554.53+515.03</f>
        <v>350069.56000000006</v>
      </c>
      <c r="I1405" s="43">
        <v>36868.01</v>
      </c>
      <c r="J1405" s="43">
        <f>180787.23+327.47</f>
        <v>181114.7</v>
      </c>
      <c r="K1405" s="18"/>
    </row>
    <row r="1406" spans="1:11" ht="15" x14ac:dyDescent="0.2">
      <c r="A1406" s="24"/>
      <c r="B1406" s="17"/>
      <c r="C1406" s="43"/>
      <c r="D1406" s="43"/>
      <c r="E1406" s="44"/>
      <c r="F1406" s="44"/>
      <c r="G1406" s="43"/>
      <c r="H1406" s="43"/>
      <c r="I1406" s="43"/>
      <c r="J1406" s="43"/>
      <c r="K1406" s="18"/>
    </row>
    <row r="1407" spans="1:11" ht="15.75" x14ac:dyDescent="0.25">
      <c r="A1407" s="24" t="s">
        <v>19</v>
      </c>
      <c r="B1407" s="16" t="s">
        <v>74</v>
      </c>
      <c r="C1407" s="18"/>
      <c r="D1407" s="48"/>
      <c r="E1407" s="18"/>
      <c r="F1407" s="44"/>
      <c r="G1407" s="55"/>
      <c r="H1407" s="45"/>
      <c r="I1407" s="55"/>
      <c r="J1407" s="45"/>
      <c r="K1407" s="18"/>
    </row>
    <row r="1408" spans="1:11" s="6" customFormat="1" ht="15" x14ac:dyDescent="0.2">
      <c r="A1408" s="24">
        <v>2013</v>
      </c>
      <c r="B1408" s="17" t="s">
        <v>15</v>
      </c>
      <c r="C1408" s="45">
        <v>38268.080000000002</v>
      </c>
      <c r="D1408" s="48">
        <v>288995.07</v>
      </c>
      <c r="E1408" s="44">
        <v>248</v>
      </c>
      <c r="F1408" s="44">
        <v>2406</v>
      </c>
      <c r="G1408" s="45">
        <v>93428.34</v>
      </c>
      <c r="H1408" s="45">
        <v>374228.39</v>
      </c>
      <c r="I1408" s="45">
        <v>29491.279999999999</v>
      </c>
      <c r="J1408" s="45">
        <f>153004.73+13.13</f>
        <v>153017.86000000002</v>
      </c>
      <c r="K1408" s="18"/>
    </row>
    <row r="1409" spans="1:11" s="6" customFormat="1" ht="15" x14ac:dyDescent="0.2">
      <c r="A1409" s="24"/>
      <c r="B1409" s="17" t="s">
        <v>118</v>
      </c>
      <c r="C1409" s="45">
        <v>37802.46</v>
      </c>
      <c r="D1409" s="48">
        <v>324643.20000000001</v>
      </c>
      <c r="E1409" s="44">
        <v>214</v>
      </c>
      <c r="F1409" s="44">
        <v>2250</v>
      </c>
      <c r="G1409" s="45">
        <v>104743.47</v>
      </c>
      <c r="H1409" s="45">
        <f>438827.57+609.94</f>
        <v>439437.51</v>
      </c>
      <c r="I1409" s="45">
        <v>37988.019999999997</v>
      </c>
      <c r="J1409" s="45">
        <f>185901.2+1875.53</f>
        <v>187776.73</v>
      </c>
      <c r="K1409" s="18"/>
    </row>
    <row r="1410" spans="1:11" s="6" customFormat="1" ht="16.5" customHeight="1" x14ac:dyDescent="0.2">
      <c r="A1410" s="24"/>
      <c r="B1410" s="17" t="s">
        <v>120</v>
      </c>
      <c r="C1410" s="43">
        <v>63510.1</v>
      </c>
      <c r="D1410" s="43">
        <v>403031.42</v>
      </c>
      <c r="E1410" s="44">
        <v>247</v>
      </c>
      <c r="F1410" s="44">
        <v>2233</v>
      </c>
      <c r="G1410" s="43">
        <v>106158.47</v>
      </c>
      <c r="H1410" s="43">
        <f>497103.61+329.11</f>
        <v>497432.72</v>
      </c>
      <c r="I1410" s="43">
        <v>45551.97</v>
      </c>
      <c r="J1410" s="43">
        <f>245583.4+508.4</f>
        <v>246091.8</v>
      </c>
      <c r="K1410" s="18"/>
    </row>
    <row r="1411" spans="1:11" ht="15" x14ac:dyDescent="0.2">
      <c r="A1411" s="24"/>
      <c r="B1411" s="17"/>
      <c r="C1411" s="43"/>
      <c r="D1411" s="43"/>
      <c r="E1411" s="44"/>
      <c r="F1411" s="44"/>
      <c r="G1411" s="43"/>
      <c r="H1411" s="43"/>
      <c r="I1411" s="43"/>
      <c r="J1411" s="43"/>
      <c r="K1411" s="18"/>
    </row>
    <row r="1412" spans="1:11" ht="15.75" x14ac:dyDescent="0.25">
      <c r="A1412" s="24" t="s">
        <v>19</v>
      </c>
      <c r="B1412" s="16" t="s">
        <v>75</v>
      </c>
      <c r="C1412" s="18"/>
      <c r="D1412" s="48"/>
      <c r="E1412" s="18"/>
      <c r="F1412" s="44"/>
      <c r="G1412" s="55"/>
      <c r="H1412" s="45"/>
      <c r="I1412" s="55"/>
      <c r="J1412" s="45"/>
      <c r="K1412" s="18"/>
    </row>
    <row r="1413" spans="1:11" s="6" customFormat="1" ht="15" x14ac:dyDescent="0.2">
      <c r="A1413" s="24" t="s">
        <v>19</v>
      </c>
      <c r="B1413" s="17" t="s">
        <v>20</v>
      </c>
      <c r="C1413" s="45">
        <v>81017.36</v>
      </c>
      <c r="D1413" s="48">
        <v>385119.48</v>
      </c>
      <c r="E1413" s="44">
        <v>314</v>
      </c>
      <c r="F1413" s="44">
        <v>2558</v>
      </c>
      <c r="G1413" s="45">
        <v>112881.7</v>
      </c>
      <c r="H1413" s="45">
        <f>513886.92+1228.77</f>
        <v>515115.69</v>
      </c>
      <c r="I1413" s="45">
        <v>44348.92</v>
      </c>
      <c r="J1413" s="45">
        <f>214590.79+1386.07</f>
        <v>215976.86000000002</v>
      </c>
      <c r="K1413" s="18"/>
    </row>
    <row r="1414" spans="1:11" s="6" customFormat="1" ht="15" x14ac:dyDescent="0.2">
      <c r="A1414" s="24"/>
      <c r="B1414" s="17" t="s">
        <v>21</v>
      </c>
      <c r="C1414" s="45">
        <v>74315.710000000006</v>
      </c>
      <c r="D1414" s="48">
        <v>358650.16</v>
      </c>
      <c r="E1414" s="44">
        <v>311</v>
      </c>
      <c r="F1414" s="44">
        <v>2476</v>
      </c>
      <c r="G1414" s="45">
        <v>85943.77</v>
      </c>
      <c r="H1414" s="45">
        <f>398485.97</f>
        <v>398485.97</v>
      </c>
      <c r="I1414" s="45">
        <v>42204.55</v>
      </c>
      <c r="J1414" s="45">
        <f>202682.72+95.32</f>
        <v>202778.04</v>
      </c>
      <c r="K1414" s="18"/>
    </row>
    <row r="1415" spans="1:11" s="6" customFormat="1" ht="16.5" customHeight="1" x14ac:dyDescent="0.2">
      <c r="A1415" s="24"/>
      <c r="B1415" s="17" t="s">
        <v>22</v>
      </c>
      <c r="C1415" s="43">
        <v>61558.879999999997</v>
      </c>
      <c r="D1415" s="43">
        <v>311771.19</v>
      </c>
      <c r="E1415" s="44">
        <v>283</v>
      </c>
      <c r="F1415" s="44">
        <v>2198</v>
      </c>
      <c r="G1415" s="43">
        <v>59228.78</v>
      </c>
      <c r="H1415" s="43">
        <f>371923.48+181.78</f>
        <v>372105.26</v>
      </c>
      <c r="I1415" s="43">
        <v>32533.77</v>
      </c>
      <c r="J1415" s="43">
        <f>245583.4+508.4</f>
        <v>246091.8</v>
      </c>
      <c r="K1415" s="18"/>
    </row>
    <row r="1416" spans="1:11" ht="15" x14ac:dyDescent="0.2">
      <c r="A1416" s="24"/>
      <c r="B1416" s="17"/>
      <c r="C1416" s="43"/>
      <c r="D1416" s="43"/>
      <c r="E1416" s="44"/>
      <c r="F1416" s="44"/>
      <c r="G1416" s="43"/>
      <c r="H1416" s="43"/>
      <c r="I1416" s="43"/>
      <c r="J1416" s="43"/>
      <c r="K1416" s="18"/>
    </row>
    <row r="1417" spans="1:11" ht="15.75" x14ac:dyDescent="0.25">
      <c r="A1417" s="21"/>
      <c r="B1417" s="16" t="s">
        <v>76</v>
      </c>
      <c r="C1417" s="40"/>
      <c r="D1417" s="40"/>
      <c r="E1417" s="40"/>
      <c r="F1417" s="40"/>
      <c r="G1417" s="40"/>
      <c r="H1417" s="40"/>
      <c r="I1417" s="40"/>
      <c r="J1417" s="40"/>
      <c r="K1417" s="18"/>
    </row>
    <row r="1418" spans="1:11" s="6" customFormat="1" ht="15" x14ac:dyDescent="0.2">
      <c r="A1418" s="24" t="s">
        <v>19</v>
      </c>
      <c r="B1418" s="17" t="s">
        <v>24</v>
      </c>
      <c r="C1418" s="45">
        <v>81637.22</v>
      </c>
      <c r="D1418" s="48">
        <v>271339.92</v>
      </c>
      <c r="E1418" s="44">
        <v>359</v>
      </c>
      <c r="F1418" s="44">
        <v>2422</v>
      </c>
      <c r="G1418" s="45">
        <v>51792.61</v>
      </c>
      <c r="H1418" s="45">
        <v>357328</v>
      </c>
      <c r="I1418" s="45">
        <v>28107.8</v>
      </c>
      <c r="J1418" s="45">
        <f>196037.7+145.17</f>
        <v>196182.87000000002</v>
      </c>
      <c r="K1418" s="18"/>
    </row>
    <row r="1419" spans="1:11" s="6" customFormat="1" ht="15" x14ac:dyDescent="0.2">
      <c r="A1419" s="24"/>
      <c r="B1419" s="17" t="s">
        <v>25</v>
      </c>
      <c r="C1419" s="45">
        <v>92900.14</v>
      </c>
      <c r="D1419" s="48">
        <v>417054.5</v>
      </c>
      <c r="E1419" s="44">
        <v>527</v>
      </c>
      <c r="F1419" s="44">
        <v>4608</v>
      </c>
      <c r="G1419" s="45">
        <v>63148.99</v>
      </c>
      <c r="H1419" s="45">
        <v>425384.3</v>
      </c>
      <c r="I1419" s="45">
        <v>35981.07</v>
      </c>
      <c r="J1419" s="45">
        <f>229786.93+1707.56</f>
        <v>231494.49</v>
      </c>
      <c r="K1419" s="18"/>
    </row>
    <row r="1420" spans="1:11" s="6" customFormat="1" ht="16.5" customHeight="1" x14ac:dyDescent="0.2">
      <c r="A1420" s="24"/>
      <c r="B1420" s="17" t="s">
        <v>11</v>
      </c>
      <c r="C1420" s="43">
        <v>99095.6</v>
      </c>
      <c r="D1420" s="43">
        <v>550525.28</v>
      </c>
      <c r="E1420" s="44">
        <v>424</v>
      </c>
      <c r="F1420" s="44">
        <v>3208</v>
      </c>
      <c r="G1420" s="43">
        <v>93484.73</v>
      </c>
      <c r="H1420" s="43">
        <v>430335.23</v>
      </c>
      <c r="I1420" s="43">
        <v>29457.66</v>
      </c>
      <c r="J1420" s="43">
        <f>166940.18</f>
        <v>166940.18</v>
      </c>
      <c r="K1420" s="18"/>
    </row>
    <row r="1421" spans="1:11" s="6" customFormat="1" ht="16.5" customHeight="1" x14ac:dyDescent="0.2">
      <c r="A1421" s="24"/>
      <c r="B1421" s="17"/>
      <c r="C1421" s="43"/>
      <c r="D1421" s="43"/>
      <c r="E1421" s="44"/>
      <c r="F1421" s="44"/>
      <c r="G1421" s="43"/>
      <c r="H1421" s="43"/>
      <c r="I1421" s="43"/>
      <c r="J1421" s="43"/>
      <c r="K1421" s="18"/>
    </row>
    <row r="1422" spans="1:11" s="6" customFormat="1" ht="16.5" customHeight="1" x14ac:dyDescent="0.25">
      <c r="A1422" s="24"/>
      <c r="B1422" s="16" t="s">
        <v>77</v>
      </c>
      <c r="C1422" s="43"/>
      <c r="D1422" s="43"/>
      <c r="E1422" s="44"/>
      <c r="F1422" s="44"/>
      <c r="G1422" s="43"/>
      <c r="H1422" s="43"/>
      <c r="I1422" s="43"/>
      <c r="J1422" s="43"/>
      <c r="K1422" s="18"/>
    </row>
    <row r="1423" spans="1:11" s="6" customFormat="1" ht="15" x14ac:dyDescent="0.2">
      <c r="A1423" s="24" t="s">
        <v>19</v>
      </c>
      <c r="B1423" s="17" t="s">
        <v>12</v>
      </c>
      <c r="C1423" s="45">
        <v>103857.78</v>
      </c>
      <c r="D1423" s="48">
        <v>579364.9</v>
      </c>
      <c r="E1423" s="44">
        <v>467</v>
      </c>
      <c r="F1423" s="44">
        <v>3677</v>
      </c>
      <c r="G1423" s="45">
        <v>87172.13</v>
      </c>
      <c r="H1423" s="45">
        <f>439701.26+511.73</f>
        <v>440212.99</v>
      </c>
      <c r="I1423" s="45">
        <v>43283.79</v>
      </c>
      <c r="J1423" s="45">
        <f>241000.75+430.23</f>
        <v>241430.98</v>
      </c>
      <c r="K1423" s="18"/>
    </row>
    <row r="1424" spans="1:11" s="6" customFormat="1" ht="15" x14ac:dyDescent="0.2">
      <c r="A1424" s="24"/>
      <c r="B1424" s="17" t="s">
        <v>13</v>
      </c>
      <c r="C1424" s="45">
        <v>59291.07</v>
      </c>
      <c r="D1424" s="48">
        <v>444927.74</v>
      </c>
      <c r="E1424" s="44">
        <v>251</v>
      </c>
      <c r="F1424" s="44">
        <v>2486</v>
      </c>
      <c r="G1424" s="45">
        <v>85926.63</v>
      </c>
      <c r="H1424" s="45">
        <f>392743.75+509</f>
        <v>393252.75</v>
      </c>
      <c r="I1424" s="45">
        <v>38860.870000000003</v>
      </c>
      <c r="J1424" s="45">
        <f>213695.59+500.13</f>
        <v>214195.72</v>
      </c>
      <c r="K1424" s="18"/>
    </row>
    <row r="1425" spans="1:15" s="6" customFormat="1" ht="16.5" customHeight="1" x14ac:dyDescent="0.2">
      <c r="A1425" s="24"/>
      <c r="B1425" s="17" t="s">
        <v>14</v>
      </c>
      <c r="C1425" s="43">
        <v>67862.02</v>
      </c>
      <c r="D1425" s="43">
        <v>454777.93</v>
      </c>
      <c r="E1425" s="44">
        <v>333</v>
      </c>
      <c r="F1425" s="44">
        <v>2714</v>
      </c>
      <c r="G1425" s="43">
        <v>87080.41</v>
      </c>
      <c r="H1425" s="43">
        <f>326872.77+418.61</f>
        <v>327291.38</v>
      </c>
      <c r="I1425" s="43">
        <v>24329.7</v>
      </c>
      <c r="J1425" s="43">
        <f>127297.11+491.23</f>
        <v>127788.34</v>
      </c>
      <c r="K1425" s="18"/>
    </row>
    <row r="1426" spans="1:15" s="6" customFormat="1" ht="16.5" customHeight="1" x14ac:dyDescent="0.25">
      <c r="A1426" s="24"/>
      <c r="B1426" s="16" t="s">
        <v>78</v>
      </c>
      <c r="C1426" s="43"/>
      <c r="D1426" s="43"/>
      <c r="E1426" s="44"/>
      <c r="F1426" s="44"/>
      <c r="G1426" s="43"/>
      <c r="H1426" s="43"/>
      <c r="I1426" s="43"/>
      <c r="J1426" s="43"/>
      <c r="K1426" s="18"/>
    </row>
    <row r="1427" spans="1:15" s="6" customFormat="1" ht="15" x14ac:dyDescent="0.2">
      <c r="A1427" s="24">
        <v>2014</v>
      </c>
      <c r="B1427" s="17" t="s">
        <v>15</v>
      </c>
      <c r="C1427" s="45">
        <v>35976.019999999997</v>
      </c>
      <c r="D1427" s="48">
        <v>291961.11</v>
      </c>
      <c r="E1427" s="44">
        <v>217</v>
      </c>
      <c r="F1427" s="44">
        <v>2345</v>
      </c>
      <c r="G1427" s="45">
        <v>95301.21</v>
      </c>
      <c r="H1427" s="45">
        <f>447203.89+1490.67</f>
        <v>448694.56</v>
      </c>
      <c r="I1427" s="45">
        <v>35692.32</v>
      </c>
      <c r="J1427" s="45">
        <f>200664.16+1517.85</f>
        <v>202182.01</v>
      </c>
      <c r="K1427" s="18"/>
    </row>
    <row r="1428" spans="1:15" s="6" customFormat="1" ht="15" x14ac:dyDescent="0.2">
      <c r="A1428" s="24"/>
      <c r="B1428" s="17" t="s">
        <v>118</v>
      </c>
      <c r="C1428" s="45">
        <v>36624.26</v>
      </c>
      <c r="D1428" s="48">
        <v>303092.40999999997</v>
      </c>
      <c r="E1428" s="44">
        <v>186</v>
      </c>
      <c r="F1428" s="44">
        <v>1964</v>
      </c>
      <c r="G1428" s="45">
        <v>107078.81</v>
      </c>
      <c r="H1428" s="45">
        <f>494731.33+57.61</f>
        <v>494788.94</v>
      </c>
      <c r="I1428" s="45">
        <v>40370.959999999999</v>
      </c>
      <c r="J1428" s="45">
        <f>206114.84+213.3</f>
        <v>206328.13999999998</v>
      </c>
      <c r="K1428" s="18"/>
    </row>
    <row r="1429" spans="1:15" s="6" customFormat="1" ht="16.5" customHeight="1" x14ac:dyDescent="0.2">
      <c r="A1429" s="24"/>
      <c r="B1429" s="17" t="s">
        <v>120</v>
      </c>
      <c r="C1429" s="43">
        <v>54768.94</v>
      </c>
      <c r="D1429" s="43">
        <v>385916.03</v>
      </c>
      <c r="E1429" s="44">
        <v>242</v>
      </c>
      <c r="F1429" s="44">
        <v>2227</v>
      </c>
      <c r="G1429" s="43">
        <v>115222.73</v>
      </c>
      <c r="H1429" s="43">
        <f>520635.88+209.48</f>
        <v>520845.36</v>
      </c>
      <c r="I1429" s="43">
        <v>43053.82</v>
      </c>
      <c r="J1429" s="43">
        <f>248975.18+272.59</f>
        <v>249247.77</v>
      </c>
      <c r="K1429" s="18"/>
    </row>
    <row r="1430" spans="1:15" s="6" customFormat="1" ht="16.5" customHeight="1" x14ac:dyDescent="0.2">
      <c r="A1430" s="24"/>
      <c r="B1430" s="17"/>
      <c r="C1430" s="43"/>
      <c r="D1430" s="43"/>
      <c r="E1430" s="44"/>
      <c r="F1430" s="44"/>
      <c r="G1430" s="43"/>
      <c r="H1430" s="43"/>
      <c r="I1430" s="43"/>
      <c r="J1430" s="43"/>
      <c r="K1430" s="18"/>
    </row>
    <row r="1431" spans="1:15" s="6" customFormat="1" ht="16.5" customHeight="1" x14ac:dyDescent="0.25">
      <c r="A1431" s="24"/>
      <c r="B1431" s="16" t="s">
        <v>79</v>
      </c>
      <c r="C1431" s="43"/>
      <c r="D1431" s="43"/>
      <c r="E1431" s="44"/>
      <c r="F1431" s="44"/>
      <c r="G1431" s="43"/>
      <c r="H1431" s="43"/>
      <c r="I1431" s="43"/>
      <c r="J1431" s="43"/>
      <c r="K1431" s="18"/>
    </row>
    <row r="1432" spans="1:15" s="6" customFormat="1" ht="15" x14ac:dyDescent="0.2">
      <c r="A1432" s="24" t="s">
        <v>19</v>
      </c>
      <c r="B1432" s="17" t="s">
        <v>20</v>
      </c>
      <c r="C1432" s="45">
        <v>57414.54</v>
      </c>
      <c r="D1432" s="48">
        <v>302758.83</v>
      </c>
      <c r="E1432" s="44">
        <v>280</v>
      </c>
      <c r="F1432" s="44">
        <v>2289</v>
      </c>
      <c r="G1432" s="45">
        <v>106403.31</v>
      </c>
      <c r="H1432" s="45">
        <f>556158.13+566.56</f>
        <v>556724.69000000006</v>
      </c>
      <c r="I1432" s="45">
        <v>46640.61</v>
      </c>
      <c r="J1432" s="45">
        <f>259734.37+571.2</f>
        <v>260305.57</v>
      </c>
      <c r="K1432" s="18"/>
    </row>
    <row r="1433" spans="1:15" s="6" customFormat="1" ht="15" x14ac:dyDescent="0.2">
      <c r="A1433" s="24"/>
      <c r="B1433" s="17" t="s">
        <v>21</v>
      </c>
      <c r="C1433" s="45">
        <v>55025.48</v>
      </c>
      <c r="D1433" s="48">
        <v>310026.58</v>
      </c>
      <c r="E1433" s="44">
        <v>281</v>
      </c>
      <c r="F1433" s="44">
        <v>2214</v>
      </c>
      <c r="G1433" s="45">
        <v>91806.94</v>
      </c>
      <c r="H1433" s="45">
        <f>429512.29+106.91</f>
        <v>429619.19999999995</v>
      </c>
      <c r="I1433" s="45">
        <v>51173.79</v>
      </c>
      <c r="J1433" s="45">
        <f>242150.59+106.91</f>
        <v>242257.5</v>
      </c>
      <c r="K1433" s="18"/>
    </row>
    <row r="1434" spans="1:15" s="6" customFormat="1" ht="16.5" customHeight="1" x14ac:dyDescent="0.2">
      <c r="A1434" s="24"/>
      <c r="B1434" s="17" t="s">
        <v>22</v>
      </c>
      <c r="C1434" s="43">
        <v>69416.7</v>
      </c>
      <c r="D1434" s="43">
        <v>302594.3</v>
      </c>
      <c r="E1434" s="44">
        <v>322</v>
      </c>
      <c r="F1434" s="44">
        <v>2418</v>
      </c>
      <c r="G1434" s="43">
        <v>51167.63</v>
      </c>
      <c r="H1434" s="43">
        <f>345436.49+808.12</f>
        <v>346244.61</v>
      </c>
      <c r="I1434" s="43">
        <v>32974.36</v>
      </c>
      <c r="J1434" s="43">
        <f>197680.66+940.62</f>
        <v>198621.28</v>
      </c>
      <c r="K1434" s="18"/>
    </row>
    <row r="1435" spans="1:15" s="6" customFormat="1" ht="16.5" customHeight="1" x14ac:dyDescent="0.2">
      <c r="A1435" s="24"/>
      <c r="B1435" s="17"/>
      <c r="C1435" s="43"/>
      <c r="D1435" s="43"/>
      <c r="E1435" s="44"/>
      <c r="F1435" s="44"/>
      <c r="G1435" s="43"/>
      <c r="H1435" s="43"/>
      <c r="I1435" s="43"/>
      <c r="J1435" s="43"/>
      <c r="K1435" s="18"/>
    </row>
    <row r="1436" spans="1:15" s="6" customFormat="1" ht="16.5" customHeight="1" x14ac:dyDescent="0.25">
      <c r="A1436" s="24"/>
      <c r="B1436" s="16" t="s">
        <v>80</v>
      </c>
      <c r="C1436" s="43"/>
      <c r="D1436" s="43"/>
      <c r="E1436" s="44"/>
      <c r="F1436" s="44"/>
      <c r="G1436" s="43"/>
      <c r="H1436" s="43"/>
      <c r="I1436" s="43"/>
      <c r="J1436" s="43"/>
      <c r="K1436" s="18"/>
      <c r="O1436" s="6" t="s">
        <v>19</v>
      </c>
    </row>
    <row r="1437" spans="1:15" s="6" customFormat="1" ht="15" x14ac:dyDescent="0.2">
      <c r="A1437" s="24">
        <v>2014</v>
      </c>
      <c r="B1437" s="17" t="s">
        <v>24</v>
      </c>
      <c r="C1437" s="45">
        <v>75393.75</v>
      </c>
      <c r="D1437" s="48">
        <v>279727.44</v>
      </c>
      <c r="E1437" s="44">
        <v>389</v>
      </c>
      <c r="F1437" s="44">
        <v>2593</v>
      </c>
      <c r="G1437" s="45">
        <v>60720.92</v>
      </c>
      <c r="H1437" s="45">
        <f>366462.81+922.27</f>
        <v>367385.08</v>
      </c>
      <c r="I1437" s="45">
        <v>35975.53</v>
      </c>
      <c r="J1437" s="45">
        <f>218286.77+950.79</f>
        <v>219237.56</v>
      </c>
      <c r="K1437" s="18"/>
    </row>
    <row r="1438" spans="1:15" s="6" customFormat="1" ht="15" x14ac:dyDescent="0.2">
      <c r="A1438" s="24"/>
      <c r="B1438" s="17" t="s">
        <v>25</v>
      </c>
      <c r="C1438" s="45">
        <v>70015.77</v>
      </c>
      <c r="D1438" s="48">
        <v>332606.68</v>
      </c>
      <c r="E1438" s="44">
        <v>358</v>
      </c>
      <c r="F1438" s="44">
        <v>2728</v>
      </c>
      <c r="G1438" s="45">
        <v>72440.009999999995</v>
      </c>
      <c r="H1438" s="45">
        <f>479848.02+1214.13</f>
        <v>481062.15</v>
      </c>
      <c r="I1438" s="45">
        <v>43631.33</v>
      </c>
      <c r="J1438" s="45">
        <f>263669.35+1203.08</f>
        <v>264872.43</v>
      </c>
      <c r="K1438" s="18"/>
    </row>
    <row r="1439" spans="1:15" s="6" customFormat="1" ht="16.5" customHeight="1" x14ac:dyDescent="0.2">
      <c r="A1439" s="24"/>
      <c r="B1439" s="17" t="s">
        <v>11</v>
      </c>
      <c r="C1439" s="43">
        <v>78726.59</v>
      </c>
      <c r="D1439" s="43">
        <v>492382.55</v>
      </c>
      <c r="E1439" s="44">
        <v>365</v>
      </c>
      <c r="F1439" s="44">
        <v>3028</v>
      </c>
      <c r="G1439" s="43">
        <v>76236.66</v>
      </c>
      <c r="H1439" s="43">
        <f>379751.88+946.22</f>
        <v>380698.1</v>
      </c>
      <c r="I1439" s="43">
        <v>36699.56</v>
      </c>
      <c r="J1439" s="43">
        <f>194691.58+964</f>
        <v>195655.58</v>
      </c>
      <c r="K1439" s="18"/>
    </row>
    <row r="1440" spans="1:15" ht="15.75" x14ac:dyDescent="0.25">
      <c r="A1440" s="89" t="s">
        <v>114</v>
      </c>
      <c r="B1440" s="17"/>
      <c r="C1440" s="18"/>
      <c r="D1440" s="18"/>
      <c r="E1440" s="18"/>
      <c r="F1440" s="18"/>
      <c r="G1440" s="18"/>
      <c r="H1440" s="18"/>
      <c r="I1440" s="18"/>
      <c r="J1440" s="18"/>
      <c r="K1440" s="18"/>
    </row>
    <row r="1441" spans="1:11" ht="27.75" x14ac:dyDescent="0.55000000000000004">
      <c r="A1441" s="82"/>
      <c r="B1441" s="17"/>
      <c r="C1441" s="105" t="s">
        <v>160</v>
      </c>
      <c r="D1441" s="105"/>
      <c r="E1441" s="105"/>
      <c r="F1441" s="105"/>
      <c r="G1441" s="18"/>
      <c r="H1441" s="18"/>
      <c r="I1441" s="18"/>
      <c r="J1441" s="18"/>
      <c r="K1441" s="18"/>
    </row>
    <row r="1442" spans="1:11" ht="27.75" x14ac:dyDescent="0.55000000000000004">
      <c r="A1442" s="82"/>
      <c r="B1442" s="16"/>
      <c r="C1442" s="104" t="s">
        <v>115</v>
      </c>
      <c r="D1442" s="105"/>
      <c r="E1442" s="104" t="s">
        <v>116</v>
      </c>
      <c r="F1442" s="105"/>
      <c r="G1442" s="105" t="s">
        <v>161</v>
      </c>
      <c r="H1442" s="105"/>
      <c r="I1442" s="105" t="s">
        <v>162</v>
      </c>
      <c r="J1442" s="105"/>
      <c r="K1442" s="18"/>
    </row>
    <row r="1443" spans="1:11" ht="15.75" x14ac:dyDescent="0.25">
      <c r="A1443" s="21" t="s">
        <v>8</v>
      </c>
      <c r="B1443" s="16" t="s">
        <v>32</v>
      </c>
      <c r="C1443" s="40" t="s">
        <v>108</v>
      </c>
      <c r="D1443" s="40" t="s">
        <v>109</v>
      </c>
      <c r="E1443" s="40" t="s">
        <v>108</v>
      </c>
      <c r="F1443" s="40" t="s">
        <v>109</v>
      </c>
      <c r="G1443" s="40" t="s">
        <v>108</v>
      </c>
      <c r="H1443" s="40" t="s">
        <v>117</v>
      </c>
      <c r="I1443" s="40" t="s">
        <v>108</v>
      </c>
      <c r="J1443" s="40" t="s">
        <v>117</v>
      </c>
      <c r="K1443" s="18"/>
    </row>
    <row r="1444" spans="1:11" ht="15" x14ac:dyDescent="0.2">
      <c r="A1444" s="24"/>
      <c r="B1444" s="17"/>
      <c r="C1444" s="43"/>
      <c r="D1444" s="43"/>
      <c r="E1444" s="44"/>
      <c r="F1444" s="44"/>
      <c r="G1444" s="43"/>
      <c r="H1444" s="43"/>
      <c r="I1444" s="43"/>
      <c r="J1444" s="43"/>
      <c r="K1444" s="18"/>
    </row>
    <row r="1445" spans="1:11" s="6" customFormat="1" ht="16.5" customHeight="1" x14ac:dyDescent="0.2">
      <c r="A1445" s="24"/>
      <c r="B1445" s="17"/>
      <c r="C1445" s="43"/>
      <c r="D1445" s="43"/>
      <c r="E1445" s="44"/>
      <c r="F1445" s="44"/>
      <c r="G1445" s="43"/>
      <c r="H1445" s="43"/>
      <c r="I1445" s="43"/>
      <c r="J1445" s="43"/>
      <c r="K1445" s="18"/>
    </row>
    <row r="1446" spans="1:11" s="6" customFormat="1" ht="16.5" customHeight="1" x14ac:dyDescent="0.25">
      <c r="A1446" s="24"/>
      <c r="B1446" s="16" t="s">
        <v>81</v>
      </c>
      <c r="C1446" s="43"/>
      <c r="D1446" s="43"/>
      <c r="E1446" s="44"/>
      <c r="F1446" s="44"/>
      <c r="G1446" s="43"/>
      <c r="H1446" s="43"/>
      <c r="I1446" s="43"/>
      <c r="J1446" s="43"/>
      <c r="K1446" s="18"/>
    </row>
    <row r="1447" spans="1:11" s="6" customFormat="1" ht="15" x14ac:dyDescent="0.2">
      <c r="A1447" s="24">
        <v>2014</v>
      </c>
      <c r="B1447" s="17" t="s">
        <v>12</v>
      </c>
      <c r="C1447" s="45">
        <v>82194.259999999995</v>
      </c>
      <c r="D1447" s="48">
        <v>458177.91</v>
      </c>
      <c r="E1447" s="44">
        <v>388</v>
      </c>
      <c r="F1447" s="44">
        <v>3128</v>
      </c>
      <c r="G1447" s="45">
        <v>85345.18</v>
      </c>
      <c r="H1447" s="45">
        <f>373653.62+344.69</f>
        <v>373998.31</v>
      </c>
      <c r="I1447" s="45">
        <v>51765.33</v>
      </c>
      <c r="J1447" s="45">
        <f>219325.97+393.77</f>
        <v>219719.74</v>
      </c>
      <c r="K1447" s="18"/>
    </row>
    <row r="1448" spans="1:11" s="6" customFormat="1" ht="15" x14ac:dyDescent="0.2">
      <c r="A1448" s="24"/>
      <c r="B1448" s="17" t="s">
        <v>13</v>
      </c>
      <c r="C1448" s="45">
        <v>48030.43</v>
      </c>
      <c r="D1448" s="48">
        <v>325109.5</v>
      </c>
      <c r="E1448" s="44">
        <v>235</v>
      </c>
      <c r="F1448" s="44">
        <v>2050</v>
      </c>
      <c r="G1448" s="45">
        <v>81281.53</v>
      </c>
      <c r="H1448" s="45">
        <f>333381.34+529.16</f>
        <v>333910.5</v>
      </c>
      <c r="I1448" s="45">
        <v>44257.120000000003</v>
      </c>
      <c r="J1448" s="45">
        <f>190864.63+529.51</f>
        <v>191394.14</v>
      </c>
      <c r="K1448" s="18"/>
    </row>
    <row r="1449" spans="1:11" s="6" customFormat="1" ht="16.5" customHeight="1" x14ac:dyDescent="0.2">
      <c r="A1449" s="24"/>
      <c r="B1449" s="17" t="s">
        <v>14</v>
      </c>
      <c r="C1449" s="43">
        <v>62797.67</v>
      </c>
      <c r="D1449" s="43">
        <v>445493.67</v>
      </c>
      <c r="E1449" s="44">
        <v>273</v>
      </c>
      <c r="F1449" s="44">
        <v>2597</v>
      </c>
      <c r="G1449" s="43">
        <v>92220.55</v>
      </c>
      <c r="H1449" s="43">
        <f>370356.86+391.78</f>
        <v>370748.64</v>
      </c>
      <c r="I1449" s="43">
        <v>37843.870000000003</v>
      </c>
      <c r="J1449" s="43">
        <f>209228.96+462.18</f>
        <v>209691.13999999998</v>
      </c>
      <c r="K1449" s="18"/>
    </row>
    <row r="1450" spans="1:11" s="6" customFormat="1" ht="16.5" customHeight="1" x14ac:dyDescent="0.2">
      <c r="A1450" s="24"/>
      <c r="B1450" s="17"/>
      <c r="C1450" s="43"/>
      <c r="D1450" s="43"/>
      <c r="E1450" s="44"/>
      <c r="F1450" s="44"/>
      <c r="G1450" s="43"/>
      <c r="H1450" s="43"/>
      <c r="I1450" s="43"/>
      <c r="J1450" s="43"/>
      <c r="K1450" s="18"/>
    </row>
    <row r="1451" spans="1:11" s="6" customFormat="1" ht="16.5" customHeight="1" x14ac:dyDescent="0.25">
      <c r="A1451" s="24"/>
      <c r="B1451" s="16" t="s">
        <v>82</v>
      </c>
      <c r="C1451" s="43"/>
      <c r="D1451" s="43"/>
      <c r="E1451" s="44"/>
      <c r="F1451" s="44"/>
      <c r="G1451" s="43"/>
      <c r="H1451" s="43"/>
      <c r="I1451" s="43"/>
      <c r="J1451" s="43"/>
      <c r="K1451" s="18"/>
    </row>
    <row r="1452" spans="1:11" s="6" customFormat="1" ht="15" x14ac:dyDescent="0.2">
      <c r="A1452" s="24">
        <v>2015</v>
      </c>
      <c r="B1452" s="17" t="s">
        <v>15</v>
      </c>
      <c r="C1452" s="45">
        <v>45217.38</v>
      </c>
      <c r="D1452" s="48">
        <v>318682.21000000002</v>
      </c>
      <c r="E1452" s="44">
        <v>237</v>
      </c>
      <c r="F1452" s="44">
        <v>2365</v>
      </c>
      <c r="G1452" s="45">
        <v>98323.15</v>
      </c>
      <c r="H1452" s="45">
        <f>396792.96+1114.03</f>
        <v>397906.99000000005</v>
      </c>
      <c r="I1452" s="45">
        <v>41363.86</v>
      </c>
      <c r="J1452" s="45">
        <f>203161.36+1125.97</f>
        <v>204287.33</v>
      </c>
      <c r="K1452" s="18"/>
    </row>
    <row r="1453" spans="1:11" s="6" customFormat="1" ht="15" x14ac:dyDescent="0.2">
      <c r="A1453" s="24"/>
      <c r="B1453" s="17" t="s">
        <v>118</v>
      </c>
      <c r="C1453" s="45">
        <v>44313.43</v>
      </c>
      <c r="D1453" s="48">
        <v>325452.46000000002</v>
      </c>
      <c r="E1453" s="44">
        <v>170</v>
      </c>
      <c r="F1453" s="44">
        <v>2026</v>
      </c>
      <c r="G1453" s="45">
        <v>87534.04</v>
      </c>
      <c r="H1453" s="45">
        <f>424481.72+57.56</f>
        <v>424539.27999999997</v>
      </c>
      <c r="I1453" s="45">
        <v>34574.660000000003</v>
      </c>
      <c r="J1453" s="45">
        <f>169743.75+369.56</f>
        <v>170113.31</v>
      </c>
      <c r="K1453" s="18"/>
    </row>
    <row r="1454" spans="1:11" s="6" customFormat="1" ht="16.5" customHeight="1" x14ac:dyDescent="0.2">
      <c r="A1454" s="24"/>
      <c r="B1454" s="17" t="s">
        <v>120</v>
      </c>
      <c r="C1454" s="43">
        <v>63710.23</v>
      </c>
      <c r="D1454" s="43">
        <v>396912.04</v>
      </c>
      <c r="E1454" s="44">
        <v>227</v>
      </c>
      <c r="F1454" s="44">
        <v>2197</v>
      </c>
      <c r="G1454" s="43">
        <v>93402.92</v>
      </c>
      <c r="H1454" s="43">
        <f>466955.69+823.78</f>
        <v>467779.47000000003</v>
      </c>
      <c r="I1454" s="43">
        <v>50286.36</v>
      </c>
      <c r="J1454" s="43">
        <f>272188.18+928.68</f>
        <v>273116.86</v>
      </c>
      <c r="K1454" s="18"/>
    </row>
    <row r="1455" spans="1:11" s="6" customFormat="1" ht="16.5" customHeight="1" x14ac:dyDescent="0.2">
      <c r="A1455" s="24"/>
      <c r="B1455" s="17"/>
      <c r="C1455" s="43"/>
      <c r="D1455" s="43"/>
      <c r="E1455" s="44"/>
      <c r="F1455" s="44"/>
      <c r="G1455" s="43"/>
      <c r="H1455" s="43"/>
      <c r="I1455" s="43"/>
      <c r="J1455" s="43"/>
      <c r="K1455" s="18"/>
    </row>
    <row r="1456" spans="1:11" s="6" customFormat="1" ht="16.5" customHeight="1" x14ac:dyDescent="0.25">
      <c r="A1456" s="24"/>
      <c r="B1456" s="16" t="s">
        <v>83</v>
      </c>
      <c r="C1456" s="43"/>
      <c r="D1456" s="43"/>
      <c r="E1456" s="44"/>
      <c r="F1456" s="44"/>
      <c r="G1456" s="43"/>
      <c r="H1456" s="43"/>
      <c r="I1456" s="43"/>
      <c r="J1456" s="43"/>
      <c r="K1456" s="18"/>
    </row>
    <row r="1457" spans="1:11" s="6" customFormat="1" ht="15" x14ac:dyDescent="0.2">
      <c r="A1457" s="24" t="s">
        <v>19</v>
      </c>
      <c r="B1457" s="17" t="s">
        <v>20</v>
      </c>
      <c r="C1457" s="45">
        <v>49867.06</v>
      </c>
      <c r="D1457" s="48">
        <v>337859.1</v>
      </c>
      <c r="E1457" s="44">
        <v>231</v>
      </c>
      <c r="F1457" s="44">
        <v>2373</v>
      </c>
      <c r="G1457" s="45">
        <v>81347.259999999995</v>
      </c>
      <c r="H1457" s="45">
        <f>387281.01+53.5</f>
        <v>387334.51</v>
      </c>
      <c r="I1457" s="45">
        <v>27695.39</v>
      </c>
      <c r="J1457" s="45">
        <f>167286.32+187.34</f>
        <v>167473.66</v>
      </c>
      <c r="K1457" s="18"/>
    </row>
    <row r="1458" spans="1:11" s="6" customFormat="1" ht="15" x14ac:dyDescent="0.2">
      <c r="A1458" s="24"/>
      <c r="B1458" s="17" t="s">
        <v>21</v>
      </c>
      <c r="C1458" s="45">
        <v>51808.2</v>
      </c>
      <c r="D1458" s="48">
        <v>298345.82</v>
      </c>
      <c r="E1458" s="44">
        <v>227</v>
      </c>
      <c r="F1458" s="44">
        <v>2137</v>
      </c>
      <c r="G1458" s="45">
        <v>86023.92</v>
      </c>
      <c r="H1458" s="45">
        <f>432815.58+257.28</f>
        <v>433072.86000000004</v>
      </c>
      <c r="I1458" s="45">
        <v>55201.32</v>
      </c>
      <c r="J1458" s="45">
        <f>246425.58+314.23</f>
        <v>246739.81</v>
      </c>
      <c r="K1458" s="18"/>
    </row>
    <row r="1459" spans="1:11" s="6" customFormat="1" ht="16.5" customHeight="1" x14ac:dyDescent="0.2">
      <c r="A1459" s="24"/>
      <c r="B1459" s="17" t="s">
        <v>22</v>
      </c>
      <c r="C1459" s="43">
        <v>47382.33</v>
      </c>
      <c r="D1459" s="43">
        <v>300324.19</v>
      </c>
      <c r="E1459" s="44">
        <v>236</v>
      </c>
      <c r="F1459" s="44">
        <v>2263</v>
      </c>
      <c r="G1459" s="43">
        <v>65967.62</v>
      </c>
      <c r="H1459" s="43">
        <f>349250.9+99.32</f>
        <v>349350.22000000003</v>
      </c>
      <c r="I1459" s="43">
        <v>44452.45</v>
      </c>
      <c r="J1459" s="43">
        <f>219290.79+358.76</f>
        <v>219649.55000000002</v>
      </c>
      <c r="K1459" s="18"/>
    </row>
    <row r="1460" spans="1:11" s="6" customFormat="1" ht="16.5" customHeight="1" x14ac:dyDescent="0.2">
      <c r="A1460" s="24"/>
      <c r="B1460" s="17"/>
      <c r="C1460" s="43"/>
      <c r="D1460" s="43"/>
      <c r="E1460" s="44"/>
      <c r="F1460" s="44"/>
      <c r="G1460" s="43"/>
      <c r="H1460" s="43"/>
      <c r="I1460" s="43"/>
      <c r="J1460" s="43"/>
      <c r="K1460" s="18"/>
    </row>
    <row r="1461" spans="1:11" s="6" customFormat="1" ht="16.5" customHeight="1" x14ac:dyDescent="0.25">
      <c r="A1461" s="24"/>
      <c r="B1461" s="16" t="s">
        <v>84</v>
      </c>
      <c r="C1461" s="43"/>
      <c r="D1461" s="43"/>
      <c r="E1461" s="44"/>
      <c r="F1461" s="44"/>
      <c r="G1461" s="43"/>
      <c r="H1461" s="43"/>
      <c r="I1461" s="43"/>
      <c r="J1461" s="43"/>
      <c r="K1461" s="18"/>
    </row>
    <row r="1462" spans="1:11" s="6" customFormat="1" ht="15" x14ac:dyDescent="0.2">
      <c r="A1462" s="24" t="s">
        <v>19</v>
      </c>
      <c r="B1462" s="17" t="s">
        <v>24</v>
      </c>
      <c r="C1462" s="45">
        <v>49418.17</v>
      </c>
      <c r="D1462" s="48">
        <v>271323.01</v>
      </c>
      <c r="E1462" s="44">
        <v>285</v>
      </c>
      <c r="F1462" s="44">
        <v>2511</v>
      </c>
      <c r="G1462" s="45">
        <v>79773.11</v>
      </c>
      <c r="H1462" s="45">
        <f>368707.02</f>
        <v>368707.02</v>
      </c>
      <c r="I1462" s="45">
        <v>45700.57</v>
      </c>
      <c r="J1462" s="45">
        <f>208852.76+288.66</f>
        <v>209141.42</v>
      </c>
      <c r="K1462" s="18"/>
    </row>
    <row r="1463" spans="1:11" s="6" customFormat="1" ht="15" x14ac:dyDescent="0.2">
      <c r="A1463" s="24"/>
      <c r="B1463" s="17" t="s">
        <v>25</v>
      </c>
      <c r="C1463" s="45">
        <v>63378.98</v>
      </c>
      <c r="D1463" s="48">
        <v>350847.92</v>
      </c>
      <c r="E1463" s="44">
        <v>320</v>
      </c>
      <c r="F1463" s="44">
        <v>2524</v>
      </c>
      <c r="G1463" s="45">
        <v>70402.38</v>
      </c>
      <c r="H1463" s="45">
        <f>414660.87+795.91</f>
        <v>415456.77999999997</v>
      </c>
      <c r="I1463" s="45">
        <v>26477.599999999999</v>
      </c>
      <c r="J1463" s="45">
        <f>189009.83+795.97</f>
        <v>189805.8</v>
      </c>
      <c r="K1463" s="18"/>
    </row>
    <row r="1464" spans="1:11" s="6" customFormat="1" ht="16.5" customHeight="1" x14ac:dyDescent="0.2">
      <c r="A1464" s="24"/>
      <c r="B1464" s="17" t="s">
        <v>11</v>
      </c>
      <c r="C1464" s="43">
        <v>70197.7</v>
      </c>
      <c r="D1464" s="43">
        <v>520264.4</v>
      </c>
      <c r="E1464" s="44">
        <v>310</v>
      </c>
      <c r="F1464" s="44">
        <v>2847</v>
      </c>
      <c r="G1464" s="43">
        <v>73240.289999999994</v>
      </c>
      <c r="H1464" s="43">
        <f>394025.25+2280.18</f>
        <v>396305.43</v>
      </c>
      <c r="I1464" s="43">
        <v>47064.01</v>
      </c>
      <c r="J1464" s="43">
        <f>229348.13+2016.74</f>
        <v>231364.87</v>
      </c>
      <c r="K1464" s="18"/>
    </row>
    <row r="1465" spans="1:11" s="6" customFormat="1" ht="16.5" customHeight="1" x14ac:dyDescent="0.2">
      <c r="A1465" s="24"/>
      <c r="B1465" s="17"/>
      <c r="C1465" s="43"/>
      <c r="D1465" s="43"/>
      <c r="E1465" s="44"/>
      <c r="F1465" s="44"/>
      <c r="G1465" s="43"/>
      <c r="H1465" s="43"/>
      <c r="I1465" s="43"/>
      <c r="J1465" s="43"/>
      <c r="K1465" s="18"/>
    </row>
    <row r="1466" spans="1:11" s="6" customFormat="1" ht="16.5" customHeight="1" x14ac:dyDescent="0.25">
      <c r="A1466" s="24"/>
      <c r="B1466" s="16" t="s">
        <v>85</v>
      </c>
      <c r="C1466" s="43"/>
      <c r="D1466" s="43"/>
      <c r="E1466" s="44"/>
      <c r="F1466" s="44"/>
      <c r="G1466" s="43"/>
      <c r="H1466" s="43"/>
      <c r="I1466" s="43"/>
      <c r="J1466" s="43"/>
      <c r="K1466" s="18"/>
    </row>
    <row r="1467" spans="1:11" s="6" customFormat="1" ht="15" x14ac:dyDescent="0.2">
      <c r="A1467" s="24" t="s">
        <v>19</v>
      </c>
      <c r="B1467" s="17" t="s">
        <v>12</v>
      </c>
      <c r="C1467" s="45">
        <v>72861.009999999995</v>
      </c>
      <c r="D1467" s="48">
        <v>494523.57</v>
      </c>
      <c r="E1467" s="44">
        <v>336</v>
      </c>
      <c r="F1467" s="44">
        <v>2987</v>
      </c>
      <c r="G1467" s="45">
        <v>81125.39</v>
      </c>
      <c r="H1467" s="45">
        <f>426306.25+2714.79</f>
        <v>429021.04</v>
      </c>
      <c r="I1467" s="45">
        <v>42459.38</v>
      </c>
      <c r="J1467" s="45">
        <f>236753.71+2714.79</f>
        <v>239468.5</v>
      </c>
      <c r="K1467" s="18"/>
    </row>
    <row r="1468" spans="1:11" s="6" customFormat="1" ht="15" x14ac:dyDescent="0.2">
      <c r="A1468" s="24"/>
      <c r="B1468" s="17" t="s">
        <v>13</v>
      </c>
      <c r="C1468" s="45">
        <v>45972.14</v>
      </c>
      <c r="D1468" s="48">
        <v>411360.06</v>
      </c>
      <c r="E1468" s="44">
        <v>220</v>
      </c>
      <c r="F1468" s="44">
        <v>2210</v>
      </c>
      <c r="G1468" s="45">
        <v>80107.19</v>
      </c>
      <c r="H1468" s="45">
        <f>375776.78+1153.87</f>
        <v>376930.65</v>
      </c>
      <c r="I1468" s="45">
        <v>42693.89</v>
      </c>
      <c r="J1468" s="45">
        <f>201795.87+1313.85</f>
        <v>203109.72</v>
      </c>
      <c r="K1468" s="18"/>
    </row>
    <row r="1469" spans="1:11" s="6" customFormat="1" ht="16.5" customHeight="1" x14ac:dyDescent="0.2">
      <c r="A1469" s="24"/>
      <c r="B1469" s="17" t="s">
        <v>14</v>
      </c>
      <c r="C1469" s="43">
        <v>57085.440000000002</v>
      </c>
      <c r="D1469" s="43">
        <v>502150.43</v>
      </c>
      <c r="E1469" s="44">
        <v>237</v>
      </c>
      <c r="F1469" s="44">
        <v>2604</v>
      </c>
      <c r="G1469" s="43">
        <v>76535.8</v>
      </c>
      <c r="H1469" s="43">
        <f>340974.22+1321.93</f>
        <v>342296.14999999997</v>
      </c>
      <c r="I1469" s="43">
        <v>41547.129999999997</v>
      </c>
      <c r="J1469" s="43">
        <f>209796.56+1004.29</f>
        <v>210800.85</v>
      </c>
      <c r="K1469" s="18"/>
    </row>
    <row r="1470" spans="1:11" s="6" customFormat="1" ht="16.5" customHeight="1" x14ac:dyDescent="0.2">
      <c r="A1470" s="24"/>
      <c r="B1470" s="17"/>
      <c r="C1470" s="43"/>
      <c r="D1470" s="43"/>
      <c r="E1470" s="44"/>
      <c r="F1470" s="44"/>
      <c r="G1470" s="43"/>
      <c r="H1470" s="43"/>
      <c r="I1470" s="43" t="s">
        <v>19</v>
      </c>
      <c r="J1470" s="43"/>
      <c r="K1470" s="18"/>
    </row>
    <row r="1471" spans="1:11" s="6" customFormat="1" ht="16.5" customHeight="1" x14ac:dyDescent="0.25">
      <c r="A1471" s="24"/>
      <c r="B1471" s="16" t="s">
        <v>86</v>
      </c>
      <c r="C1471" s="43"/>
      <c r="D1471" s="43"/>
      <c r="E1471" s="44"/>
      <c r="F1471" s="44"/>
      <c r="G1471" s="43"/>
      <c r="H1471" s="43"/>
      <c r="I1471" s="43"/>
      <c r="J1471" s="43"/>
      <c r="K1471" s="18"/>
    </row>
    <row r="1472" spans="1:11" s="6" customFormat="1" ht="15" x14ac:dyDescent="0.2">
      <c r="A1472" s="24">
        <v>2016</v>
      </c>
      <c r="B1472" s="17" t="s">
        <v>15</v>
      </c>
      <c r="C1472" s="45">
        <v>41208.47</v>
      </c>
      <c r="D1472" s="48">
        <v>329133.18</v>
      </c>
      <c r="E1472" s="44">
        <v>197</v>
      </c>
      <c r="F1472" s="44">
        <v>2134</v>
      </c>
      <c r="G1472" s="45">
        <v>93433.53</v>
      </c>
      <c r="H1472" s="45">
        <f>401948.41+472.79</f>
        <v>402421.19999999995</v>
      </c>
      <c r="I1472" s="45">
        <v>42150.3</v>
      </c>
      <c r="J1472" s="45">
        <f>177310.56+680.48</f>
        <v>177991.04000000001</v>
      </c>
      <c r="K1472" s="18"/>
    </row>
    <row r="1473" spans="1:11" s="6" customFormat="1" ht="15" x14ac:dyDescent="0.2">
      <c r="A1473" s="24"/>
      <c r="B1473" s="17" t="s">
        <v>118</v>
      </c>
      <c r="C1473" s="45">
        <v>30471.25</v>
      </c>
      <c r="D1473" s="48">
        <v>310597.17</v>
      </c>
      <c r="E1473" s="44">
        <v>162</v>
      </c>
      <c r="F1473" s="44">
        <v>1843</v>
      </c>
      <c r="G1473" s="45">
        <v>73799.75</v>
      </c>
      <c r="H1473" s="45">
        <f>412200.1+1162.24</f>
        <v>413362.33999999997</v>
      </c>
      <c r="I1473" s="45">
        <v>33562.949999999997</v>
      </c>
      <c r="J1473" s="45">
        <f>208037.8+1202.71</f>
        <v>209240.50999999998</v>
      </c>
      <c r="K1473" s="18"/>
    </row>
    <row r="1474" spans="1:11" s="6" customFormat="1" ht="16.5" customHeight="1" x14ac:dyDescent="0.2">
      <c r="A1474" s="24"/>
      <c r="B1474" s="17" t="s">
        <v>120</v>
      </c>
      <c r="C1474" s="43">
        <v>66110.87</v>
      </c>
      <c r="D1474" s="43">
        <v>462638</v>
      </c>
      <c r="E1474" s="44">
        <v>189</v>
      </c>
      <c r="F1474" s="44">
        <v>2318</v>
      </c>
      <c r="G1474" s="43">
        <v>93930.42</v>
      </c>
      <c r="H1474" s="43">
        <f>515093.23+740.39</f>
        <v>515833.62</v>
      </c>
      <c r="I1474" s="43">
        <v>41788.480000000003</v>
      </c>
      <c r="J1474" s="43">
        <f>250598.93+785.69</f>
        <v>251384.62</v>
      </c>
      <c r="K1474" s="18"/>
    </row>
    <row r="1475" spans="1:11" s="6" customFormat="1" ht="16.5" customHeight="1" x14ac:dyDescent="0.25">
      <c r="A1475" s="24"/>
      <c r="B1475" s="16" t="s">
        <v>87</v>
      </c>
      <c r="C1475" s="43"/>
      <c r="D1475" s="43"/>
      <c r="E1475" s="44"/>
      <c r="F1475" s="44"/>
      <c r="G1475" s="43"/>
      <c r="H1475" s="43"/>
      <c r="I1475" s="43"/>
      <c r="J1475" s="43"/>
      <c r="K1475" s="18"/>
    </row>
    <row r="1476" spans="1:11" s="6" customFormat="1" ht="15" x14ac:dyDescent="0.2">
      <c r="A1476" s="24" t="s">
        <v>19</v>
      </c>
      <c r="B1476" s="17" t="s">
        <v>20</v>
      </c>
      <c r="C1476" s="45">
        <v>51035.93</v>
      </c>
      <c r="D1476" s="48">
        <f>1080.91+371051.02</f>
        <v>372131.93</v>
      </c>
      <c r="E1476" s="44">
        <v>195</v>
      </c>
      <c r="F1476" s="44">
        <f>6+2174</f>
        <v>2180</v>
      </c>
      <c r="G1476" s="45">
        <v>86050.44</v>
      </c>
      <c r="H1476" s="45">
        <f>1064.66+527448.99+584.29</f>
        <v>529097.94000000006</v>
      </c>
      <c r="I1476" s="45">
        <v>43863.02</v>
      </c>
      <c r="J1476" s="45">
        <f>377.07+245660.52+673.12</f>
        <v>246710.71</v>
      </c>
      <c r="K1476" s="18"/>
    </row>
    <row r="1477" spans="1:11" s="6" customFormat="1" ht="15" x14ac:dyDescent="0.2">
      <c r="A1477" s="24"/>
      <c r="B1477" s="17" t="s">
        <v>21</v>
      </c>
      <c r="C1477" s="45">
        <v>60768.18</v>
      </c>
      <c r="D1477" s="48">
        <f>814.97+415877.88</f>
        <v>416692.85</v>
      </c>
      <c r="E1477" s="44">
        <v>218</v>
      </c>
      <c r="F1477" s="44">
        <f>8+2312</f>
        <v>2320</v>
      </c>
      <c r="G1477" s="45">
        <v>86810.44</v>
      </c>
      <c r="H1477" s="45">
        <f>1156.18+425165.01+589.54</f>
        <v>426910.73</v>
      </c>
      <c r="I1477" s="45">
        <v>39564.85</v>
      </c>
      <c r="J1477" s="45">
        <f>339+203489.86+589.54</f>
        <v>204418.4</v>
      </c>
      <c r="K1477" s="18"/>
    </row>
    <row r="1478" spans="1:11" s="6" customFormat="1" ht="16.5" customHeight="1" x14ac:dyDescent="0.2">
      <c r="A1478" s="24"/>
      <c r="B1478" s="17" t="s">
        <v>22</v>
      </c>
      <c r="C1478" s="43">
        <v>61931.13</v>
      </c>
      <c r="D1478" s="43">
        <f>3646.11+370098.57</f>
        <v>373744.68</v>
      </c>
      <c r="E1478" s="44">
        <v>226</v>
      </c>
      <c r="F1478" s="44">
        <f>10+2485</f>
        <v>2495</v>
      </c>
      <c r="G1478" s="43">
        <v>64888.18</v>
      </c>
      <c r="H1478" s="43">
        <f>296.47+391330.09</f>
        <v>391626.56</v>
      </c>
      <c r="I1478" s="43">
        <v>36104.15</v>
      </c>
      <c r="J1478" s="43">
        <f>195.94+212796.27</f>
        <v>212992.21</v>
      </c>
      <c r="K1478" s="18"/>
    </row>
    <row r="1479" spans="1:11" ht="15" x14ac:dyDescent="0.2">
      <c r="A1479" s="24"/>
      <c r="B1479" s="17"/>
      <c r="C1479" s="43"/>
      <c r="D1479" s="43"/>
      <c r="E1479" s="44"/>
      <c r="F1479" s="44"/>
      <c r="G1479" s="43"/>
      <c r="H1479" s="43"/>
      <c r="I1479" s="43"/>
      <c r="J1479" s="43"/>
      <c r="K1479" s="18"/>
    </row>
    <row r="1480" spans="1:11" s="6" customFormat="1" ht="16.5" customHeight="1" x14ac:dyDescent="0.25">
      <c r="A1480" s="24"/>
      <c r="B1480" s="16" t="s">
        <v>88</v>
      </c>
      <c r="C1480" s="43"/>
      <c r="D1480" s="43"/>
      <c r="E1480" s="44"/>
      <c r="F1480" s="44"/>
      <c r="G1480" s="43"/>
      <c r="H1480" s="43"/>
      <c r="I1480" s="43"/>
      <c r="J1480" s="43"/>
      <c r="K1480" s="18"/>
    </row>
    <row r="1481" spans="1:11" s="6" customFormat="1" ht="15" x14ac:dyDescent="0.2">
      <c r="A1481" s="24" t="s">
        <v>19</v>
      </c>
      <c r="B1481" s="17" t="s">
        <v>24</v>
      </c>
      <c r="C1481" s="45">
        <v>65733.91</v>
      </c>
      <c r="D1481" s="48">
        <f>303140.25+624.66</f>
        <v>303764.90999999997</v>
      </c>
      <c r="E1481" s="44">
        <v>231</v>
      </c>
      <c r="F1481" s="44">
        <f>2487+7</f>
        <v>2494</v>
      </c>
      <c r="G1481" s="45">
        <v>63930.05</v>
      </c>
      <c r="H1481" s="45">
        <f>414656.19+751.33+596.94</f>
        <v>416004.46</v>
      </c>
      <c r="I1481" s="45">
        <v>47668.05</v>
      </c>
      <c r="J1481" s="45">
        <f>221009.07+829.05+96.78</f>
        <v>221934.9</v>
      </c>
      <c r="K1481" s="18"/>
    </row>
    <row r="1482" spans="1:11" s="6" customFormat="1" ht="15" x14ac:dyDescent="0.2">
      <c r="A1482" s="24"/>
      <c r="B1482" s="17" t="s">
        <v>25</v>
      </c>
      <c r="C1482" s="45">
        <v>70141.27</v>
      </c>
      <c r="D1482" s="48">
        <f>428157.9+501.46</f>
        <v>428659.36000000004</v>
      </c>
      <c r="E1482" s="44">
        <v>320</v>
      </c>
      <c r="F1482" s="44">
        <f>2817+5</f>
        <v>2822</v>
      </c>
      <c r="G1482" s="45">
        <v>63461.56</v>
      </c>
      <c r="H1482" s="45">
        <f>453600.94+55.54+1671.21</f>
        <v>455327.69</v>
      </c>
      <c r="I1482" s="45">
        <v>36125.949999999997</v>
      </c>
      <c r="J1482" s="45">
        <f>213158.94+55.54+181.35</f>
        <v>213395.83000000002</v>
      </c>
      <c r="K1482" s="18"/>
    </row>
    <row r="1483" spans="1:11" s="6" customFormat="1" ht="16.5" customHeight="1" x14ac:dyDescent="0.2">
      <c r="A1483" s="24"/>
      <c r="B1483" s="17" t="s">
        <v>11</v>
      </c>
      <c r="C1483" s="43">
        <v>86583.31</v>
      </c>
      <c r="D1483" s="43">
        <f>640010.72+1601.62</f>
        <v>641612.34</v>
      </c>
      <c r="E1483" s="44">
        <v>306</v>
      </c>
      <c r="F1483" s="44">
        <f>3288+13</f>
        <v>3301</v>
      </c>
      <c r="G1483" s="43">
        <v>73662.42</v>
      </c>
      <c r="H1483" s="43">
        <f>428339.37+210.97+517.43</f>
        <v>429067.76999999996</v>
      </c>
      <c r="I1483" s="43">
        <v>31599.48</v>
      </c>
      <c r="J1483" s="43">
        <f>193664.46+210.97+685.72</f>
        <v>194561.15</v>
      </c>
      <c r="K1483" s="18"/>
    </row>
    <row r="1484" spans="1:11" ht="15" x14ac:dyDescent="0.2">
      <c r="A1484" s="24"/>
      <c r="B1484" s="17"/>
      <c r="C1484" s="43"/>
      <c r="D1484" s="43"/>
      <c r="E1484" s="44"/>
      <c r="F1484" s="44"/>
      <c r="G1484" s="43"/>
      <c r="H1484" s="43"/>
      <c r="I1484" s="43"/>
      <c r="J1484" s="43"/>
      <c r="K1484" s="18"/>
    </row>
    <row r="1485" spans="1:11" s="6" customFormat="1" ht="16.5" customHeight="1" x14ac:dyDescent="0.25">
      <c r="A1485" s="24"/>
      <c r="B1485" s="16" t="s">
        <v>89</v>
      </c>
      <c r="C1485" s="43"/>
      <c r="D1485" s="43"/>
      <c r="E1485" s="44"/>
      <c r="F1485" s="44"/>
      <c r="G1485" s="43"/>
      <c r="H1485" s="43"/>
      <c r="I1485" s="43"/>
      <c r="J1485" s="43"/>
      <c r="K1485" s="18"/>
    </row>
    <row r="1486" spans="1:11" s="6" customFormat="1" ht="15" x14ac:dyDescent="0.2">
      <c r="A1486" s="24" t="s">
        <v>19</v>
      </c>
      <c r="B1486" s="17" t="s">
        <v>12</v>
      </c>
      <c r="C1486" s="45">
        <v>65496.800000000003</v>
      </c>
      <c r="D1486" s="48">
        <f>2330.12+529085.65</f>
        <v>531415.77</v>
      </c>
      <c r="E1486" s="44">
        <v>258</v>
      </c>
      <c r="F1486" s="44">
        <f>3109+10</f>
        <v>3119</v>
      </c>
      <c r="G1486" s="45">
        <v>96764.73</v>
      </c>
      <c r="H1486" s="45">
        <f>2359.22+475069.1+574.11</f>
        <v>478002.42999999993</v>
      </c>
      <c r="I1486" s="45">
        <v>49403.14</v>
      </c>
      <c r="J1486" s="45">
        <f>1099.81+230081.41+592.6</f>
        <v>231773.82</v>
      </c>
      <c r="K1486" s="18"/>
    </row>
    <row r="1487" spans="1:11" s="6" customFormat="1" ht="15" x14ac:dyDescent="0.2">
      <c r="A1487" s="24"/>
      <c r="B1487" s="17" t="s">
        <v>13</v>
      </c>
      <c r="C1487" s="45">
        <v>55291.61</v>
      </c>
      <c r="D1487" s="48">
        <f>2711.7+442865.1</f>
        <v>445576.8</v>
      </c>
      <c r="E1487" s="44">
        <v>207</v>
      </c>
      <c r="F1487" s="44">
        <f>2396+12</f>
        <v>2408</v>
      </c>
      <c r="G1487" s="45">
        <v>77512.679999999993</v>
      </c>
      <c r="H1487" s="45">
        <f>1956.65+391914.95+787.74</f>
        <v>394659.34</v>
      </c>
      <c r="I1487" s="45">
        <v>39931.660000000003</v>
      </c>
      <c r="J1487" s="45">
        <f>377.09+193154.59+839.48</f>
        <v>194371.16</v>
      </c>
      <c r="K1487" s="18"/>
    </row>
    <row r="1488" spans="1:11" s="6" customFormat="1" ht="16.5" customHeight="1" x14ac:dyDescent="0.2">
      <c r="A1488" s="24"/>
      <c r="B1488" s="17" t="s">
        <v>14</v>
      </c>
      <c r="C1488" s="43">
        <v>56000.95</v>
      </c>
      <c r="D1488" s="43">
        <f>2715.71+488315.14</f>
        <v>491030.85000000003</v>
      </c>
      <c r="E1488" s="44">
        <v>232</v>
      </c>
      <c r="F1488" s="44">
        <f>2567+16</f>
        <v>2583</v>
      </c>
      <c r="G1488" s="43">
        <v>83976.04</v>
      </c>
      <c r="H1488" s="43">
        <f>505.19+404672.34+255.73</f>
        <v>405433.26</v>
      </c>
      <c r="I1488" s="43">
        <v>40730.5</v>
      </c>
      <c r="J1488" s="43">
        <f>58.55+190044.7+522.15</f>
        <v>190625.4</v>
      </c>
      <c r="K1488" s="18"/>
    </row>
    <row r="1489" spans="1:11" ht="15" x14ac:dyDescent="0.2">
      <c r="A1489" s="24"/>
      <c r="B1489" s="17"/>
      <c r="C1489" s="43"/>
      <c r="D1489" s="43"/>
      <c r="E1489" s="44"/>
      <c r="F1489" s="44"/>
      <c r="G1489" s="43"/>
      <c r="H1489" s="43"/>
      <c r="I1489" s="43"/>
      <c r="J1489" s="43"/>
      <c r="K1489" s="18"/>
    </row>
    <row r="1490" spans="1:11" ht="16.5" customHeight="1" x14ac:dyDescent="0.25">
      <c r="A1490" s="24" t="s">
        <v>19</v>
      </c>
      <c r="B1490" s="16" t="s">
        <v>90</v>
      </c>
      <c r="C1490" s="43"/>
      <c r="D1490" s="43"/>
      <c r="E1490" s="44"/>
      <c r="F1490" s="44"/>
      <c r="G1490" s="43"/>
      <c r="H1490" s="43"/>
      <c r="I1490" s="43"/>
      <c r="J1490" s="43"/>
      <c r="K1490" s="18"/>
    </row>
    <row r="1491" spans="1:11" ht="15" x14ac:dyDescent="0.2">
      <c r="A1491" s="24">
        <v>2017</v>
      </c>
      <c r="B1491" s="17" t="s">
        <v>15</v>
      </c>
      <c r="C1491" s="45">
        <v>43938.76</v>
      </c>
      <c r="D1491" s="48">
        <f>2340.3+359432.68</f>
        <v>361772.98</v>
      </c>
      <c r="E1491" s="44">
        <v>250</v>
      </c>
      <c r="F1491" s="44">
        <f>2648+22</f>
        <v>2670</v>
      </c>
      <c r="G1491" s="45">
        <v>80678.600000000006</v>
      </c>
      <c r="H1491" s="45">
        <f>1354.48+424860.61+95.4</f>
        <v>426310.49</v>
      </c>
      <c r="I1491" s="45">
        <f>31257.5</f>
        <v>31257.5</v>
      </c>
      <c r="J1491" s="45">
        <f>861.83+190174.28+95.4</f>
        <v>191131.50999999998</v>
      </c>
      <c r="K1491" s="18"/>
    </row>
    <row r="1492" spans="1:11" ht="15" x14ac:dyDescent="0.2">
      <c r="A1492" s="24"/>
      <c r="B1492" s="17" t="s">
        <v>118</v>
      </c>
      <c r="C1492" s="45">
        <v>38234.559999999998</v>
      </c>
      <c r="D1492" s="48">
        <f>1055.65+302022.69</f>
        <v>303078.34000000003</v>
      </c>
      <c r="E1492" s="44">
        <v>152</v>
      </c>
      <c r="F1492" s="44">
        <f>2019+5</f>
        <v>2024</v>
      </c>
      <c r="G1492" s="45">
        <v>90895.42</v>
      </c>
      <c r="H1492" s="45">
        <f>643.44+522347.12+714.54</f>
        <v>523705.1</v>
      </c>
      <c r="I1492" s="45">
        <v>37863.71</v>
      </c>
      <c r="J1492" s="45">
        <f>565.47+208978.4+714.54</f>
        <v>210258.41</v>
      </c>
      <c r="K1492" s="18"/>
    </row>
    <row r="1493" spans="1:11" ht="16.5" customHeight="1" x14ac:dyDescent="0.2">
      <c r="A1493" s="24"/>
      <c r="B1493" s="17" t="s">
        <v>120</v>
      </c>
      <c r="C1493" s="43">
        <v>47677.48</v>
      </c>
      <c r="D1493" s="43">
        <f>478636.93+3152.87</f>
        <v>481789.8</v>
      </c>
      <c r="E1493" s="44">
        <v>155</v>
      </c>
      <c r="F1493" s="44">
        <f>2384+16</f>
        <v>2400</v>
      </c>
      <c r="G1493" s="43">
        <v>90331.22</v>
      </c>
      <c r="H1493" s="43">
        <f>2070.77+545864.36+1152.46</f>
        <v>549087.59</v>
      </c>
      <c r="I1493" s="43">
        <v>41813.440000000002</v>
      </c>
      <c r="J1493" s="43">
        <f>264057+934.97+1152.46</f>
        <v>266144.43</v>
      </c>
      <c r="K1493" s="18"/>
    </row>
    <row r="1494" spans="1:11" ht="15.75" x14ac:dyDescent="0.25">
      <c r="A1494" s="89" t="s">
        <v>114</v>
      </c>
      <c r="B1494" s="17"/>
      <c r="C1494" s="18"/>
      <c r="D1494" s="18"/>
      <c r="E1494" s="18"/>
      <c r="F1494" s="18"/>
      <c r="G1494" s="18"/>
      <c r="H1494" s="18"/>
      <c r="I1494" s="18"/>
      <c r="J1494" s="18"/>
      <c r="K1494" s="18"/>
    </row>
    <row r="1495" spans="1:11" ht="27.75" x14ac:dyDescent="0.55000000000000004">
      <c r="A1495" s="82"/>
      <c r="B1495" s="17"/>
      <c r="C1495" s="105" t="s">
        <v>160</v>
      </c>
      <c r="D1495" s="105"/>
      <c r="E1495" s="105"/>
      <c r="F1495" s="105"/>
      <c r="G1495" s="18"/>
      <c r="H1495" s="18"/>
      <c r="I1495" s="18"/>
      <c r="J1495" s="18"/>
      <c r="K1495" s="18"/>
    </row>
    <row r="1496" spans="1:11" ht="27.75" x14ac:dyDescent="0.55000000000000004">
      <c r="A1496" s="82"/>
      <c r="B1496" s="16"/>
      <c r="C1496" s="104" t="s">
        <v>115</v>
      </c>
      <c r="D1496" s="105"/>
      <c r="E1496" s="104" t="s">
        <v>116</v>
      </c>
      <c r="F1496" s="105"/>
      <c r="G1496" s="105" t="s">
        <v>161</v>
      </c>
      <c r="H1496" s="105"/>
      <c r="I1496" s="105" t="s">
        <v>162</v>
      </c>
      <c r="J1496" s="105"/>
      <c r="K1496" s="18"/>
    </row>
    <row r="1497" spans="1:11" ht="16.5" customHeight="1" x14ac:dyDescent="0.25">
      <c r="A1497" s="21" t="s">
        <v>8</v>
      </c>
      <c r="B1497" s="16" t="s">
        <v>32</v>
      </c>
      <c r="C1497" s="40" t="s">
        <v>108</v>
      </c>
      <c r="D1497" s="40" t="s">
        <v>109</v>
      </c>
      <c r="E1497" s="40" t="s">
        <v>108</v>
      </c>
      <c r="F1497" s="40" t="s">
        <v>109</v>
      </c>
      <c r="G1497" s="40" t="s">
        <v>108</v>
      </c>
      <c r="H1497" s="40" t="s">
        <v>117</v>
      </c>
      <c r="I1497" s="40" t="s">
        <v>108</v>
      </c>
      <c r="J1497" s="40" t="s">
        <v>117</v>
      </c>
      <c r="K1497" s="18"/>
    </row>
    <row r="1498" spans="1:11" ht="15" x14ac:dyDescent="0.2">
      <c r="A1498" s="24"/>
      <c r="B1498" s="17"/>
      <c r="C1498" s="43"/>
      <c r="D1498" s="43"/>
      <c r="E1498" s="44"/>
      <c r="F1498" s="44"/>
      <c r="G1498" s="43"/>
      <c r="H1498" s="43"/>
      <c r="I1498" s="43"/>
      <c r="J1498" s="43"/>
      <c r="K1498" s="18"/>
    </row>
    <row r="1499" spans="1:11" ht="16.5" hidden="1" customHeight="1" x14ac:dyDescent="0.25">
      <c r="A1499" s="24" t="s">
        <v>19</v>
      </c>
      <c r="B1499" s="16" t="s">
        <v>91</v>
      </c>
      <c r="C1499" s="43"/>
      <c r="D1499" s="43"/>
      <c r="E1499" s="44"/>
      <c r="F1499" s="44"/>
      <c r="G1499" s="43"/>
      <c r="H1499" s="43"/>
      <c r="I1499" s="43"/>
      <c r="J1499" s="43"/>
      <c r="K1499" s="18"/>
    </row>
    <row r="1500" spans="1:11" ht="15" hidden="1" x14ac:dyDescent="0.2">
      <c r="A1500" s="24">
        <v>2017</v>
      </c>
      <c r="B1500" s="17" t="s">
        <v>20</v>
      </c>
      <c r="C1500" s="45">
        <f>46122.68+377.02</f>
        <v>46499.7</v>
      </c>
      <c r="D1500" s="48">
        <f>2016.63+327434.07</f>
        <v>329450.7</v>
      </c>
      <c r="E1500" s="44">
        <f>1+185</f>
        <v>186</v>
      </c>
      <c r="F1500" s="44">
        <f>13+2258</f>
        <v>2271</v>
      </c>
      <c r="G1500" s="45">
        <v>102764.82</v>
      </c>
      <c r="H1500" s="45">
        <f>1847.19+522085.2+106.48</f>
        <v>524038.87</v>
      </c>
      <c r="I1500" s="45">
        <f>54919.71</f>
        <v>54919.71</v>
      </c>
      <c r="J1500" s="45">
        <f>389.65+241191.56+106.48</f>
        <v>241687.69</v>
      </c>
      <c r="K1500" s="18"/>
    </row>
    <row r="1501" spans="1:11" ht="15" hidden="1" x14ac:dyDescent="0.2">
      <c r="A1501" s="24"/>
      <c r="B1501" s="17" t="s">
        <v>21</v>
      </c>
      <c r="C1501" s="45">
        <f>57065.82+639.8</f>
        <v>57705.62</v>
      </c>
      <c r="D1501" s="48">
        <f>2744.3+369051.4</f>
        <v>371795.7</v>
      </c>
      <c r="E1501" s="44">
        <f>1+214</f>
        <v>215</v>
      </c>
      <c r="F1501" s="44">
        <f>15+2445</f>
        <v>2460</v>
      </c>
      <c r="G1501" s="45">
        <v>88670.81</v>
      </c>
      <c r="H1501" s="45">
        <f>1474.89+476435.66+503.29</f>
        <v>478413.83999999997</v>
      </c>
      <c r="I1501" s="45">
        <f>46497.59</f>
        <v>46497.59</v>
      </c>
      <c r="J1501" s="45">
        <f>407.34+235846.23+503.49</f>
        <v>236757.06</v>
      </c>
      <c r="K1501" s="18"/>
    </row>
    <row r="1502" spans="1:11" ht="16.5" hidden="1" customHeight="1" x14ac:dyDescent="0.2">
      <c r="A1502" s="24"/>
      <c r="B1502" s="17" t="s">
        <v>22</v>
      </c>
      <c r="C1502" s="43">
        <f>58536.7+39.8</f>
        <v>58576.5</v>
      </c>
      <c r="D1502" s="43">
        <f>1282.06+382219.33</f>
        <v>383501.39</v>
      </c>
      <c r="E1502" s="44">
        <f>1+223</f>
        <v>224</v>
      </c>
      <c r="F1502" s="44">
        <f>8+2661</f>
        <v>2669</v>
      </c>
      <c r="G1502" s="43">
        <v>71470.63</v>
      </c>
      <c r="H1502" s="43">
        <f>2651.52+407979.46+2326.38</f>
        <v>412957.36000000004</v>
      </c>
      <c r="I1502" s="43">
        <f>35694.31</f>
        <v>35694.31</v>
      </c>
      <c r="J1502" s="43">
        <f>625.68+226927.24+2326.38</f>
        <v>229879.3</v>
      </c>
      <c r="K1502" s="18"/>
    </row>
    <row r="1503" spans="1:11" s="6" customFormat="1" ht="16.5" hidden="1" customHeight="1" x14ac:dyDescent="0.2">
      <c r="A1503" s="24"/>
      <c r="B1503" s="17"/>
      <c r="C1503" s="43"/>
      <c r="D1503" s="43"/>
      <c r="E1503" s="44"/>
      <c r="F1503" s="44"/>
      <c r="G1503" s="43"/>
      <c r="H1503" s="43"/>
      <c r="I1503" s="43" t="s">
        <v>19</v>
      </c>
      <c r="J1503" s="43"/>
      <c r="K1503" s="18"/>
    </row>
    <row r="1504" spans="1:11" ht="16.5" hidden="1" customHeight="1" x14ac:dyDescent="0.25">
      <c r="A1504" s="24" t="s">
        <v>19</v>
      </c>
      <c r="B1504" s="16" t="s">
        <v>92</v>
      </c>
      <c r="C1504" s="43"/>
      <c r="D1504" s="43"/>
      <c r="E1504" s="44"/>
      <c r="F1504" s="44"/>
      <c r="G1504" s="43"/>
      <c r="H1504" s="43"/>
      <c r="I1504" s="43"/>
      <c r="J1504" s="43"/>
      <c r="K1504" s="18"/>
    </row>
    <row r="1505" spans="1:11" ht="15" hidden="1" x14ac:dyDescent="0.2">
      <c r="A1505" s="24" t="s">
        <v>19</v>
      </c>
      <c r="B1505" s="17" t="s">
        <v>24</v>
      </c>
      <c r="C1505" s="45">
        <f>55221.25</f>
        <v>55221.25</v>
      </c>
      <c r="D1505" s="48">
        <f>1469+304437.4+341.72</f>
        <v>306248.12</v>
      </c>
      <c r="E1505" s="44">
        <v>206</v>
      </c>
      <c r="F1505" s="44">
        <f>12+2430+2</f>
        <v>2444</v>
      </c>
      <c r="G1505" s="45">
        <v>62475.7</v>
      </c>
      <c r="H1505" s="45">
        <f>343.68+342152.59+103.33</f>
        <v>342599.60000000003</v>
      </c>
      <c r="I1505" s="45">
        <v>31023.78</v>
      </c>
      <c r="J1505" s="45">
        <f>139.75+195244.61+103.33</f>
        <v>195487.68999999997</v>
      </c>
      <c r="K1505" s="18"/>
    </row>
    <row r="1506" spans="1:11" ht="15" hidden="1" x14ac:dyDescent="0.2">
      <c r="A1506" s="24"/>
      <c r="B1506" s="17" t="s">
        <v>25</v>
      </c>
      <c r="C1506" s="45">
        <f>70587.18</f>
        <v>70587.179999999993</v>
      </c>
      <c r="D1506" s="48">
        <f>1519.18+422858.26</f>
        <v>424377.44</v>
      </c>
      <c r="E1506" s="44">
        <v>257</v>
      </c>
      <c r="F1506" s="44">
        <f>13+3096+1</f>
        <v>3110</v>
      </c>
      <c r="G1506" s="45">
        <v>49906.37</v>
      </c>
      <c r="H1506" s="45">
        <f>3395.18+415224.11+228.01</f>
        <v>418847.3</v>
      </c>
      <c r="I1506" s="45">
        <v>27320.67</v>
      </c>
      <c r="J1506" s="45">
        <f>623.42+197748.89+12.72+228.01</f>
        <v>198613.04000000004</v>
      </c>
      <c r="K1506" s="18"/>
    </row>
    <row r="1507" spans="1:11" ht="16.5" hidden="1" customHeight="1" x14ac:dyDescent="0.2">
      <c r="A1507" s="24"/>
      <c r="B1507" s="17" t="s">
        <v>11</v>
      </c>
      <c r="C1507" s="43">
        <f>565.21+64757.08</f>
        <v>65322.29</v>
      </c>
      <c r="D1507" s="43">
        <f>1903.86+563283.78+1516.66</f>
        <v>566704.30000000005</v>
      </c>
      <c r="E1507" s="44">
        <f>2+247</f>
        <v>249</v>
      </c>
      <c r="F1507" s="44">
        <f>17+3041+6</f>
        <v>3064</v>
      </c>
      <c r="G1507" s="43">
        <f>289.38+96052.48</f>
        <v>96341.86</v>
      </c>
      <c r="H1507" s="43">
        <f>1806.44+491363.11+697.09</f>
        <v>493866.64</v>
      </c>
      <c r="I1507" s="43">
        <v>43550.78</v>
      </c>
      <c r="J1507" s="43">
        <f>755.71+245770.11+703.46</f>
        <v>247229.27999999997</v>
      </c>
      <c r="K1507" s="18"/>
    </row>
    <row r="1508" spans="1:11" s="6" customFormat="1" ht="16.5" hidden="1" customHeight="1" x14ac:dyDescent="0.2">
      <c r="A1508" s="24"/>
      <c r="B1508" s="17"/>
      <c r="C1508" s="43"/>
      <c r="D1508" s="43"/>
      <c r="E1508" s="44"/>
      <c r="F1508" s="44"/>
      <c r="G1508" s="43"/>
      <c r="H1508" s="43"/>
      <c r="I1508" s="43" t="s">
        <v>19</v>
      </c>
      <c r="J1508" s="43"/>
      <c r="K1508" s="18"/>
    </row>
    <row r="1509" spans="1:11" ht="16.5" hidden="1" customHeight="1" x14ac:dyDescent="0.25">
      <c r="A1509" s="24" t="s">
        <v>19</v>
      </c>
      <c r="B1509" s="16" t="s">
        <v>93</v>
      </c>
      <c r="C1509" s="43"/>
      <c r="D1509" s="43"/>
      <c r="E1509" s="44"/>
      <c r="F1509" s="44"/>
      <c r="G1509" s="43"/>
      <c r="H1509" s="43"/>
      <c r="I1509" s="43"/>
      <c r="J1509" s="43"/>
      <c r="K1509" s="18"/>
    </row>
    <row r="1510" spans="1:11" ht="15" hidden="1" x14ac:dyDescent="0.2">
      <c r="A1510" s="24" t="s">
        <v>19</v>
      </c>
      <c r="B1510" s="17" t="s">
        <v>12</v>
      </c>
      <c r="C1510" s="45">
        <v>67152.78</v>
      </c>
      <c r="D1510" s="48">
        <f>2185.1+576714.43+471.23+983.89</f>
        <v>580354.65</v>
      </c>
      <c r="E1510" s="44">
        <v>236</v>
      </c>
      <c r="F1510" s="44">
        <f>15+3146+3+2</f>
        <v>3166</v>
      </c>
      <c r="G1510" s="45">
        <f>792.45+65550.09</f>
        <v>66342.539999999994</v>
      </c>
      <c r="H1510" s="45">
        <f>3252.06+409672.62+2491.22</f>
        <v>415415.89999999997</v>
      </c>
      <c r="I1510" s="45">
        <f>41.73+24029.43</f>
        <v>24071.16</v>
      </c>
      <c r="J1510" s="45">
        <f>772.45+153857.78+2491.22</f>
        <v>157121.45000000001</v>
      </c>
      <c r="K1510" s="18"/>
    </row>
    <row r="1511" spans="1:11" ht="15" hidden="1" x14ac:dyDescent="0.2">
      <c r="A1511" s="24"/>
      <c r="B1511" s="17" t="s">
        <v>13</v>
      </c>
      <c r="C1511" s="45">
        <f>230.65+59314.62</f>
        <v>59545.270000000004</v>
      </c>
      <c r="D1511" s="48">
        <f>1676.91+461260.76+338.77+800.07</f>
        <v>464076.51</v>
      </c>
      <c r="E1511" s="44">
        <v>190</v>
      </c>
      <c r="F1511" s="44">
        <f>9+2442+4+5</f>
        <v>2460</v>
      </c>
      <c r="G1511" s="45">
        <f>75291.1</f>
        <v>75291.100000000006</v>
      </c>
      <c r="H1511" s="45">
        <f>717.88+357642.08+395.99</f>
        <v>358755.95</v>
      </c>
      <c r="I1511" s="45">
        <f>37865.61</f>
        <v>37865.61</v>
      </c>
      <c r="J1511" s="45">
        <f>309.01+228661.86+395.99</f>
        <v>229366.86</v>
      </c>
      <c r="K1511" s="18"/>
    </row>
    <row r="1512" spans="1:11" ht="16.5" hidden="1" customHeight="1" x14ac:dyDescent="0.2">
      <c r="A1512" s="24"/>
      <c r="B1512" s="17" t="s">
        <v>14</v>
      </c>
      <c r="C1512" s="43">
        <f>135.08+53640.09</f>
        <v>53775.17</v>
      </c>
      <c r="D1512" s="43">
        <f>2014.83+503956.21+178.7+1611.33</f>
        <v>507761.07000000007</v>
      </c>
      <c r="E1512" s="44">
        <v>195</v>
      </c>
      <c r="F1512" s="44">
        <f>12+2398+3+3</f>
        <v>2416</v>
      </c>
      <c r="G1512" s="43">
        <f>93.26+63738.25</f>
        <v>63831.51</v>
      </c>
      <c r="H1512" s="43">
        <f>1447+392544.23+442.28</f>
        <v>394433.51</v>
      </c>
      <c r="I1512" s="43">
        <f>40.81+31684.9</f>
        <v>31725.710000000003</v>
      </c>
      <c r="J1512" s="43">
        <f>773.87+190131.34+442.28</f>
        <v>191347.49</v>
      </c>
      <c r="K1512" s="18"/>
    </row>
    <row r="1513" spans="1:11" s="6" customFormat="1" ht="16.5" hidden="1" customHeight="1" x14ac:dyDescent="0.2">
      <c r="A1513" s="24"/>
      <c r="B1513" s="17"/>
      <c r="C1513" s="43"/>
      <c r="D1513" s="43"/>
      <c r="E1513" s="44"/>
      <c r="F1513" s="44"/>
      <c r="G1513" s="43"/>
      <c r="H1513" s="43"/>
      <c r="I1513" s="43" t="s">
        <v>19</v>
      </c>
      <c r="J1513" s="43"/>
      <c r="K1513" s="18"/>
    </row>
    <row r="1514" spans="1:11" ht="16.5" hidden="1" customHeight="1" x14ac:dyDescent="0.25">
      <c r="A1514" s="24" t="s">
        <v>19</v>
      </c>
      <c r="B1514" s="16" t="s">
        <v>94</v>
      </c>
      <c r="C1514" s="43"/>
      <c r="D1514" s="43"/>
      <c r="E1514" s="44"/>
      <c r="F1514" s="44"/>
      <c r="G1514" s="43"/>
      <c r="H1514" s="43"/>
      <c r="I1514" s="43"/>
      <c r="J1514" s="43"/>
      <c r="K1514" s="18"/>
    </row>
    <row r="1515" spans="1:11" ht="15" hidden="1" x14ac:dyDescent="0.2">
      <c r="A1515" s="24">
        <v>2018</v>
      </c>
      <c r="B1515" s="17" t="s">
        <v>15</v>
      </c>
      <c r="C1515" s="45">
        <f>169.26+49571.52</f>
        <v>49740.78</v>
      </c>
      <c r="D1515" s="48">
        <f>2132.75+428811.42+652.11</f>
        <v>431596.27999999997</v>
      </c>
      <c r="E1515" s="44">
        <f>2+195</f>
        <v>197</v>
      </c>
      <c r="F1515" s="44">
        <f>14+2625+1</f>
        <v>2640</v>
      </c>
      <c r="G1515" s="45">
        <v>84276.77</v>
      </c>
      <c r="H1515" s="45">
        <f>1273.92+427570.08+48.34</f>
        <v>428892.34</v>
      </c>
      <c r="I1515" s="45">
        <f>28551.87</f>
        <v>28551.87</v>
      </c>
      <c r="J1515" s="45">
        <f>512.41+138749.55+48.34</f>
        <v>139310.29999999999</v>
      </c>
      <c r="K1515" s="18"/>
    </row>
    <row r="1516" spans="1:11" ht="15" hidden="1" x14ac:dyDescent="0.2">
      <c r="A1516" s="24"/>
      <c r="B1516" s="17" t="s">
        <v>118</v>
      </c>
      <c r="C1516" s="45">
        <f>35114.05</f>
        <v>35114.050000000003</v>
      </c>
      <c r="D1516" s="48">
        <f>661.15+327932.29+256.55+34.68</f>
        <v>328884.67</v>
      </c>
      <c r="E1516" s="44">
        <f>125</f>
        <v>125</v>
      </c>
      <c r="F1516" s="44">
        <f>13+2128+1+1</f>
        <v>2143</v>
      </c>
      <c r="G1516" s="45">
        <f>233.61+87523.79</f>
        <v>87757.4</v>
      </c>
      <c r="H1516" s="45">
        <f>315.03+499124.55+356.04</f>
        <v>499795.62</v>
      </c>
      <c r="I1516" s="45">
        <f>37.77+49478.76</f>
        <v>49516.53</v>
      </c>
      <c r="J1516" s="45">
        <f>1327.12+255621+442.12</f>
        <v>257390.24</v>
      </c>
      <c r="K1516" s="18"/>
    </row>
    <row r="1517" spans="1:11" ht="16.5" hidden="1" customHeight="1" x14ac:dyDescent="0.2">
      <c r="A1517" s="24"/>
      <c r="B1517" s="17" t="s">
        <v>120</v>
      </c>
      <c r="C1517" s="43">
        <f>45536.18</f>
        <v>45536.18</v>
      </c>
      <c r="D1517" s="43">
        <f>972.69+437645.88+801.09</f>
        <v>439419.66000000003</v>
      </c>
      <c r="E1517" s="44">
        <f>155</f>
        <v>155</v>
      </c>
      <c r="F1517" s="44">
        <f>10+2159+4</f>
        <v>2173</v>
      </c>
      <c r="G1517" s="43">
        <v>88150.02</v>
      </c>
      <c r="H1517" s="43">
        <f>1872.53+556932.62+570.69</f>
        <v>559375.84</v>
      </c>
      <c r="I1517" s="43">
        <f>38765.63</f>
        <v>38765.629999999997</v>
      </c>
      <c r="J1517" s="43">
        <f>730.13+217464.93+608.88</f>
        <v>218803.94</v>
      </c>
      <c r="K1517" s="18"/>
    </row>
    <row r="1518" spans="1:11" s="6" customFormat="1" ht="16.5" hidden="1" customHeight="1" x14ac:dyDescent="0.2">
      <c r="A1518" s="24"/>
      <c r="B1518" s="17"/>
      <c r="C1518" s="43"/>
      <c r="D1518" s="43"/>
      <c r="E1518" s="44"/>
      <c r="F1518" s="44"/>
      <c r="G1518" s="43"/>
      <c r="H1518" s="43"/>
      <c r="I1518" s="43" t="s">
        <v>19</v>
      </c>
      <c r="J1518" s="43"/>
      <c r="K1518" s="18"/>
    </row>
    <row r="1519" spans="1:11" ht="16.5" hidden="1" customHeight="1" x14ac:dyDescent="0.25">
      <c r="A1519" s="24" t="s">
        <v>19</v>
      </c>
      <c r="B1519" s="16" t="s">
        <v>95</v>
      </c>
      <c r="C1519" s="43"/>
      <c r="D1519" s="43"/>
      <c r="E1519" s="44"/>
      <c r="F1519" s="44"/>
      <c r="G1519" s="43"/>
      <c r="H1519" s="43"/>
      <c r="I1519" s="43"/>
      <c r="J1519" s="43"/>
      <c r="K1519" s="18"/>
    </row>
    <row r="1520" spans="1:11" ht="15" hidden="1" x14ac:dyDescent="0.2">
      <c r="A1520" s="24" t="s">
        <v>19</v>
      </c>
      <c r="B1520" s="17" t="s">
        <v>20</v>
      </c>
      <c r="C1520" s="45">
        <v>46453.1</v>
      </c>
      <c r="D1520" s="48">
        <f>3150.99+310445.31</f>
        <v>313596.3</v>
      </c>
      <c r="E1520" s="44">
        <v>173</v>
      </c>
      <c r="F1520" s="44">
        <f>13+2269</f>
        <v>2282</v>
      </c>
      <c r="G1520" s="45">
        <f>300.85+82296.32</f>
        <v>82597.170000000013</v>
      </c>
      <c r="H1520" s="45">
        <f>1691.02+477724.59+159.16</f>
        <v>479574.77</v>
      </c>
      <c r="I1520" s="45">
        <f>25.46+39556.08</f>
        <v>39581.54</v>
      </c>
      <c r="J1520" s="45">
        <f>1927.78+236224.78+243.79</f>
        <v>238396.35</v>
      </c>
      <c r="K1520" s="18"/>
    </row>
    <row r="1521" spans="1:11" ht="15" hidden="1" x14ac:dyDescent="0.2">
      <c r="A1521" s="24"/>
      <c r="B1521" s="17" t="s">
        <v>21</v>
      </c>
      <c r="C1521" s="45">
        <v>50261.919999999998</v>
      </c>
      <c r="D1521" s="48">
        <f>3456.7+370707.12+24.13+227.33</f>
        <v>374415.28</v>
      </c>
      <c r="E1521" s="44">
        <v>191</v>
      </c>
      <c r="F1521" s="44">
        <f>15+2327+2+1</f>
        <v>2345</v>
      </c>
      <c r="G1521" s="45">
        <f>269.62+76396.71</f>
        <v>76666.33</v>
      </c>
      <c r="H1521" s="45">
        <f>1118.32+438979.26+109.31</f>
        <v>440206.89</v>
      </c>
      <c r="I1521" s="45">
        <f>45.44+34516.68</f>
        <v>34562.120000000003</v>
      </c>
      <c r="J1521" s="45">
        <f>1262.17+193310.23+188.36</f>
        <v>194760.76</v>
      </c>
      <c r="K1521" s="18"/>
    </row>
    <row r="1522" spans="1:11" ht="16.5" hidden="1" customHeight="1" x14ac:dyDescent="0.2">
      <c r="A1522" s="24"/>
      <c r="B1522" s="17" t="s">
        <v>22</v>
      </c>
      <c r="C1522" s="43">
        <v>43760.43</v>
      </c>
      <c r="D1522" s="43">
        <f>1191.59+322906.58+1424.49+562.23</f>
        <v>326084.89</v>
      </c>
      <c r="E1522" s="44">
        <v>191</v>
      </c>
      <c r="F1522" s="44">
        <f>15+2158+1+2</f>
        <v>2176</v>
      </c>
      <c r="G1522" s="43">
        <f>62051.45</f>
        <v>62051.45</v>
      </c>
      <c r="H1522" s="43">
        <f>1410.42+399475.57+316.22</f>
        <v>401202.20999999996</v>
      </c>
      <c r="I1522" s="43">
        <f>24605.5</f>
        <v>24605.5</v>
      </c>
      <c r="J1522" s="43">
        <f>1109.19+127919.31+316.22</f>
        <v>129344.72</v>
      </c>
      <c r="K1522" s="18"/>
    </row>
    <row r="1523" spans="1:11" s="6" customFormat="1" ht="16.5" hidden="1" customHeight="1" x14ac:dyDescent="0.2">
      <c r="A1523" s="24"/>
      <c r="B1523" s="17"/>
      <c r="C1523" s="43"/>
      <c r="D1523" s="43"/>
      <c r="E1523" s="44"/>
      <c r="F1523" s="44"/>
      <c r="G1523" s="43"/>
      <c r="H1523" s="43"/>
      <c r="I1523" s="43" t="s">
        <v>19</v>
      </c>
      <c r="J1523" s="43"/>
      <c r="K1523" s="18"/>
    </row>
    <row r="1524" spans="1:11" ht="16.5" hidden="1" customHeight="1" x14ac:dyDescent="0.25">
      <c r="A1524" s="24" t="s">
        <v>19</v>
      </c>
      <c r="B1524" s="16" t="s">
        <v>96</v>
      </c>
      <c r="C1524" s="43"/>
      <c r="D1524" s="43"/>
      <c r="E1524" s="44"/>
      <c r="F1524" s="44"/>
      <c r="G1524" s="43"/>
      <c r="H1524" s="43"/>
      <c r="I1524" s="43"/>
      <c r="J1524" s="43"/>
      <c r="K1524" s="18"/>
    </row>
    <row r="1525" spans="1:11" ht="15" hidden="1" x14ac:dyDescent="0.2">
      <c r="A1525" s="24" t="s">
        <v>19</v>
      </c>
      <c r="B1525" s="17" t="s">
        <v>24</v>
      </c>
      <c r="C1525" s="45">
        <v>51604.22</v>
      </c>
      <c r="D1525" s="48">
        <f>1177.04+304479.96</f>
        <v>305657</v>
      </c>
      <c r="E1525" s="44">
        <v>215</v>
      </c>
      <c r="F1525" s="44">
        <f>20+2382</f>
        <v>2402</v>
      </c>
      <c r="G1525" s="45">
        <f>54487.39</f>
        <v>54487.39</v>
      </c>
      <c r="H1525" s="45">
        <f>801.99+324760.79</f>
        <v>325562.77999999997</v>
      </c>
      <c r="I1525" s="45">
        <f>40697.71</f>
        <v>40697.71</v>
      </c>
      <c r="J1525" s="45">
        <f>1035.19+229193.9+657.91</f>
        <v>230887</v>
      </c>
      <c r="K1525" s="18"/>
    </row>
    <row r="1526" spans="1:11" ht="15" hidden="1" x14ac:dyDescent="0.2">
      <c r="A1526" s="24"/>
      <c r="B1526" s="17" t="s">
        <v>25</v>
      </c>
      <c r="C1526" s="45">
        <f>523.69+53284.84</f>
        <v>53808.53</v>
      </c>
      <c r="D1526" s="48">
        <f>1868.32+408024.6+399.55</f>
        <v>410292.47</v>
      </c>
      <c r="E1526" s="44">
        <f>2+237</f>
        <v>239</v>
      </c>
      <c r="F1526" s="44">
        <f>28+2898+3</f>
        <v>2929</v>
      </c>
      <c r="G1526" s="45">
        <f>52981.12</f>
        <v>52981.120000000003</v>
      </c>
      <c r="H1526" s="45">
        <f>1008.72+415145.73+103.33</f>
        <v>416257.77999999997</v>
      </c>
      <c r="I1526" s="45">
        <f>29096.12</f>
        <v>29096.12</v>
      </c>
      <c r="J1526" s="45">
        <f>302.46+171445.72+180.23</f>
        <v>171928.41</v>
      </c>
      <c r="K1526" s="18"/>
    </row>
    <row r="1527" spans="1:11" ht="16.5" hidden="1" customHeight="1" x14ac:dyDescent="0.2">
      <c r="A1527" s="24"/>
      <c r="B1527" s="17" t="s">
        <v>11</v>
      </c>
      <c r="C1527" s="43">
        <f>914.88+59262.51</f>
        <v>60177.39</v>
      </c>
      <c r="D1527" s="43">
        <f>1276.1+497957.4</f>
        <v>499233.5</v>
      </c>
      <c r="E1527" s="44">
        <f>1+239</f>
        <v>240</v>
      </c>
      <c r="F1527" s="44">
        <f>10+2831</f>
        <v>2841</v>
      </c>
      <c r="G1527" s="43">
        <f>58057.55</f>
        <v>58057.55</v>
      </c>
      <c r="H1527" s="43">
        <f>4175.82+392673.97+101.11</f>
        <v>396950.89999999997</v>
      </c>
      <c r="I1527" s="43">
        <f>32601.71</f>
        <v>32601.71</v>
      </c>
      <c r="J1527" s="43">
        <f>527.07+225700.34+110.91</f>
        <v>226338.32</v>
      </c>
      <c r="K1527" s="18"/>
    </row>
    <row r="1528" spans="1:11" s="6" customFormat="1" ht="16.5" hidden="1" customHeight="1" x14ac:dyDescent="0.2">
      <c r="A1528" s="24"/>
      <c r="B1528" s="17"/>
      <c r="C1528" s="43"/>
      <c r="D1528" s="43"/>
      <c r="E1528" s="44"/>
      <c r="F1528" s="44"/>
      <c r="G1528" s="43"/>
      <c r="H1528" s="43"/>
      <c r="I1528" s="43" t="s">
        <v>19</v>
      </c>
      <c r="J1528" s="43"/>
      <c r="K1528" s="18"/>
    </row>
    <row r="1529" spans="1:11" ht="16.5" hidden="1" customHeight="1" x14ac:dyDescent="0.25">
      <c r="A1529" s="24" t="s">
        <v>19</v>
      </c>
      <c r="B1529" s="16" t="s">
        <v>97</v>
      </c>
      <c r="C1529" s="43"/>
      <c r="D1529" s="43"/>
      <c r="E1529" s="44"/>
      <c r="F1529" s="44"/>
      <c r="G1529" s="43"/>
      <c r="H1529" s="43"/>
      <c r="I1529" s="43"/>
      <c r="J1529" s="43"/>
      <c r="K1529" s="18"/>
    </row>
    <row r="1530" spans="1:11" ht="15" hidden="1" x14ac:dyDescent="0.2">
      <c r="A1530" s="24" t="s">
        <v>19</v>
      </c>
      <c r="B1530" s="17" t="s">
        <v>12</v>
      </c>
      <c r="C1530" s="45">
        <v>64764.01</v>
      </c>
      <c r="D1530" s="48">
        <v>488505.75</v>
      </c>
      <c r="E1530" s="44">
        <v>236</v>
      </c>
      <c r="F1530" s="44">
        <v>2947</v>
      </c>
      <c r="G1530" s="45">
        <v>64674.54</v>
      </c>
      <c r="H1530" s="45">
        <v>402755.49</v>
      </c>
      <c r="I1530" s="45">
        <v>38801.01</v>
      </c>
      <c r="J1530" s="45">
        <v>213131.96</v>
      </c>
      <c r="K1530" s="18"/>
    </row>
    <row r="1531" spans="1:11" ht="15" hidden="1" x14ac:dyDescent="0.2">
      <c r="A1531" s="24"/>
      <c r="B1531" s="17" t="s">
        <v>13</v>
      </c>
      <c r="C1531" s="45">
        <v>66314.25</v>
      </c>
      <c r="D1531" s="48">
        <v>383315.6</v>
      </c>
      <c r="E1531" s="44">
        <v>225</v>
      </c>
      <c r="F1531" s="44">
        <v>2127</v>
      </c>
      <c r="G1531" s="45">
        <v>62091.78</v>
      </c>
      <c r="H1531" s="45">
        <v>357566.41</v>
      </c>
      <c r="I1531" s="45">
        <v>31600.36</v>
      </c>
      <c r="J1531" s="45">
        <v>186752.23</v>
      </c>
      <c r="K1531" s="18"/>
    </row>
    <row r="1532" spans="1:11" ht="16.5" hidden="1" customHeight="1" x14ac:dyDescent="0.2">
      <c r="A1532" s="24"/>
      <c r="B1532" s="17" t="s">
        <v>14</v>
      </c>
      <c r="C1532" s="43">
        <v>43469.64</v>
      </c>
      <c r="D1532" s="43">
        <v>446204.85</v>
      </c>
      <c r="E1532" s="44">
        <v>185</v>
      </c>
      <c r="F1532" s="44">
        <v>2350</v>
      </c>
      <c r="G1532" s="43">
        <v>64108.4</v>
      </c>
      <c r="H1532" s="43">
        <v>352961.63</v>
      </c>
      <c r="I1532" s="43">
        <v>33690.71</v>
      </c>
      <c r="J1532" s="43">
        <v>179393.04</v>
      </c>
      <c r="K1532" s="18"/>
    </row>
    <row r="1533" spans="1:11" s="6" customFormat="1" ht="16.5" hidden="1" customHeight="1" x14ac:dyDescent="0.2">
      <c r="A1533" s="24"/>
      <c r="B1533" s="17"/>
      <c r="C1533" s="43"/>
      <c r="D1533" s="43"/>
      <c r="E1533" s="44"/>
      <c r="F1533" s="44"/>
      <c r="G1533" s="43"/>
      <c r="H1533" s="43"/>
      <c r="I1533" s="43" t="s">
        <v>19</v>
      </c>
      <c r="J1533" s="43"/>
      <c r="K1533" s="18"/>
    </row>
    <row r="1534" spans="1:11" ht="16.5" hidden="1" customHeight="1" x14ac:dyDescent="0.25">
      <c r="A1534" s="24" t="s">
        <v>19</v>
      </c>
      <c r="B1534" s="16" t="s">
        <v>98</v>
      </c>
      <c r="C1534" s="43"/>
      <c r="D1534" s="43"/>
      <c r="E1534" s="44"/>
      <c r="F1534" s="44"/>
      <c r="G1534" s="43"/>
      <c r="H1534" s="43"/>
      <c r="I1534" s="43"/>
      <c r="J1534" s="43"/>
      <c r="K1534" s="18"/>
    </row>
    <row r="1535" spans="1:11" ht="15" hidden="1" x14ac:dyDescent="0.2">
      <c r="A1535" s="24">
        <v>2019</v>
      </c>
      <c r="B1535" s="17" t="s">
        <v>15</v>
      </c>
      <c r="C1535" s="45">
        <v>43931.81</v>
      </c>
      <c r="D1535" s="48">
        <f>2288.32+346626.64</f>
        <v>348914.96</v>
      </c>
      <c r="E1535" s="44">
        <v>158</v>
      </c>
      <c r="F1535" s="44">
        <f>22+2338</f>
        <v>2360</v>
      </c>
      <c r="G1535" s="45">
        <f>338.33+72255.95</f>
        <v>72594.28</v>
      </c>
      <c r="H1535" s="45">
        <f>2009.93+431162.6+121.32+397.68</f>
        <v>433691.52999999997</v>
      </c>
      <c r="I1535" s="45">
        <f>52.36+21131.23</f>
        <v>21183.59</v>
      </c>
      <c r="J1535" s="45">
        <f>381.51+157728.69+291.16</f>
        <v>158401.36000000002</v>
      </c>
      <c r="K1535" s="18"/>
    </row>
    <row r="1536" spans="1:11" ht="15" hidden="1" x14ac:dyDescent="0.2">
      <c r="A1536" s="24"/>
      <c r="B1536" s="17" t="s">
        <v>118</v>
      </c>
      <c r="C1536" s="45">
        <f>392.87+29521.31</f>
        <v>29914.18</v>
      </c>
      <c r="D1536" s="48">
        <f>3759.83+273594.64</f>
        <v>277354.47000000003</v>
      </c>
      <c r="E1536" s="44">
        <v>129</v>
      </c>
      <c r="F1536" s="44">
        <f>16+1723</f>
        <v>1739</v>
      </c>
      <c r="G1536" s="45">
        <f>448.81+75857.01</f>
        <v>76305.819999999992</v>
      </c>
      <c r="H1536" s="45">
        <f>2073.19+457040.57+54.38+173.9</f>
        <v>459342.04000000004</v>
      </c>
      <c r="I1536" s="45">
        <f>152.23+33449.02</f>
        <v>33601.25</v>
      </c>
      <c r="J1536" s="45">
        <f>1348.92+197110.3+44.49+173.9</f>
        <v>198677.61</v>
      </c>
      <c r="K1536" s="18"/>
    </row>
    <row r="1537" spans="1:11" ht="16.5" hidden="1" customHeight="1" x14ac:dyDescent="0.2">
      <c r="A1537" s="24"/>
      <c r="B1537" s="17" t="s">
        <v>120</v>
      </c>
      <c r="C1537" s="43">
        <f>40560.17</f>
        <v>40560.17</v>
      </c>
      <c r="D1537" s="43">
        <f>2983.7+368390.82+146.49</f>
        <v>371521.01</v>
      </c>
      <c r="E1537" s="44">
        <v>130</v>
      </c>
      <c r="F1537" s="44">
        <f>18+1947+1</f>
        <v>1966</v>
      </c>
      <c r="G1537" s="43">
        <f>310.11+77965.38</f>
        <v>78275.490000000005</v>
      </c>
      <c r="H1537" s="43">
        <f>2130.87+470380.24+93.84</f>
        <v>472604.95</v>
      </c>
      <c r="I1537" s="43">
        <f>53.14+34230.97</f>
        <v>34284.11</v>
      </c>
      <c r="J1537" s="43">
        <f>1087.72+292147.39+1.63</f>
        <v>293236.74</v>
      </c>
      <c r="K1537" s="18"/>
    </row>
    <row r="1538" spans="1:11" s="6" customFormat="1" ht="16.5" hidden="1" customHeight="1" x14ac:dyDescent="0.2">
      <c r="A1538" s="24"/>
      <c r="B1538" s="17"/>
      <c r="C1538" s="43"/>
      <c r="D1538" s="43"/>
      <c r="E1538" s="44"/>
      <c r="F1538" s="44"/>
      <c r="G1538" s="43"/>
      <c r="H1538" s="43"/>
      <c r="I1538" s="43" t="s">
        <v>19</v>
      </c>
      <c r="J1538" s="43"/>
      <c r="K1538" s="18"/>
    </row>
    <row r="1539" spans="1:11" ht="16.5" hidden="1" customHeight="1" x14ac:dyDescent="0.25">
      <c r="A1539" s="24" t="s">
        <v>19</v>
      </c>
      <c r="B1539" s="16" t="s">
        <v>99</v>
      </c>
      <c r="C1539" s="43"/>
      <c r="D1539" s="43"/>
      <c r="E1539" s="44"/>
      <c r="F1539" s="44"/>
      <c r="G1539" s="43"/>
      <c r="H1539" s="43"/>
      <c r="I1539" s="43"/>
      <c r="J1539" s="43"/>
      <c r="K1539" s="18"/>
    </row>
    <row r="1540" spans="1:11" ht="15" hidden="1" x14ac:dyDescent="0.2">
      <c r="A1540" s="24" t="s">
        <v>19</v>
      </c>
      <c r="B1540" s="17" t="s">
        <v>20</v>
      </c>
      <c r="C1540" s="45">
        <f>351.74+38275.81</f>
        <v>38627.549999999996</v>
      </c>
      <c r="D1540" s="48">
        <f>2961.07+362905.65+539.53</f>
        <v>366406.25000000006</v>
      </c>
      <c r="E1540" s="44">
        <f>2+147</f>
        <v>149</v>
      </c>
      <c r="F1540" s="44">
        <f>25+2330+2</f>
        <v>2357</v>
      </c>
      <c r="G1540" s="45">
        <f>1025.66+69090.14</f>
        <v>70115.8</v>
      </c>
      <c r="H1540" s="45">
        <f>1590.84+466610.97+869.12+138.23</f>
        <v>469209.16</v>
      </c>
      <c r="I1540" s="45">
        <f>79.3+30181.75</f>
        <v>30261.05</v>
      </c>
      <c r="J1540" s="45">
        <f>704.73+226072.58+34.54+264.42</f>
        <v>227076.27000000002</v>
      </c>
      <c r="K1540" s="18"/>
    </row>
    <row r="1541" spans="1:11" ht="15" hidden="1" x14ac:dyDescent="0.2">
      <c r="A1541" s="24"/>
      <c r="B1541" s="17" t="s">
        <v>21</v>
      </c>
      <c r="C1541" s="45">
        <f>46946.08</f>
        <v>46946.080000000002</v>
      </c>
      <c r="D1541" s="48">
        <f>747.66+367863.47</f>
        <v>368611.12999999995</v>
      </c>
      <c r="E1541" s="44">
        <f>174</f>
        <v>174</v>
      </c>
      <c r="F1541" s="44">
        <f>14+2179</f>
        <v>2193</v>
      </c>
      <c r="G1541" s="45">
        <f>70024.17</f>
        <v>70024.17</v>
      </c>
      <c r="H1541" s="45">
        <f>1118.52+396715.39+212.55+498.47</f>
        <v>398544.93</v>
      </c>
      <c r="I1541" s="45">
        <f>34230.67</f>
        <v>34230.67</v>
      </c>
      <c r="J1541" s="45">
        <f>811.6+212509.61+172.91+498.47</f>
        <v>213992.59</v>
      </c>
      <c r="K1541" s="18"/>
    </row>
    <row r="1542" spans="1:11" ht="16.5" hidden="1" customHeight="1" x14ac:dyDescent="0.2">
      <c r="A1542" s="24"/>
      <c r="B1542" s="17" t="s">
        <v>22</v>
      </c>
      <c r="C1542" s="43">
        <f>29.91+36712.77</f>
        <v>36742.68</v>
      </c>
      <c r="D1542" s="43">
        <f>2302.58+313102.82</f>
        <v>315405.40000000002</v>
      </c>
      <c r="E1542" s="44">
        <f>1+145</f>
        <v>146</v>
      </c>
      <c r="F1542" s="44">
        <f>16+2055+1</f>
        <v>2072</v>
      </c>
      <c r="G1542" s="43">
        <f>408.38+76594.44</f>
        <v>77002.820000000007</v>
      </c>
      <c r="H1542" s="43">
        <f>1079.2+408703.9+82.58</f>
        <v>409865.68000000005</v>
      </c>
      <c r="I1542" s="43">
        <f>600.08+41655.43</f>
        <v>42255.51</v>
      </c>
      <c r="J1542" s="43">
        <f>642.63+210417.97</f>
        <v>211060.6</v>
      </c>
      <c r="K1542" s="18"/>
    </row>
    <row r="1543" spans="1:11" s="6" customFormat="1" ht="16.5" hidden="1" customHeight="1" x14ac:dyDescent="0.2">
      <c r="A1543" s="24"/>
      <c r="B1543" s="17"/>
      <c r="C1543" s="43"/>
      <c r="D1543" s="43"/>
      <c r="E1543" s="44"/>
      <c r="F1543" s="44"/>
      <c r="G1543" s="43"/>
      <c r="H1543" s="43"/>
      <c r="I1543" s="43" t="s">
        <v>19</v>
      </c>
      <c r="J1543" s="43"/>
      <c r="K1543" s="18"/>
    </row>
    <row r="1544" spans="1:11" ht="16.5" hidden="1" customHeight="1" x14ac:dyDescent="0.25">
      <c r="A1544" s="24" t="s">
        <v>19</v>
      </c>
      <c r="B1544" s="16" t="s">
        <v>100</v>
      </c>
      <c r="C1544" s="43"/>
      <c r="D1544" s="43"/>
      <c r="E1544" s="44"/>
      <c r="F1544" s="44"/>
      <c r="G1544" s="43"/>
      <c r="H1544" s="43"/>
      <c r="I1544" s="43"/>
      <c r="J1544" s="43"/>
      <c r="K1544" s="18"/>
    </row>
    <row r="1545" spans="1:11" ht="15" hidden="1" x14ac:dyDescent="0.2">
      <c r="A1545" s="24" t="s">
        <v>19</v>
      </c>
      <c r="B1545" s="17" t="s">
        <v>24</v>
      </c>
      <c r="C1545" s="45">
        <f>632.45+35251.42</f>
        <v>35883.869999999995</v>
      </c>
      <c r="D1545" s="48">
        <f>2504.95+237699.74</f>
        <v>240204.69</v>
      </c>
      <c r="E1545" s="44">
        <f>2+144</f>
        <v>146</v>
      </c>
      <c r="F1545" s="44">
        <f>19+1979</f>
        <v>1998</v>
      </c>
      <c r="G1545" s="45">
        <f>46566.57</f>
        <v>46566.57</v>
      </c>
      <c r="H1545" s="45">
        <f>3932.55+329709.25+186.02+215.43</f>
        <v>334043.25</v>
      </c>
      <c r="I1545" s="45">
        <f>24883.33</f>
        <v>24883.33</v>
      </c>
      <c r="J1545" s="45">
        <f>710.08+187545.68+59.31+319.26</f>
        <v>188634.33</v>
      </c>
      <c r="K1545" s="18"/>
    </row>
    <row r="1546" spans="1:11" ht="15" hidden="1" x14ac:dyDescent="0.2">
      <c r="A1546" s="24"/>
      <c r="B1546" s="17" t="s">
        <v>25</v>
      </c>
      <c r="C1546" s="45">
        <f>48069.16</f>
        <v>48069.16</v>
      </c>
      <c r="D1546" s="48">
        <f>4815.35+387790.77+151.55</f>
        <v>392757.67</v>
      </c>
      <c r="E1546" s="44">
        <f>2+199</f>
        <v>201</v>
      </c>
      <c r="F1546" s="44">
        <f>30+2752+2</f>
        <v>2784</v>
      </c>
      <c r="G1546" s="45">
        <f>53713.74</f>
        <v>53713.74</v>
      </c>
      <c r="H1546" s="45">
        <f>1661.19+405151.62+450.4</f>
        <v>407263.21</v>
      </c>
      <c r="I1546" s="45">
        <f>23711.36</f>
        <v>23711.360000000001</v>
      </c>
      <c r="J1546" s="45">
        <f>626.23+210749.1+67.43+469.34</f>
        <v>211912.1</v>
      </c>
      <c r="K1546" s="18"/>
    </row>
    <row r="1547" spans="1:11" ht="16.5" hidden="1" customHeight="1" x14ac:dyDescent="0.2">
      <c r="A1547" s="24"/>
      <c r="B1547" s="17" t="s">
        <v>11</v>
      </c>
      <c r="C1547" s="43">
        <f>806.53+45918.34</f>
        <v>46724.869999999995</v>
      </c>
      <c r="D1547" s="43">
        <f>5078.17+412107.23</f>
        <v>417185.39999999997</v>
      </c>
      <c r="E1547" s="44">
        <f>3+176</f>
        <v>179</v>
      </c>
      <c r="F1547" s="44">
        <f>22+2523</f>
        <v>2545</v>
      </c>
      <c r="G1547" s="43">
        <f>380.11+66326.09</f>
        <v>66706.2</v>
      </c>
      <c r="H1547" s="43">
        <f>3194.7+460071.42+499.29+317.7</f>
        <v>464083.11</v>
      </c>
      <c r="I1547" s="43">
        <f>25.2+43017.23</f>
        <v>43042.43</v>
      </c>
      <c r="J1547" s="43">
        <f>345.01+253855.1+155.31+317.74</f>
        <v>254673.16</v>
      </c>
      <c r="K1547" s="18"/>
    </row>
    <row r="1548" spans="1:11" s="6" customFormat="1" ht="16.5" hidden="1" customHeight="1" x14ac:dyDescent="0.2">
      <c r="A1548" s="24"/>
      <c r="B1548" s="17"/>
      <c r="C1548" s="43"/>
      <c r="D1548" s="43"/>
      <c r="E1548" s="44"/>
      <c r="F1548" s="44"/>
      <c r="G1548" s="43"/>
      <c r="H1548" s="43"/>
      <c r="I1548" s="43" t="s">
        <v>19</v>
      </c>
      <c r="J1548" s="43"/>
      <c r="K1548" s="18"/>
    </row>
    <row r="1549" spans="1:11" ht="16.5" hidden="1" customHeight="1" x14ac:dyDescent="0.25">
      <c r="A1549" s="24" t="s">
        <v>19</v>
      </c>
      <c r="B1549" s="16" t="s">
        <v>101</v>
      </c>
      <c r="C1549" s="43"/>
      <c r="D1549" s="43"/>
      <c r="E1549" s="44"/>
      <c r="F1549" s="44"/>
      <c r="G1549" s="43"/>
      <c r="H1549" s="43"/>
      <c r="I1549" s="43"/>
      <c r="J1549" s="43"/>
      <c r="K1549" s="18"/>
    </row>
    <row r="1550" spans="1:11" ht="15" hidden="1" x14ac:dyDescent="0.2">
      <c r="A1550" s="24" t="s">
        <v>19</v>
      </c>
      <c r="B1550" s="17" t="s">
        <v>12</v>
      </c>
      <c r="C1550" s="45">
        <f>2072.72+83022.46</f>
        <v>85095.180000000008</v>
      </c>
      <c r="D1550" s="48">
        <f>4910.79+578014.81</f>
        <v>582925.60000000009</v>
      </c>
      <c r="E1550" s="44">
        <f>6+223</f>
        <v>229</v>
      </c>
      <c r="F1550" s="44">
        <f>40+3319</f>
        <v>3359</v>
      </c>
      <c r="G1550" s="45">
        <f>95.98+53610.22</f>
        <v>53706.200000000004</v>
      </c>
      <c r="H1550" s="45">
        <f>1622.94+397164.06+155.87</f>
        <v>398942.87</v>
      </c>
      <c r="I1550" s="45">
        <f>1.05+32484.2</f>
        <v>32485.25</v>
      </c>
      <c r="J1550" s="45">
        <f>399.72+198543.44+186.71+155.87</f>
        <v>199285.74</v>
      </c>
      <c r="K1550" s="18"/>
    </row>
    <row r="1551" spans="1:11" ht="15" hidden="1" x14ac:dyDescent="0.2">
      <c r="A1551" s="24"/>
      <c r="B1551" s="17" t="s">
        <v>13</v>
      </c>
      <c r="C1551" s="45">
        <f>54439.28</f>
        <v>54439.28</v>
      </c>
      <c r="D1551" s="48">
        <f>2974.21+444770.28+98.22</f>
        <v>447842.71</v>
      </c>
      <c r="E1551" s="44">
        <f>166</f>
        <v>166</v>
      </c>
      <c r="F1551" s="44">
        <f>15+2287+1</f>
        <v>2303</v>
      </c>
      <c r="G1551" s="45">
        <f>593.02+50995.2</f>
        <v>51588.219999999994</v>
      </c>
      <c r="H1551" s="45">
        <f>2653.77+352423.64+131.79</f>
        <v>355209.2</v>
      </c>
      <c r="I1551" s="45">
        <f>197.19+31708.76</f>
        <v>31905.949999999997</v>
      </c>
      <c r="J1551" s="45">
        <f>851.42+185073.34+139.92+5.05</f>
        <v>186069.73</v>
      </c>
      <c r="K1551" s="18"/>
    </row>
    <row r="1552" spans="1:11" ht="16.5" hidden="1" customHeight="1" x14ac:dyDescent="0.2">
      <c r="A1552" s="24"/>
      <c r="B1552" s="17" t="s">
        <v>14</v>
      </c>
      <c r="C1552" s="43">
        <f>299.76+43352.95</f>
        <v>43652.71</v>
      </c>
      <c r="D1552" s="43">
        <f>2512.76+484608.94+32.37</f>
        <v>487154.07</v>
      </c>
      <c r="E1552" s="44">
        <f>2+172</f>
        <v>174</v>
      </c>
      <c r="F1552" s="44">
        <f>19+2486+1</f>
        <v>2506</v>
      </c>
      <c r="G1552" s="43">
        <f>299.17+50010.35</f>
        <v>50309.52</v>
      </c>
      <c r="H1552" s="43">
        <f>2707.86+328721.48+5.05</f>
        <v>331434.38999999996</v>
      </c>
      <c r="I1552" s="43">
        <f>16.59+23131.78</f>
        <v>23148.37</v>
      </c>
      <c r="J1552" s="43">
        <f>840+185017.48</f>
        <v>185857.48</v>
      </c>
      <c r="K1552" s="18"/>
    </row>
    <row r="1553" spans="1:11" s="6" customFormat="1" ht="16.5" hidden="1" customHeight="1" x14ac:dyDescent="0.2">
      <c r="A1553" s="24"/>
      <c r="B1553" s="17"/>
      <c r="C1553" s="43"/>
      <c r="D1553" s="43"/>
      <c r="E1553" s="44"/>
      <c r="F1553" s="44"/>
      <c r="G1553" s="43"/>
      <c r="H1553" s="43"/>
      <c r="I1553" s="43" t="s">
        <v>19</v>
      </c>
      <c r="J1553" s="43"/>
      <c r="K1553" s="18"/>
    </row>
    <row r="1554" spans="1:11" ht="16.5" hidden="1" customHeight="1" x14ac:dyDescent="0.25">
      <c r="A1554" s="24" t="s">
        <v>19</v>
      </c>
      <c r="B1554" s="16" t="s">
        <v>102</v>
      </c>
      <c r="C1554" s="43"/>
      <c r="D1554" s="43"/>
      <c r="E1554" s="44"/>
      <c r="F1554" s="44"/>
      <c r="G1554" s="43"/>
      <c r="H1554" s="43"/>
      <c r="I1554" s="43"/>
      <c r="J1554" s="43"/>
      <c r="K1554" s="18"/>
    </row>
    <row r="1555" spans="1:11" ht="15" hidden="1" x14ac:dyDescent="0.2">
      <c r="A1555" s="24">
        <v>2020</v>
      </c>
      <c r="B1555" s="17" t="s">
        <v>15</v>
      </c>
      <c r="C1555" s="45">
        <f>1754.27+41508.9</f>
        <v>43263.17</v>
      </c>
      <c r="D1555" s="48">
        <f>3423.49+365870.32+71.15</f>
        <v>369364.96</v>
      </c>
      <c r="E1555" s="44">
        <f>4+154</f>
        <v>158</v>
      </c>
      <c r="F1555" s="44">
        <f>21+2510+1</f>
        <v>2532</v>
      </c>
      <c r="G1555" s="45">
        <f>582.58+58880.96</f>
        <v>59463.54</v>
      </c>
      <c r="H1555" s="45">
        <f>5839.28+377880.04+25.29</f>
        <v>383744.61</v>
      </c>
      <c r="I1555" s="45">
        <f>5.6+35914.35</f>
        <v>35919.949999999997</v>
      </c>
      <c r="J1555" s="45">
        <f>740.31+185378.25+10.88+103.07</f>
        <v>186232.51</v>
      </c>
      <c r="K1555" s="18"/>
    </row>
    <row r="1556" spans="1:11" ht="15" hidden="1" x14ac:dyDescent="0.2">
      <c r="A1556" s="24"/>
      <c r="B1556" s="17" t="s">
        <v>118</v>
      </c>
      <c r="C1556" s="45">
        <f>28072.67</f>
        <v>28072.67</v>
      </c>
      <c r="D1556" s="48">
        <f>2211.99+327218.83+156.32</f>
        <v>329587.14</v>
      </c>
      <c r="E1556" s="44">
        <f>104</f>
        <v>104</v>
      </c>
      <c r="F1556" s="44">
        <f>18+1976+3</f>
        <v>1997</v>
      </c>
      <c r="G1556" s="45">
        <f>786.7+84110.92</f>
        <v>84897.62</v>
      </c>
      <c r="H1556" s="45">
        <f>4772.09+421522.24+588.38</f>
        <v>426882.71</v>
      </c>
      <c r="I1556" s="45">
        <f>82.68+37524.46</f>
        <v>37607.14</v>
      </c>
      <c r="J1556" s="45">
        <f>1065.27+174984.72+92.18+588.38</f>
        <v>176730.55</v>
      </c>
      <c r="K1556" s="18"/>
    </row>
    <row r="1557" spans="1:11" ht="16.5" hidden="1" customHeight="1" x14ac:dyDescent="0.2">
      <c r="A1557" s="24"/>
      <c r="B1557" s="17" t="s">
        <v>120</v>
      </c>
      <c r="C1557" s="43">
        <f>41703.88</f>
        <v>41703.879999999997</v>
      </c>
      <c r="D1557" s="43">
        <f>1741.25+437588.89+20.26</f>
        <v>439350.4</v>
      </c>
      <c r="E1557" s="44">
        <f>117</f>
        <v>117</v>
      </c>
      <c r="F1557" s="44">
        <f>14+2175+1</f>
        <v>2190</v>
      </c>
      <c r="G1557" s="43">
        <f>847.25+80181.08</f>
        <v>81028.33</v>
      </c>
      <c r="H1557" s="43">
        <f>2801.33+494934.59+374.32</f>
        <v>498110.24000000005</v>
      </c>
      <c r="I1557" s="43">
        <f>7.12+42606.22</f>
        <v>42613.340000000004</v>
      </c>
      <c r="J1557" s="43">
        <f>1475.69+243756.15+188.24+374.32</f>
        <v>245794.4</v>
      </c>
      <c r="K1557" s="18"/>
    </row>
    <row r="1558" spans="1:11" ht="16.5" hidden="1" customHeight="1" x14ac:dyDescent="0.2">
      <c r="A1558" s="24"/>
      <c r="B1558" s="17"/>
      <c r="C1558" s="43"/>
      <c r="D1558" s="43"/>
      <c r="E1558" s="44"/>
      <c r="F1558" s="44"/>
      <c r="G1558" s="43"/>
      <c r="H1558" s="43"/>
      <c r="I1558" s="43"/>
      <c r="J1558" s="43"/>
      <c r="K1558" s="18"/>
    </row>
    <row r="1559" spans="1:11" ht="16.5" hidden="1" customHeight="1" x14ac:dyDescent="0.25">
      <c r="A1559" s="24" t="s">
        <v>19</v>
      </c>
      <c r="B1559" s="16" t="s">
        <v>124</v>
      </c>
      <c r="C1559" s="43"/>
      <c r="D1559" s="43"/>
      <c r="E1559" s="44"/>
      <c r="F1559" s="44"/>
      <c r="G1559" s="43"/>
      <c r="H1559" s="43"/>
      <c r="I1559" s="43"/>
      <c r="J1559" s="43"/>
      <c r="K1559" s="18"/>
    </row>
    <row r="1560" spans="1:11" ht="16.5" hidden="1" customHeight="1" x14ac:dyDescent="0.2">
      <c r="A1560" s="24">
        <v>2020</v>
      </c>
      <c r="B1560" s="17" t="s">
        <v>20</v>
      </c>
      <c r="C1560" s="45">
        <v>46433.58</v>
      </c>
      <c r="D1560" s="48">
        <v>273949.68</v>
      </c>
      <c r="E1560" s="44">
        <v>172</v>
      </c>
      <c r="F1560" s="44">
        <v>2135</v>
      </c>
      <c r="G1560" s="45">
        <v>67838.69</v>
      </c>
      <c r="H1560" s="45">
        <v>464348.71</v>
      </c>
      <c r="I1560" s="45">
        <v>27990.77</v>
      </c>
      <c r="J1560" s="45">
        <v>191542.45</v>
      </c>
      <c r="K1560" s="18"/>
    </row>
    <row r="1561" spans="1:11" ht="16.5" hidden="1" customHeight="1" x14ac:dyDescent="0.2">
      <c r="A1561" s="24"/>
      <c r="B1561" s="17" t="s">
        <v>21</v>
      </c>
      <c r="C1561" s="45">
        <v>18831.61</v>
      </c>
      <c r="D1561" s="48">
        <v>155604.35999999999</v>
      </c>
      <c r="E1561" s="44">
        <v>87</v>
      </c>
      <c r="F1561" s="44">
        <v>1519</v>
      </c>
      <c r="G1561" s="45">
        <v>55120.14</v>
      </c>
      <c r="H1561" s="45">
        <v>412052.76</v>
      </c>
      <c r="I1561" s="45">
        <v>29450.82</v>
      </c>
      <c r="J1561" s="45">
        <v>245958.45</v>
      </c>
      <c r="K1561" s="18"/>
    </row>
    <row r="1562" spans="1:11" ht="16.5" hidden="1" customHeight="1" x14ac:dyDescent="0.2">
      <c r="A1562" s="24"/>
      <c r="B1562" s="17" t="s">
        <v>22</v>
      </c>
      <c r="C1562" s="43">
        <v>12251.14</v>
      </c>
      <c r="D1562" s="43">
        <v>201734.43</v>
      </c>
      <c r="E1562" s="44">
        <v>73</v>
      </c>
      <c r="F1562" s="44">
        <v>1618</v>
      </c>
      <c r="G1562" s="43">
        <v>55231.519999999997</v>
      </c>
      <c r="H1562" s="43">
        <v>340329.05</v>
      </c>
      <c r="I1562" s="43">
        <v>33064.04</v>
      </c>
      <c r="J1562" s="43">
        <v>204065.03</v>
      </c>
      <c r="K1562" s="18"/>
    </row>
    <row r="1563" spans="1:11" ht="16.5" hidden="1" customHeight="1" x14ac:dyDescent="0.2">
      <c r="A1563" s="24"/>
      <c r="B1563" s="17"/>
      <c r="C1563" s="43"/>
      <c r="D1563" s="43"/>
      <c r="E1563" s="44"/>
      <c r="F1563" s="44"/>
      <c r="G1563" s="43"/>
      <c r="H1563" s="43"/>
      <c r="I1563" s="43"/>
      <c r="J1563" s="43"/>
      <c r="K1563" s="18"/>
    </row>
    <row r="1564" spans="1:11" ht="16.5" hidden="1" customHeight="1" x14ac:dyDescent="0.25">
      <c r="A1564" s="24" t="s">
        <v>19</v>
      </c>
      <c r="B1564" s="16" t="s">
        <v>126</v>
      </c>
      <c r="C1564" s="43"/>
      <c r="D1564" s="43"/>
      <c r="E1564" s="44"/>
      <c r="F1564" s="44"/>
      <c r="G1564" s="43"/>
      <c r="H1564" s="43"/>
      <c r="I1564" s="43"/>
      <c r="J1564" s="43"/>
      <c r="K1564" s="18"/>
    </row>
    <row r="1565" spans="1:11" ht="16.5" hidden="1" customHeight="1" x14ac:dyDescent="0.2">
      <c r="A1565" s="24">
        <v>2020</v>
      </c>
      <c r="B1565" s="17" t="s">
        <v>24</v>
      </c>
      <c r="C1565" s="45">
        <v>32064.01</v>
      </c>
      <c r="D1565" s="48">
        <v>354397.3</v>
      </c>
      <c r="E1565" s="44">
        <v>115</v>
      </c>
      <c r="F1565" s="44">
        <v>2019</v>
      </c>
      <c r="G1565" s="45">
        <v>31293.05</v>
      </c>
      <c r="H1565" s="45">
        <v>358928.47</v>
      </c>
      <c r="I1565" s="45">
        <v>42809.49</v>
      </c>
      <c r="J1565" s="45">
        <v>295735.28000000003</v>
      </c>
      <c r="K1565" s="18"/>
    </row>
    <row r="1566" spans="1:11" ht="16.5" hidden="1" customHeight="1" x14ac:dyDescent="0.2">
      <c r="A1566" s="24"/>
      <c r="B1566" s="17" t="s">
        <v>25</v>
      </c>
      <c r="C1566" s="45">
        <v>37629.5</v>
      </c>
      <c r="D1566" s="48">
        <v>272553.07</v>
      </c>
      <c r="E1566" s="44">
        <v>58</v>
      </c>
      <c r="F1566" s="44">
        <v>430</v>
      </c>
      <c r="G1566" s="45">
        <v>39225.4</v>
      </c>
      <c r="H1566" s="45">
        <v>373210.73</v>
      </c>
      <c r="I1566" s="45">
        <v>30238.720000000001</v>
      </c>
      <c r="J1566" s="45">
        <v>274587.61</v>
      </c>
      <c r="K1566" s="18"/>
    </row>
    <row r="1567" spans="1:11" ht="16.5" hidden="1" customHeight="1" thickBot="1" x14ac:dyDescent="0.25">
      <c r="A1567" s="24"/>
      <c r="B1567" s="17" t="s">
        <v>11</v>
      </c>
      <c r="C1567" s="43">
        <v>58676.05</v>
      </c>
      <c r="D1567" s="43">
        <v>517171.17</v>
      </c>
      <c r="E1567" s="44">
        <v>73</v>
      </c>
      <c r="F1567" s="44">
        <v>799</v>
      </c>
      <c r="G1567" s="43">
        <v>50950.31</v>
      </c>
      <c r="H1567" s="43">
        <v>334361.08</v>
      </c>
      <c r="I1567" s="43">
        <v>23840.83</v>
      </c>
      <c r="J1567" s="43">
        <v>207685</v>
      </c>
      <c r="K1567" s="18"/>
    </row>
    <row r="1568" spans="1:11" ht="16.5" hidden="1" customHeight="1" thickBot="1" x14ac:dyDescent="0.25">
      <c r="A1568" s="24"/>
      <c r="B1568" s="17"/>
      <c r="C1568" s="101" t="s">
        <v>125</v>
      </c>
      <c r="D1568" s="102"/>
      <c r="E1568" s="102"/>
      <c r="F1568" s="103"/>
      <c r="G1568" s="43"/>
      <c r="H1568" s="43"/>
      <c r="I1568" s="43"/>
      <c r="J1568" s="43"/>
      <c r="K1568" s="18"/>
    </row>
    <row r="1569" spans="1:11" ht="16.5" hidden="1" customHeight="1" x14ac:dyDescent="0.2">
      <c r="A1569" s="24"/>
      <c r="B1569" s="17"/>
      <c r="C1569" s="50"/>
      <c r="D1569" s="50"/>
      <c r="E1569" s="50"/>
      <c r="F1569" s="50"/>
      <c r="G1569" s="43"/>
      <c r="H1569" s="43"/>
      <c r="I1569" s="43"/>
      <c r="J1569" s="43"/>
      <c r="K1569" s="18"/>
    </row>
    <row r="1570" spans="1:11" ht="16.5" hidden="1" customHeight="1" x14ac:dyDescent="0.25">
      <c r="A1570" s="24" t="s">
        <v>19</v>
      </c>
      <c r="B1570" s="16" t="s">
        <v>127</v>
      </c>
      <c r="C1570" s="43"/>
      <c r="D1570" s="43"/>
      <c r="E1570" s="44"/>
      <c r="F1570" s="44"/>
      <c r="G1570" s="43"/>
      <c r="H1570" s="43"/>
      <c r="I1570" s="43"/>
      <c r="J1570" s="43"/>
      <c r="K1570" s="18"/>
    </row>
    <row r="1571" spans="1:11" ht="16.5" hidden="1" customHeight="1" x14ac:dyDescent="0.2">
      <c r="A1571" s="24">
        <v>2020</v>
      </c>
      <c r="B1571" s="17" t="s">
        <v>12</v>
      </c>
      <c r="C1571" s="45">
        <f>503.3+70127.61</f>
        <v>70630.91</v>
      </c>
      <c r="D1571" s="48">
        <f>354.17+2005.31+515978.11+112.89+0</f>
        <v>518450.48</v>
      </c>
      <c r="E1571" s="44">
        <v>531</v>
      </c>
      <c r="F1571" s="44">
        <f>15+65+4483+3+8</f>
        <v>4574</v>
      </c>
      <c r="G1571" s="45">
        <v>36732.18</v>
      </c>
      <c r="H1571" s="45">
        <f>252703.66+2703.03</f>
        <v>255406.69</v>
      </c>
      <c r="I1571" s="45">
        <v>26021.95</v>
      </c>
      <c r="J1571" s="45">
        <f>805.72+195713.82</f>
        <v>196519.54</v>
      </c>
      <c r="K1571" s="18"/>
    </row>
    <row r="1572" spans="1:11" ht="16.5" hidden="1" customHeight="1" x14ac:dyDescent="0.2">
      <c r="A1572" s="24"/>
      <c r="B1572" s="17" t="s">
        <v>13</v>
      </c>
      <c r="C1572" s="45">
        <f>1322.16+72020.54</f>
        <v>73342.7</v>
      </c>
      <c r="D1572" s="48">
        <f>0+2645.32+471961.33+62.86+529.11</f>
        <v>475198.62</v>
      </c>
      <c r="E1572" s="44">
        <f>6+556</f>
        <v>562</v>
      </c>
      <c r="F1572" s="44">
        <f>15+69+4576+7+1</f>
        <v>4668</v>
      </c>
      <c r="G1572" s="45">
        <v>25856.22</v>
      </c>
      <c r="H1572" s="45">
        <v>231398.01</v>
      </c>
      <c r="I1572" s="45">
        <v>24018.34</v>
      </c>
      <c r="J1572" s="45">
        <v>163090.76999999999</v>
      </c>
      <c r="K1572" s="18"/>
    </row>
    <row r="1573" spans="1:11" ht="16.5" hidden="1" customHeight="1" thickBot="1" x14ac:dyDescent="0.25">
      <c r="A1573" s="24"/>
      <c r="B1573" s="17" t="s">
        <v>14</v>
      </c>
      <c r="C1573" s="43">
        <f>305.02+27010.65</f>
        <v>27315.670000000002</v>
      </c>
      <c r="D1573" s="43">
        <f>523.37+2002.52+219514.39+28.36</f>
        <v>222068.64</v>
      </c>
      <c r="E1573" s="44">
        <f>198+1</f>
        <v>199</v>
      </c>
      <c r="F1573" s="44">
        <f>6+31+2082+12</f>
        <v>2131</v>
      </c>
      <c r="G1573" s="43">
        <v>33440.67</v>
      </c>
      <c r="H1573" s="43">
        <v>292839.84999999998</v>
      </c>
      <c r="I1573" s="43">
        <v>21441.11</v>
      </c>
      <c r="J1573" s="43">
        <v>145134.84</v>
      </c>
      <c r="K1573" s="18"/>
    </row>
    <row r="1574" spans="1:11" ht="16.5" hidden="1" customHeight="1" thickBot="1" x14ac:dyDescent="0.25">
      <c r="A1574" s="24"/>
      <c r="B1574" s="17"/>
      <c r="C1574" s="101" t="s">
        <v>128</v>
      </c>
      <c r="D1574" s="102"/>
      <c r="E1574" s="102"/>
      <c r="F1574" s="103"/>
      <c r="G1574" s="43"/>
      <c r="H1574" s="43"/>
      <c r="I1574" s="43"/>
      <c r="J1574" s="43"/>
      <c r="K1574" s="18"/>
    </row>
    <row r="1575" spans="1:11" ht="16.5" hidden="1" customHeight="1" x14ac:dyDescent="0.2">
      <c r="A1575" s="24"/>
      <c r="B1575" s="17"/>
      <c r="C1575" s="50"/>
      <c r="D1575" s="50"/>
      <c r="E1575" s="50"/>
      <c r="F1575" s="50"/>
      <c r="G1575" s="43"/>
      <c r="H1575" s="43"/>
      <c r="I1575" s="43"/>
      <c r="J1575" s="43"/>
      <c r="K1575" s="18"/>
    </row>
    <row r="1576" spans="1:11" ht="16.5" hidden="1" customHeight="1" x14ac:dyDescent="0.25">
      <c r="A1576" s="24" t="s">
        <v>19</v>
      </c>
      <c r="B1576" s="16" t="s">
        <v>129</v>
      </c>
      <c r="C1576" s="43"/>
      <c r="D1576" s="43"/>
      <c r="E1576" s="44"/>
      <c r="F1576" s="44"/>
      <c r="G1576" s="43"/>
      <c r="H1576" s="43"/>
      <c r="I1576" s="43"/>
      <c r="J1576" s="43"/>
      <c r="K1576" s="18"/>
    </row>
    <row r="1577" spans="1:11" ht="16.5" hidden="1" customHeight="1" x14ac:dyDescent="0.2">
      <c r="A1577" s="24">
        <v>2021</v>
      </c>
      <c r="B1577" s="17" t="s">
        <v>15</v>
      </c>
      <c r="C1577" s="45">
        <v>47607.25</v>
      </c>
      <c r="D1577" s="48">
        <v>562897.36</v>
      </c>
      <c r="E1577" s="44">
        <v>100</v>
      </c>
      <c r="F1577" s="44">
        <v>2012</v>
      </c>
      <c r="G1577" s="45">
        <v>47832.4</v>
      </c>
      <c r="H1577" s="45">
        <v>399343.53</v>
      </c>
      <c r="I1577" s="45">
        <v>29723.89</v>
      </c>
      <c r="J1577" s="45">
        <v>176327.92</v>
      </c>
      <c r="K1577" s="18"/>
    </row>
    <row r="1578" spans="1:11" ht="16.5" hidden="1" customHeight="1" x14ac:dyDescent="0.2">
      <c r="A1578" s="24"/>
      <c r="B1578" s="17" t="s">
        <v>16</v>
      </c>
      <c r="C1578" s="45">
        <v>48975.46</v>
      </c>
      <c r="D1578" s="48">
        <v>564681.1</v>
      </c>
      <c r="E1578" s="44">
        <v>104</v>
      </c>
      <c r="F1578" s="44">
        <v>2088</v>
      </c>
      <c r="G1578" s="45">
        <v>46014.21</v>
      </c>
      <c r="H1578" s="45">
        <v>506267.97</v>
      </c>
      <c r="I1578" s="45">
        <v>16040.18</v>
      </c>
      <c r="J1578" s="45">
        <v>158468.99</v>
      </c>
      <c r="K1578" s="18"/>
    </row>
    <row r="1579" spans="1:11" ht="16.5" hidden="1" customHeight="1" thickBot="1" x14ac:dyDescent="0.25">
      <c r="A1579" s="24"/>
      <c r="B1579" s="17" t="s">
        <v>17</v>
      </c>
      <c r="C1579" s="43">
        <v>47078.14</v>
      </c>
      <c r="D1579" s="43">
        <v>605598.25</v>
      </c>
      <c r="E1579" s="44">
        <v>106</v>
      </c>
      <c r="F1579" s="44">
        <v>2188</v>
      </c>
      <c r="G1579" s="43">
        <v>67819.02</v>
      </c>
      <c r="H1579" s="43">
        <v>574920.15</v>
      </c>
      <c r="I1579" s="43">
        <v>27792.28</v>
      </c>
      <c r="J1579" s="43">
        <v>211044.42</v>
      </c>
      <c r="K1579" s="18"/>
    </row>
    <row r="1580" spans="1:11" ht="16.5" hidden="1" customHeight="1" thickBot="1" x14ac:dyDescent="0.25">
      <c r="A1580" s="24"/>
      <c r="B1580" s="17"/>
      <c r="C1580" s="101" t="s">
        <v>128</v>
      </c>
      <c r="D1580" s="102"/>
      <c r="E1580" s="102"/>
      <c r="F1580" s="103"/>
      <c r="G1580" s="43"/>
      <c r="H1580" s="43"/>
      <c r="I1580" s="43"/>
      <c r="J1580" s="43"/>
      <c r="K1580" s="18"/>
    </row>
    <row r="1581" spans="1:11" ht="16.5" hidden="1" customHeight="1" x14ac:dyDescent="0.2">
      <c r="A1581" s="24"/>
      <c r="B1581" s="17"/>
      <c r="C1581" s="50"/>
      <c r="D1581" s="50"/>
      <c r="E1581" s="50"/>
      <c r="F1581" s="50"/>
      <c r="G1581" s="43"/>
      <c r="H1581" s="43"/>
      <c r="I1581" s="43"/>
      <c r="J1581" s="43"/>
      <c r="K1581" s="18"/>
    </row>
    <row r="1582" spans="1:11" ht="16.5" hidden="1" customHeight="1" x14ac:dyDescent="0.25">
      <c r="A1582" s="24" t="s">
        <v>19</v>
      </c>
      <c r="B1582" s="16" t="s">
        <v>130</v>
      </c>
      <c r="C1582" s="43"/>
      <c r="D1582" s="43"/>
      <c r="E1582" s="44"/>
      <c r="F1582" s="44"/>
      <c r="G1582" s="43"/>
      <c r="H1582" s="43"/>
      <c r="I1582" s="43"/>
      <c r="J1582" s="43"/>
      <c r="K1582" s="18"/>
    </row>
    <row r="1583" spans="1:11" ht="16.5" hidden="1" customHeight="1" x14ac:dyDescent="0.2">
      <c r="A1583" s="24">
        <v>2021</v>
      </c>
      <c r="B1583" s="17" t="s">
        <v>20</v>
      </c>
      <c r="C1583" s="45">
        <v>48780.27</v>
      </c>
      <c r="D1583" s="48">
        <v>595444.68000000005</v>
      </c>
      <c r="E1583" s="44">
        <v>113</v>
      </c>
      <c r="F1583" s="44">
        <v>2186</v>
      </c>
      <c r="G1583" s="45">
        <v>77359.08</v>
      </c>
      <c r="H1583" s="45">
        <v>562305.21</v>
      </c>
      <c r="I1583" s="45">
        <v>30408.97</v>
      </c>
      <c r="J1583" s="45">
        <v>237518.87</v>
      </c>
      <c r="K1583" s="18"/>
    </row>
    <row r="1584" spans="1:11" ht="16.5" hidden="1" customHeight="1" x14ac:dyDescent="0.2">
      <c r="A1584" s="24"/>
      <c r="B1584" s="17" t="s">
        <v>21</v>
      </c>
      <c r="C1584" s="45">
        <v>42408.3</v>
      </c>
      <c r="D1584" s="48">
        <v>532057.51</v>
      </c>
      <c r="E1584" s="44">
        <v>82</v>
      </c>
      <c r="F1584" s="44">
        <v>1991</v>
      </c>
      <c r="G1584" s="45">
        <v>56976.05</v>
      </c>
      <c r="H1584" s="45">
        <v>463566.53</v>
      </c>
      <c r="I1584" s="45">
        <v>21657.14</v>
      </c>
      <c r="J1584" s="45">
        <v>169416.47</v>
      </c>
      <c r="K1584" s="18"/>
    </row>
    <row r="1585" spans="1:11" ht="16.5" hidden="1" customHeight="1" thickBot="1" x14ac:dyDescent="0.25">
      <c r="A1585" s="24"/>
      <c r="B1585" s="17" t="s">
        <v>22</v>
      </c>
      <c r="C1585" s="43">
        <v>44501.89</v>
      </c>
      <c r="D1585" s="43">
        <v>532518.43000000005</v>
      </c>
      <c r="E1585" s="44">
        <v>101</v>
      </c>
      <c r="F1585" s="44">
        <v>2212</v>
      </c>
      <c r="G1585" s="43">
        <v>38856.61</v>
      </c>
      <c r="H1585" s="43">
        <v>411097.97</v>
      </c>
      <c r="I1585" s="43">
        <v>22061.84</v>
      </c>
      <c r="J1585" s="43">
        <v>194343.81</v>
      </c>
      <c r="K1585" s="18"/>
    </row>
    <row r="1586" spans="1:11" ht="16.5" hidden="1" customHeight="1" thickBot="1" x14ac:dyDescent="0.25">
      <c r="A1586" s="24"/>
      <c r="B1586" s="17"/>
      <c r="C1586" s="101" t="s">
        <v>128</v>
      </c>
      <c r="D1586" s="102"/>
      <c r="E1586" s="102"/>
      <c r="F1586" s="103"/>
      <c r="G1586" s="43"/>
      <c r="H1586" s="43"/>
      <c r="I1586" s="43"/>
      <c r="J1586" s="43"/>
      <c r="K1586" s="18"/>
    </row>
    <row r="1587" spans="1:11" ht="16.5" hidden="1" customHeight="1" x14ac:dyDescent="0.2">
      <c r="A1587" s="24"/>
      <c r="B1587" s="17"/>
      <c r="C1587" s="50"/>
      <c r="D1587" s="50"/>
      <c r="E1587" s="50"/>
      <c r="F1587" s="50"/>
      <c r="G1587" s="43"/>
      <c r="H1587" s="43"/>
      <c r="I1587" s="43"/>
      <c r="J1587" s="43"/>
      <c r="K1587" s="18"/>
    </row>
    <row r="1588" spans="1:11" ht="16.5" hidden="1" customHeight="1" x14ac:dyDescent="0.25">
      <c r="A1588" s="24" t="s">
        <v>19</v>
      </c>
      <c r="B1588" s="16" t="s">
        <v>131</v>
      </c>
      <c r="C1588" s="43"/>
      <c r="D1588" s="43"/>
      <c r="E1588" s="44"/>
      <c r="F1588" s="44"/>
      <c r="G1588" s="43"/>
      <c r="H1588" s="43"/>
      <c r="I1588" s="43"/>
      <c r="J1588" s="43"/>
      <c r="K1588" s="18"/>
    </row>
    <row r="1589" spans="1:11" ht="16.5" hidden="1" customHeight="1" x14ac:dyDescent="0.2">
      <c r="A1589" s="24">
        <v>2021</v>
      </c>
      <c r="B1589" s="17" t="s">
        <v>24</v>
      </c>
      <c r="C1589" s="43">
        <v>35078.83</v>
      </c>
      <c r="D1589" s="43">
        <v>504681.53</v>
      </c>
      <c r="E1589" s="44">
        <v>99</v>
      </c>
      <c r="F1589" s="44">
        <v>2087</v>
      </c>
      <c r="G1589" s="45">
        <v>59163.82</v>
      </c>
      <c r="H1589" s="45">
        <v>394456.31</v>
      </c>
      <c r="I1589" s="45">
        <v>21598.81</v>
      </c>
      <c r="J1589" s="45">
        <v>156527.45000000001</v>
      </c>
      <c r="K1589" s="18"/>
    </row>
    <row r="1590" spans="1:11" ht="16.5" hidden="1" customHeight="1" x14ac:dyDescent="0.2">
      <c r="A1590" s="24"/>
      <c r="B1590" s="17" t="s">
        <v>25</v>
      </c>
      <c r="C1590" s="45">
        <v>62387</v>
      </c>
      <c r="D1590" s="48">
        <v>610209.01</v>
      </c>
      <c r="E1590" s="44">
        <f>135+1</f>
        <v>136</v>
      </c>
      <c r="F1590" s="44">
        <v>2528</v>
      </c>
      <c r="G1590" s="45">
        <v>66137.25</v>
      </c>
      <c r="H1590" s="45">
        <v>444271.57</v>
      </c>
      <c r="I1590" s="45">
        <v>27703.05</v>
      </c>
      <c r="J1590" s="45">
        <v>173738.18</v>
      </c>
      <c r="K1590" s="18"/>
    </row>
    <row r="1591" spans="1:11" ht="16.5" hidden="1" customHeight="1" thickBot="1" x14ac:dyDescent="0.25">
      <c r="A1591" s="24"/>
      <c r="B1591" s="17" t="s">
        <v>11</v>
      </c>
      <c r="C1591" s="43">
        <f>65691.44+63.63</f>
        <v>65755.070000000007</v>
      </c>
      <c r="D1591" s="43">
        <v>673799.64</v>
      </c>
      <c r="E1591" s="44">
        <f>157+1</f>
        <v>158</v>
      </c>
      <c r="F1591" s="44">
        <v>2640</v>
      </c>
      <c r="G1591" s="43">
        <v>64059.63</v>
      </c>
      <c r="H1591" s="43">
        <v>396220.85</v>
      </c>
      <c r="I1591" s="43">
        <v>27203.96</v>
      </c>
      <c r="J1591" s="43">
        <v>167217.57</v>
      </c>
      <c r="K1591" s="18"/>
    </row>
    <row r="1592" spans="1:11" ht="16.5" hidden="1" customHeight="1" thickBot="1" x14ac:dyDescent="0.25">
      <c r="A1592" s="24"/>
      <c r="B1592" s="17"/>
      <c r="C1592" s="101" t="s">
        <v>128</v>
      </c>
      <c r="D1592" s="102"/>
      <c r="E1592" s="102"/>
      <c r="F1592" s="103"/>
      <c r="G1592" s="43"/>
      <c r="H1592" s="43"/>
      <c r="I1592" s="43"/>
      <c r="J1592" s="43"/>
      <c r="K1592" s="18"/>
    </row>
    <row r="1593" spans="1:11" ht="16.5" hidden="1" customHeight="1" x14ac:dyDescent="0.2">
      <c r="A1593" s="24"/>
      <c r="B1593" s="17"/>
      <c r="C1593" s="50"/>
      <c r="D1593" s="50"/>
      <c r="E1593" s="50"/>
      <c r="F1593" s="50"/>
      <c r="G1593" s="43"/>
      <c r="H1593" s="43"/>
      <c r="I1593" s="43"/>
      <c r="J1593" s="43"/>
      <c r="K1593" s="18"/>
    </row>
    <row r="1594" spans="1:11" ht="16.5" hidden="1" customHeight="1" x14ac:dyDescent="0.25">
      <c r="A1594" s="24" t="s">
        <v>19</v>
      </c>
      <c r="B1594" s="16" t="s">
        <v>132</v>
      </c>
      <c r="C1594" s="43"/>
      <c r="D1594" s="43"/>
      <c r="E1594" s="44"/>
      <c r="F1594" s="44"/>
      <c r="G1594" s="43"/>
      <c r="H1594" s="43"/>
      <c r="I1594" s="43"/>
      <c r="J1594" s="43"/>
      <c r="K1594" s="18"/>
    </row>
    <row r="1595" spans="1:11" ht="16.5" hidden="1" customHeight="1" x14ac:dyDescent="0.2">
      <c r="A1595" s="24">
        <v>2021</v>
      </c>
      <c r="B1595" s="17" t="s">
        <v>12</v>
      </c>
      <c r="C1595" s="45">
        <f>71380.8+73.51</f>
        <v>71454.31</v>
      </c>
      <c r="D1595" s="48">
        <v>760868.05</v>
      </c>
      <c r="E1595" s="44">
        <f>147+1</f>
        <v>148</v>
      </c>
      <c r="F1595" s="44">
        <v>2678</v>
      </c>
      <c r="G1595" s="45">
        <v>51476.72</v>
      </c>
      <c r="H1595" s="45">
        <v>428378.12</v>
      </c>
      <c r="I1595" s="45">
        <v>25145.040000000001</v>
      </c>
      <c r="J1595" s="45">
        <v>178120.01</v>
      </c>
      <c r="K1595" s="18"/>
    </row>
    <row r="1596" spans="1:11" ht="16.5" hidden="1" customHeight="1" x14ac:dyDescent="0.2">
      <c r="A1596" s="24"/>
      <c r="B1596" s="17" t="s">
        <v>13</v>
      </c>
      <c r="C1596" s="45">
        <f>65896.1+1538.71</f>
        <v>67434.810000000012</v>
      </c>
      <c r="D1596" s="48">
        <v>622170.02</v>
      </c>
      <c r="E1596" s="44">
        <f>126+3</f>
        <v>129</v>
      </c>
      <c r="F1596" s="44">
        <v>2254</v>
      </c>
      <c r="G1596" s="45">
        <v>50248.81</v>
      </c>
      <c r="H1596" s="45">
        <v>410863.88</v>
      </c>
      <c r="I1596" s="45">
        <v>16490.89</v>
      </c>
      <c r="J1596" s="45">
        <v>179223.01</v>
      </c>
      <c r="K1596" s="18"/>
    </row>
    <row r="1597" spans="1:11" ht="16.5" hidden="1" customHeight="1" thickBot="1" x14ac:dyDescent="0.25">
      <c r="A1597" s="24"/>
      <c r="B1597" s="17" t="s">
        <v>14</v>
      </c>
      <c r="C1597" s="43">
        <f>62598.81+233.31</f>
        <v>62832.119999999995</v>
      </c>
      <c r="D1597" s="43">
        <v>672820.51</v>
      </c>
      <c r="E1597" s="44">
        <f>144+2</f>
        <v>146</v>
      </c>
      <c r="F1597" s="44">
        <v>2289</v>
      </c>
      <c r="G1597" s="43">
        <v>51421.55</v>
      </c>
      <c r="H1597" s="43">
        <v>410037.9</v>
      </c>
      <c r="I1597" s="43">
        <v>22275.61</v>
      </c>
      <c r="J1597" s="43">
        <v>175851.24</v>
      </c>
      <c r="K1597" s="18"/>
    </row>
    <row r="1598" spans="1:11" ht="16.5" hidden="1" customHeight="1" thickBot="1" x14ac:dyDescent="0.25">
      <c r="A1598" s="24"/>
      <c r="B1598" s="17"/>
      <c r="C1598" s="101" t="s">
        <v>128</v>
      </c>
      <c r="D1598" s="102"/>
      <c r="E1598" s="102"/>
      <c r="F1598" s="103"/>
      <c r="G1598" s="43"/>
      <c r="H1598" s="43"/>
      <c r="I1598" s="43"/>
      <c r="J1598" s="43"/>
      <c r="K1598" s="18"/>
    </row>
    <row r="1599" spans="1:11" ht="16.5" hidden="1" customHeight="1" x14ac:dyDescent="0.2">
      <c r="A1599" s="24"/>
      <c r="B1599" s="17"/>
      <c r="C1599" s="50"/>
      <c r="D1599" s="50"/>
      <c r="E1599" s="50"/>
      <c r="F1599" s="50"/>
      <c r="G1599" s="43"/>
      <c r="H1599" s="43"/>
      <c r="I1599" s="43"/>
      <c r="J1599" s="43"/>
      <c r="K1599" s="18"/>
    </row>
    <row r="1600" spans="1:11" ht="16.5" hidden="1" customHeight="1" x14ac:dyDescent="0.2">
      <c r="A1600" s="24"/>
      <c r="B1600" s="17"/>
      <c r="C1600" s="50"/>
      <c r="D1600" s="50"/>
      <c r="E1600" s="50"/>
      <c r="F1600" s="50"/>
      <c r="G1600" s="43"/>
      <c r="H1600" s="43"/>
      <c r="I1600" s="43"/>
      <c r="J1600" s="43"/>
      <c r="K1600" s="18"/>
    </row>
    <row r="1601" spans="1:11" ht="16.5" hidden="1" customHeight="1" x14ac:dyDescent="0.2">
      <c r="A1601" s="24"/>
      <c r="B1601" s="17"/>
      <c r="C1601" s="50"/>
      <c r="D1601" s="50"/>
      <c r="E1601" s="50"/>
      <c r="F1601" s="50"/>
      <c r="G1601" s="43"/>
      <c r="H1601" s="43"/>
      <c r="I1601" s="43"/>
      <c r="J1601" s="43"/>
      <c r="K1601" s="18"/>
    </row>
    <row r="1602" spans="1:11" ht="16.5" hidden="1" customHeight="1" x14ac:dyDescent="0.25">
      <c r="A1602" s="24" t="s">
        <v>19</v>
      </c>
      <c r="B1602" s="16" t="s">
        <v>134</v>
      </c>
      <c r="C1602" s="43"/>
      <c r="D1602" s="43"/>
      <c r="E1602" s="44"/>
      <c r="F1602" s="44"/>
      <c r="G1602" s="43"/>
      <c r="H1602" s="43"/>
      <c r="I1602" s="43"/>
      <c r="J1602" s="43"/>
      <c r="K1602" s="18"/>
    </row>
    <row r="1603" spans="1:11" ht="16.5" hidden="1" customHeight="1" x14ac:dyDescent="0.2">
      <c r="A1603" s="24">
        <v>2022</v>
      </c>
      <c r="B1603" s="17" t="s">
        <v>15</v>
      </c>
      <c r="C1603" s="45">
        <v>58133.39</v>
      </c>
      <c r="D1603" s="48">
        <v>606667.18999999994</v>
      </c>
      <c r="E1603" s="44">
        <v>122</v>
      </c>
      <c r="F1603" s="44">
        <v>2331</v>
      </c>
      <c r="G1603" s="45">
        <v>47500.87</v>
      </c>
      <c r="H1603" s="45">
        <v>423471.17</v>
      </c>
      <c r="I1603" s="45">
        <v>22509</v>
      </c>
      <c r="J1603" s="45">
        <v>153254.25</v>
      </c>
      <c r="K1603" s="18"/>
    </row>
    <row r="1604" spans="1:11" ht="16.5" hidden="1" customHeight="1" x14ac:dyDescent="0.2">
      <c r="A1604" s="24"/>
      <c r="B1604" s="17" t="s">
        <v>16</v>
      </c>
      <c r="C1604" s="45">
        <v>59273.16</v>
      </c>
      <c r="D1604" s="48">
        <v>477248.99</v>
      </c>
      <c r="E1604" s="44">
        <v>131</v>
      </c>
      <c r="F1604" s="44">
        <v>1925</v>
      </c>
      <c r="G1604" s="45">
        <v>72722.05</v>
      </c>
      <c r="H1604" s="45">
        <v>539860.02</v>
      </c>
      <c r="I1604" s="45">
        <v>21716.29</v>
      </c>
      <c r="J1604" s="45">
        <v>169281.28</v>
      </c>
      <c r="K1604" s="18"/>
    </row>
    <row r="1605" spans="1:11" ht="16.5" hidden="1" customHeight="1" thickBot="1" x14ac:dyDescent="0.25">
      <c r="A1605" s="24"/>
      <c r="B1605" s="17" t="s">
        <v>17</v>
      </c>
      <c r="C1605" s="43">
        <v>46798.14</v>
      </c>
      <c r="D1605" s="43">
        <v>595269.06000000006</v>
      </c>
      <c r="E1605" s="44">
        <v>111</v>
      </c>
      <c r="F1605" s="44">
        <v>2044</v>
      </c>
      <c r="G1605" s="43">
        <v>78611.850000000006</v>
      </c>
      <c r="H1605" s="43">
        <v>504485.63</v>
      </c>
      <c r="I1605" s="43">
        <v>26857.26</v>
      </c>
      <c r="J1605" s="43">
        <v>211555.05</v>
      </c>
      <c r="K1605" s="18"/>
    </row>
    <row r="1606" spans="1:11" ht="16.5" hidden="1" customHeight="1" thickBot="1" x14ac:dyDescent="0.25">
      <c r="A1606" s="24"/>
      <c r="B1606" s="17"/>
      <c r="C1606" s="101" t="s">
        <v>128</v>
      </c>
      <c r="D1606" s="102"/>
      <c r="E1606" s="102"/>
      <c r="F1606" s="103"/>
      <c r="G1606" s="43"/>
      <c r="H1606" s="43"/>
      <c r="I1606" s="43"/>
      <c r="J1606" s="43"/>
      <c r="K1606" s="18"/>
    </row>
    <row r="1607" spans="1:11" ht="16.5" hidden="1" customHeight="1" x14ac:dyDescent="0.2">
      <c r="A1607" s="24"/>
      <c r="B1607" s="17"/>
      <c r="C1607" s="50"/>
      <c r="D1607" s="50"/>
      <c r="E1607" s="50"/>
      <c r="F1607" s="50"/>
      <c r="G1607" s="43"/>
      <c r="H1607" s="43"/>
      <c r="I1607" s="43"/>
      <c r="J1607" s="43"/>
      <c r="K1607" s="18"/>
    </row>
    <row r="1608" spans="1:11" ht="16.5" hidden="1" customHeight="1" x14ac:dyDescent="0.25">
      <c r="A1608" s="24" t="s">
        <v>19</v>
      </c>
      <c r="B1608" s="16" t="s">
        <v>135</v>
      </c>
      <c r="C1608" s="43"/>
      <c r="D1608" s="43"/>
      <c r="E1608" s="44"/>
      <c r="F1608" s="44"/>
      <c r="G1608" s="43"/>
      <c r="H1608" s="43"/>
      <c r="I1608" s="43"/>
      <c r="J1608" s="43"/>
      <c r="K1608" s="18"/>
    </row>
    <row r="1609" spans="1:11" ht="16.5" hidden="1" customHeight="1" x14ac:dyDescent="0.2">
      <c r="A1609" s="24">
        <v>2022</v>
      </c>
      <c r="B1609" s="17" t="s">
        <v>20</v>
      </c>
      <c r="C1609" s="45">
        <v>53432.88</v>
      </c>
      <c r="D1609" s="48">
        <v>439971.68</v>
      </c>
      <c r="E1609" s="44">
        <v>109</v>
      </c>
      <c r="F1609" s="44">
        <v>1344</v>
      </c>
      <c r="G1609" s="45">
        <v>61687.8</v>
      </c>
      <c r="H1609" s="45">
        <v>568695.81999999995</v>
      </c>
      <c r="I1609" s="45">
        <v>33043.71</v>
      </c>
      <c r="J1609" s="45">
        <v>229239.47</v>
      </c>
      <c r="K1609" s="18"/>
    </row>
    <row r="1610" spans="1:11" ht="16.5" hidden="1" customHeight="1" x14ac:dyDescent="0.2">
      <c r="A1610" s="24"/>
      <c r="B1610" s="17" t="s">
        <v>21</v>
      </c>
      <c r="C1610" s="45">
        <v>48989.71</v>
      </c>
      <c r="D1610" s="48">
        <v>635717.81000000006</v>
      </c>
      <c r="E1610" s="44">
        <v>127</v>
      </c>
      <c r="F1610" s="44">
        <v>2051</v>
      </c>
      <c r="G1610" s="45">
        <v>55817.68</v>
      </c>
      <c r="H1610" s="45">
        <v>438708.11</v>
      </c>
      <c r="I1610" s="45">
        <v>27146.22</v>
      </c>
      <c r="J1610" s="45">
        <v>179878.36</v>
      </c>
      <c r="K1610" s="18"/>
    </row>
    <row r="1611" spans="1:11" ht="16.5" hidden="1" customHeight="1" thickBot="1" x14ac:dyDescent="0.25">
      <c r="A1611" s="24"/>
      <c r="B1611" s="17" t="s">
        <v>22</v>
      </c>
      <c r="C1611" s="43">
        <v>95461</v>
      </c>
      <c r="D1611" s="43">
        <v>668446.14</v>
      </c>
      <c r="E1611" s="44">
        <v>150</v>
      </c>
      <c r="F1611" s="44">
        <v>2339</v>
      </c>
      <c r="G1611" s="43">
        <v>45540.43</v>
      </c>
      <c r="H1611" s="43">
        <v>390619.72</v>
      </c>
      <c r="I1611" s="43">
        <v>20028.849999999999</v>
      </c>
      <c r="J1611" s="43">
        <v>145143.04000000001</v>
      </c>
      <c r="K1611" s="18"/>
    </row>
    <row r="1612" spans="1:11" ht="16.5" hidden="1" customHeight="1" thickBot="1" x14ac:dyDescent="0.25">
      <c r="A1612" s="24"/>
      <c r="B1612" s="17"/>
      <c r="C1612" s="101" t="s">
        <v>128</v>
      </c>
      <c r="D1612" s="102"/>
      <c r="E1612" s="102"/>
      <c r="F1612" s="103"/>
      <c r="G1612" s="43"/>
      <c r="H1612" s="43"/>
      <c r="I1612" s="43"/>
      <c r="J1612" s="43"/>
      <c r="K1612" s="18"/>
    </row>
    <row r="1613" spans="1:11" ht="16.5" hidden="1" customHeight="1" x14ac:dyDescent="0.2">
      <c r="A1613" s="24"/>
      <c r="B1613" s="17"/>
      <c r="C1613" s="50"/>
      <c r="D1613" s="50"/>
      <c r="E1613" s="50"/>
      <c r="F1613" s="50"/>
      <c r="G1613" s="43"/>
      <c r="H1613" s="43"/>
      <c r="I1613" s="43"/>
      <c r="J1613" s="43"/>
      <c r="K1613" s="18"/>
    </row>
    <row r="1614" spans="1:11" ht="16.5" hidden="1" customHeight="1" x14ac:dyDescent="0.25">
      <c r="A1614" s="24" t="s">
        <v>19</v>
      </c>
      <c r="B1614" s="16" t="s">
        <v>136</v>
      </c>
      <c r="C1614" s="43"/>
      <c r="D1614" s="43"/>
      <c r="E1614" s="44"/>
      <c r="F1614" s="44"/>
      <c r="G1614" s="43"/>
      <c r="H1614" s="43"/>
      <c r="I1614" s="43"/>
      <c r="J1614" s="43"/>
      <c r="K1614" s="18"/>
    </row>
    <row r="1615" spans="1:11" ht="16.5" hidden="1" customHeight="1" x14ac:dyDescent="0.2">
      <c r="A1615" s="24">
        <v>2022</v>
      </c>
      <c r="B1615" s="17" t="s">
        <v>24</v>
      </c>
      <c r="C1615" s="45">
        <f>80748.94+24.02</f>
        <v>80772.960000000006</v>
      </c>
      <c r="D1615" s="48">
        <v>667723.42000000004</v>
      </c>
      <c r="E1615" s="44">
        <f>130+1</f>
        <v>131</v>
      </c>
      <c r="F1615" s="44">
        <v>2210</v>
      </c>
      <c r="G1615" s="45">
        <v>64775.13</v>
      </c>
      <c r="H1615" s="45">
        <v>439981.64</v>
      </c>
      <c r="I1615" s="45">
        <v>32202.9</v>
      </c>
      <c r="J1615" s="45">
        <v>232048.03</v>
      </c>
      <c r="K1615" s="18"/>
    </row>
    <row r="1616" spans="1:11" ht="16.5" hidden="1" customHeight="1" x14ac:dyDescent="0.2">
      <c r="A1616" s="24"/>
      <c r="B1616" s="17" t="s">
        <v>25</v>
      </c>
      <c r="C1616" s="45">
        <f>91582.42+11.02</f>
        <v>91593.44</v>
      </c>
      <c r="D1616" s="48">
        <v>668446.14</v>
      </c>
      <c r="E1616" s="44">
        <f>166+1</f>
        <v>167</v>
      </c>
      <c r="F1616" s="44">
        <v>2985</v>
      </c>
      <c r="G1616" s="45">
        <v>43612.07</v>
      </c>
      <c r="H1616" s="45">
        <v>393096.15</v>
      </c>
      <c r="I1616" s="45">
        <v>22833.66</v>
      </c>
      <c r="J1616" s="45">
        <v>177332.63</v>
      </c>
      <c r="K1616" s="18"/>
    </row>
    <row r="1617" spans="1:11" ht="16.5" hidden="1" customHeight="1" x14ac:dyDescent="0.2">
      <c r="A1617" s="24"/>
      <c r="B1617" s="17" t="s">
        <v>11</v>
      </c>
      <c r="C1617" s="43">
        <f>83246.5+116.65</f>
        <v>83363.149999999994</v>
      </c>
      <c r="D1617" s="43">
        <v>729547.83</v>
      </c>
      <c r="E1617" s="44">
        <f>145+1</f>
        <v>146</v>
      </c>
      <c r="F1617" s="44">
        <v>2717</v>
      </c>
      <c r="G1617" s="43">
        <v>56968.98</v>
      </c>
      <c r="H1617" s="43">
        <v>451385.58</v>
      </c>
      <c r="I1617" s="43">
        <v>16806.55</v>
      </c>
      <c r="J1617" s="43">
        <v>171174.14</v>
      </c>
      <c r="K1617" s="18"/>
    </row>
    <row r="1618" spans="1:11" ht="16.5" hidden="1" customHeight="1" x14ac:dyDescent="0.2">
      <c r="A1618" s="24"/>
      <c r="B1618" s="17"/>
      <c r="C1618" s="50"/>
      <c r="D1618" s="50"/>
      <c r="E1618" s="50"/>
      <c r="F1618" s="50"/>
      <c r="G1618" s="43"/>
      <c r="H1618" s="43"/>
      <c r="I1618" s="43"/>
      <c r="J1618" s="43"/>
      <c r="K1618" s="18"/>
    </row>
    <row r="1619" spans="1:11" ht="16.5" hidden="1" customHeight="1" x14ac:dyDescent="0.25">
      <c r="A1619" s="24" t="s">
        <v>19</v>
      </c>
      <c r="B1619" s="16" t="s">
        <v>137</v>
      </c>
      <c r="C1619" s="43"/>
      <c r="D1619" s="43"/>
      <c r="E1619" s="44"/>
      <c r="F1619" s="44"/>
      <c r="G1619" s="43"/>
      <c r="H1619" s="43"/>
      <c r="I1619" s="43"/>
      <c r="J1619" s="43"/>
      <c r="K1619" s="18"/>
    </row>
    <row r="1620" spans="1:11" ht="16.5" hidden="1" customHeight="1" x14ac:dyDescent="0.2">
      <c r="A1620" s="24">
        <v>2022</v>
      </c>
      <c r="B1620" s="17" t="s">
        <v>12</v>
      </c>
      <c r="C1620" s="45">
        <f>28923.99+121.38</f>
        <v>29045.370000000003</v>
      </c>
      <c r="D1620" s="48">
        <v>868832.21</v>
      </c>
      <c r="E1620" s="44">
        <f>47+1</f>
        <v>48</v>
      </c>
      <c r="F1620" s="44">
        <v>2841</v>
      </c>
      <c r="G1620" s="45">
        <v>59087.94</v>
      </c>
      <c r="H1620" s="45">
        <v>456560.19</v>
      </c>
      <c r="I1620" s="45">
        <v>24448.880000000001</v>
      </c>
      <c r="J1620" s="45">
        <v>166679.06</v>
      </c>
      <c r="K1620" s="18"/>
    </row>
    <row r="1621" spans="1:11" ht="16.5" hidden="1" customHeight="1" x14ac:dyDescent="0.2">
      <c r="A1621" s="24"/>
      <c r="B1621" s="17" t="s">
        <v>13</v>
      </c>
      <c r="C1621" s="45">
        <f>45867.1+622.01</f>
        <v>46489.11</v>
      </c>
      <c r="D1621" s="48">
        <v>849956.55</v>
      </c>
      <c r="E1621" s="44">
        <f>62+5</f>
        <v>67</v>
      </c>
      <c r="F1621" s="44">
        <v>2455</v>
      </c>
      <c r="G1621" s="45">
        <v>65921.41</v>
      </c>
      <c r="H1621" s="45">
        <v>538435.46000000101</v>
      </c>
      <c r="I1621" s="45">
        <v>23543.23</v>
      </c>
      <c r="J1621" s="45">
        <v>186825.15</v>
      </c>
      <c r="K1621" s="18"/>
    </row>
    <row r="1622" spans="1:11" ht="16.5" hidden="1" customHeight="1" x14ac:dyDescent="0.2">
      <c r="A1622" s="24"/>
      <c r="B1622" s="17" t="s">
        <v>14</v>
      </c>
      <c r="C1622" s="43">
        <v>35168.15</v>
      </c>
      <c r="D1622" s="43">
        <v>790982.16</v>
      </c>
      <c r="E1622" s="44">
        <v>52</v>
      </c>
      <c r="F1622" s="44">
        <v>2410</v>
      </c>
      <c r="G1622" s="43">
        <v>76015.850000000006</v>
      </c>
      <c r="H1622" s="43">
        <v>567738.34</v>
      </c>
      <c r="I1622" s="43">
        <v>23725.74</v>
      </c>
      <c r="J1622" s="43">
        <v>184999.18</v>
      </c>
      <c r="K1622" s="18"/>
    </row>
    <row r="1623" spans="1:11" ht="16.5" hidden="1" customHeight="1" x14ac:dyDescent="0.2">
      <c r="A1623" s="24"/>
      <c r="B1623" s="17"/>
      <c r="C1623" s="50"/>
      <c r="D1623" s="50"/>
      <c r="E1623" s="50"/>
      <c r="F1623" s="50"/>
      <c r="G1623" s="43"/>
      <c r="H1623" s="43"/>
      <c r="I1623" s="43"/>
      <c r="J1623" s="43"/>
      <c r="K1623" s="18"/>
    </row>
    <row r="1624" spans="1:11" ht="16.5" customHeight="1" x14ac:dyDescent="0.25">
      <c r="A1624" s="24" t="s">
        <v>19</v>
      </c>
      <c r="B1624" s="16" t="s">
        <v>138</v>
      </c>
      <c r="C1624" s="43"/>
      <c r="D1624" s="43"/>
      <c r="E1624" s="44"/>
      <c r="F1624" s="44"/>
      <c r="G1624" s="43"/>
      <c r="H1624" s="43"/>
      <c r="I1624" s="43"/>
      <c r="J1624" s="43"/>
      <c r="K1624" s="18"/>
    </row>
    <row r="1625" spans="1:11" ht="16.5" customHeight="1" x14ac:dyDescent="0.25">
      <c r="A1625" s="24">
        <v>2023</v>
      </c>
      <c r="B1625" s="17" t="s">
        <v>15</v>
      </c>
      <c r="C1625" s="57">
        <v>23005.919999999998</v>
      </c>
      <c r="D1625" s="52">
        <v>604869.94999999995</v>
      </c>
      <c r="E1625" s="53">
        <f>39+0</f>
        <v>39</v>
      </c>
      <c r="F1625" s="53">
        <v>2061</v>
      </c>
      <c r="G1625" s="57">
        <v>51865.919999999998</v>
      </c>
      <c r="H1625" s="57">
        <v>517033.91</v>
      </c>
      <c r="I1625" s="57">
        <v>14109.47</v>
      </c>
      <c r="J1625" s="57">
        <v>138450.96</v>
      </c>
      <c r="K1625" s="18"/>
    </row>
    <row r="1626" spans="1:11" ht="16.5" customHeight="1" x14ac:dyDescent="0.25">
      <c r="A1626" s="24"/>
      <c r="B1626" s="17" t="s">
        <v>16</v>
      </c>
      <c r="C1626" s="57">
        <f>25973.13+46.46</f>
        <v>26019.59</v>
      </c>
      <c r="D1626" s="52">
        <v>573759.53</v>
      </c>
      <c r="E1626" s="53">
        <f>40+1</f>
        <v>41</v>
      </c>
      <c r="F1626" s="53">
        <v>1949</v>
      </c>
      <c r="G1626" s="57">
        <v>62662.400000000001</v>
      </c>
      <c r="H1626" s="57">
        <v>565280.6</v>
      </c>
      <c r="I1626" s="57">
        <v>25363.72</v>
      </c>
      <c r="J1626" s="57">
        <v>248393.34</v>
      </c>
      <c r="K1626" s="18"/>
    </row>
    <row r="1627" spans="1:11" ht="16.5" customHeight="1" x14ac:dyDescent="0.25">
      <c r="A1627" s="24"/>
      <c r="B1627" s="17" t="s">
        <v>17</v>
      </c>
      <c r="C1627" s="58">
        <v>25094.37</v>
      </c>
      <c r="D1627" s="58">
        <v>620813.05000000005</v>
      </c>
      <c r="E1627" s="53">
        <f>45+0</f>
        <v>45</v>
      </c>
      <c r="F1627" s="53">
        <v>2027</v>
      </c>
      <c r="G1627" s="58">
        <v>49251.3</v>
      </c>
      <c r="H1627" s="58">
        <v>645747.34</v>
      </c>
      <c r="I1627" s="58">
        <v>25566.35</v>
      </c>
      <c r="J1627" s="58">
        <v>285579.73</v>
      </c>
      <c r="K1627" s="18"/>
    </row>
    <row r="1628" spans="1:11" ht="16.5" customHeight="1" x14ac:dyDescent="0.25">
      <c r="A1628" s="24"/>
      <c r="B1628" s="17"/>
      <c r="C1628" s="59"/>
      <c r="D1628" s="59"/>
      <c r="E1628" s="59"/>
      <c r="F1628" s="59"/>
      <c r="G1628" s="58"/>
      <c r="H1628" s="58"/>
      <c r="I1628" s="58"/>
      <c r="J1628" s="58"/>
      <c r="K1628" s="18"/>
    </row>
    <row r="1629" spans="1:11" ht="16.5" customHeight="1" x14ac:dyDescent="0.25">
      <c r="A1629" s="24" t="s">
        <v>19</v>
      </c>
      <c r="B1629" s="16" t="s">
        <v>139</v>
      </c>
      <c r="C1629" s="58"/>
      <c r="D1629" s="58"/>
      <c r="E1629" s="53"/>
      <c r="F1629" s="53"/>
      <c r="G1629" s="58"/>
      <c r="H1629" s="58"/>
      <c r="I1629" s="58"/>
      <c r="J1629" s="58"/>
      <c r="K1629" s="18"/>
    </row>
    <row r="1630" spans="1:11" ht="16.5" customHeight="1" x14ac:dyDescent="0.25">
      <c r="A1630" s="24">
        <v>2023</v>
      </c>
      <c r="B1630" s="17" t="s">
        <v>20</v>
      </c>
      <c r="C1630" s="57">
        <f>29158.48+3037.64</f>
        <v>32196.12</v>
      </c>
      <c r="D1630" s="52">
        <v>684097.29</v>
      </c>
      <c r="E1630" s="53">
        <f>74+1</f>
        <v>75</v>
      </c>
      <c r="F1630" s="53">
        <v>2012</v>
      </c>
      <c r="G1630" s="57">
        <v>52356.31</v>
      </c>
      <c r="H1630" s="57">
        <v>560641.76</v>
      </c>
      <c r="I1630" s="57">
        <v>27181.62</v>
      </c>
      <c r="J1630" s="57">
        <v>237286.74</v>
      </c>
      <c r="K1630" s="18"/>
    </row>
    <row r="1631" spans="1:11" ht="16.5" customHeight="1" x14ac:dyDescent="0.25">
      <c r="A1631" s="24"/>
      <c r="B1631" s="17" t="s">
        <v>21</v>
      </c>
      <c r="C1631" s="57">
        <f>44586.51+233.41</f>
        <v>44819.920000000006</v>
      </c>
      <c r="D1631" s="52">
        <v>840304.38</v>
      </c>
      <c r="E1631" s="53">
        <f>80+1</f>
        <v>81</v>
      </c>
      <c r="F1631" s="53">
        <v>2781</v>
      </c>
      <c r="G1631" s="57">
        <v>36781.93</v>
      </c>
      <c r="H1631" s="57">
        <v>458592.74</v>
      </c>
      <c r="I1631" s="57">
        <v>17615.29</v>
      </c>
      <c r="J1631" s="57">
        <v>173507.47</v>
      </c>
      <c r="K1631" s="18"/>
    </row>
    <row r="1632" spans="1:11" ht="16.5" customHeight="1" x14ac:dyDescent="0.25">
      <c r="A1632" s="24"/>
      <c r="B1632" s="17" t="s">
        <v>22</v>
      </c>
      <c r="C1632" s="58">
        <f>61985.24+228.58</f>
        <v>62213.82</v>
      </c>
      <c r="D1632" s="58">
        <v>957909.41</v>
      </c>
      <c r="E1632" s="53">
        <f>112+2</f>
        <v>114</v>
      </c>
      <c r="F1632" s="53">
        <v>2821</v>
      </c>
      <c r="G1632" s="58">
        <v>40849.660000000003</v>
      </c>
      <c r="H1632" s="58">
        <v>451199.2</v>
      </c>
      <c r="I1632" s="58">
        <v>15104.41</v>
      </c>
      <c r="J1632" s="58">
        <v>213866.6</v>
      </c>
      <c r="K1632" s="18"/>
    </row>
    <row r="1633" spans="1:11" ht="16.5" customHeight="1" x14ac:dyDescent="0.2">
      <c r="A1633" s="24"/>
      <c r="B1633" s="17"/>
      <c r="C1633" s="50"/>
      <c r="D1633" s="50"/>
      <c r="E1633" s="50"/>
      <c r="F1633" s="50"/>
      <c r="G1633" s="43"/>
      <c r="H1633" s="43"/>
      <c r="I1633" s="43"/>
      <c r="J1633" s="43"/>
      <c r="K1633" s="18"/>
    </row>
    <row r="1634" spans="1:11" ht="16.5" customHeight="1" x14ac:dyDescent="0.25">
      <c r="A1634" s="24" t="s">
        <v>19</v>
      </c>
      <c r="B1634" s="16" t="s">
        <v>140</v>
      </c>
      <c r="C1634" s="43"/>
      <c r="D1634" s="43"/>
      <c r="E1634" s="44"/>
      <c r="F1634" s="44"/>
      <c r="G1634" s="43"/>
      <c r="H1634" s="43"/>
      <c r="I1634" s="43"/>
      <c r="J1634" s="43"/>
      <c r="K1634" s="18"/>
    </row>
    <row r="1635" spans="1:11" ht="16.5" customHeight="1" x14ac:dyDescent="0.25">
      <c r="A1635" s="24">
        <v>2023</v>
      </c>
      <c r="B1635" s="17" t="s">
        <v>24</v>
      </c>
      <c r="C1635" s="57">
        <v>49483.83</v>
      </c>
      <c r="D1635" s="52">
        <v>776271.47999999905</v>
      </c>
      <c r="E1635" s="53">
        <v>98</v>
      </c>
      <c r="F1635" s="53">
        <v>2522</v>
      </c>
      <c r="G1635" s="57">
        <v>34250.42</v>
      </c>
      <c r="H1635" s="57">
        <v>398562.53</v>
      </c>
      <c r="I1635" s="57">
        <v>14137.33</v>
      </c>
      <c r="J1635" s="57">
        <v>187372.39</v>
      </c>
      <c r="K1635" s="18"/>
    </row>
    <row r="1636" spans="1:11" ht="16.5" customHeight="1" x14ac:dyDescent="0.25">
      <c r="A1636" s="24"/>
      <c r="B1636" s="17" t="s">
        <v>25</v>
      </c>
      <c r="C1636" s="57">
        <v>102398.99</v>
      </c>
      <c r="D1636" s="52">
        <v>1321959.8299999998</v>
      </c>
      <c r="E1636" s="53">
        <v>142</v>
      </c>
      <c r="F1636" s="53">
        <v>3488</v>
      </c>
      <c r="G1636" s="57">
        <v>46974.41</v>
      </c>
      <c r="H1636" s="57">
        <v>540426.23</v>
      </c>
      <c r="I1636" s="57">
        <v>20883.37</v>
      </c>
      <c r="J1636" s="57">
        <v>239642.5</v>
      </c>
      <c r="K1636" s="18"/>
    </row>
    <row r="1637" spans="1:11" ht="16.5" customHeight="1" x14ac:dyDescent="0.25">
      <c r="A1637" s="24"/>
      <c r="B1637" s="17" t="s">
        <v>11</v>
      </c>
      <c r="C1637" s="58">
        <v>54680.72</v>
      </c>
      <c r="D1637" s="58">
        <v>923738.27000000095</v>
      </c>
      <c r="E1637" s="53">
        <v>111</v>
      </c>
      <c r="F1637" s="53">
        <v>2927</v>
      </c>
      <c r="G1637" s="58">
        <v>46565.06</v>
      </c>
      <c r="H1637" s="58">
        <v>564052.54</v>
      </c>
      <c r="I1637" s="58">
        <v>15610.96</v>
      </c>
      <c r="J1637" s="58">
        <v>169135.42</v>
      </c>
      <c r="K1637" s="18"/>
    </row>
    <row r="1638" spans="1:11" ht="16.5" customHeight="1" x14ac:dyDescent="0.25">
      <c r="A1638" s="24"/>
      <c r="B1638" s="17"/>
      <c r="C1638" s="59"/>
      <c r="D1638" s="59"/>
      <c r="E1638" s="59"/>
      <c r="F1638" s="59"/>
      <c r="G1638" s="58"/>
      <c r="H1638" s="58"/>
      <c r="I1638" s="58"/>
      <c r="J1638" s="58"/>
      <c r="K1638" s="18"/>
    </row>
    <row r="1639" spans="1:11" ht="16.5" customHeight="1" x14ac:dyDescent="0.25">
      <c r="A1639" s="24" t="s">
        <v>19</v>
      </c>
      <c r="B1639" s="16" t="s">
        <v>141</v>
      </c>
      <c r="C1639" s="58"/>
      <c r="D1639" s="58"/>
      <c r="E1639" s="53"/>
      <c r="F1639" s="53"/>
      <c r="G1639" s="58"/>
      <c r="H1639" s="58"/>
      <c r="I1639" s="58"/>
      <c r="J1639" s="58"/>
      <c r="K1639" s="18"/>
    </row>
    <row r="1640" spans="1:11" ht="16.5" customHeight="1" x14ac:dyDescent="0.25">
      <c r="A1640" s="24">
        <v>2023</v>
      </c>
      <c r="B1640" s="17" t="s">
        <v>12</v>
      </c>
      <c r="C1640" s="57">
        <v>70945.820000000007</v>
      </c>
      <c r="D1640" s="52">
        <v>1174037.1700000002</v>
      </c>
      <c r="E1640" s="53">
        <v>131</v>
      </c>
      <c r="F1640" s="53">
        <v>3164</v>
      </c>
      <c r="G1640" s="57">
        <v>58313.59</v>
      </c>
      <c r="H1640" s="57">
        <v>621739.06999999995</v>
      </c>
      <c r="I1640" s="57">
        <v>16773.810000000001</v>
      </c>
      <c r="J1640" s="57">
        <v>167523.57999999999</v>
      </c>
      <c r="K1640" s="18"/>
    </row>
    <row r="1641" spans="1:11" ht="16.5" customHeight="1" x14ac:dyDescent="0.25">
      <c r="A1641" s="24"/>
      <c r="B1641" s="17" t="s">
        <v>13</v>
      </c>
      <c r="C1641" s="57">
        <v>89912.89</v>
      </c>
      <c r="D1641" s="52">
        <v>1077410.03</v>
      </c>
      <c r="E1641" s="53">
        <v>147</v>
      </c>
      <c r="F1641" s="53">
        <v>2892</v>
      </c>
      <c r="G1641" s="57">
        <v>54939.82</v>
      </c>
      <c r="H1641" s="57">
        <v>655728.48000000103</v>
      </c>
      <c r="I1641" s="57">
        <v>16141.51</v>
      </c>
      <c r="J1641" s="57">
        <v>186157.48</v>
      </c>
      <c r="K1641" s="18"/>
    </row>
    <row r="1642" spans="1:11" ht="16.5" customHeight="1" x14ac:dyDescent="0.25">
      <c r="A1642" s="24"/>
      <c r="B1642" s="17" t="s">
        <v>14</v>
      </c>
      <c r="C1642" s="58">
        <v>49674.14</v>
      </c>
      <c r="D1642" s="58">
        <v>866558.38</v>
      </c>
      <c r="E1642" s="53">
        <v>111</v>
      </c>
      <c r="F1642" s="53">
        <v>2438</v>
      </c>
      <c r="G1642" s="58">
        <v>75982.39</v>
      </c>
      <c r="H1642" s="58">
        <v>669783.77000000095</v>
      </c>
      <c r="I1642" s="58">
        <v>21112.58</v>
      </c>
      <c r="J1642" s="58">
        <v>164322.96</v>
      </c>
      <c r="K1642" s="18"/>
    </row>
    <row r="1643" spans="1:11" ht="16.5" customHeight="1" x14ac:dyDescent="0.2">
      <c r="A1643" s="24"/>
      <c r="B1643" s="17"/>
      <c r="C1643" s="50"/>
      <c r="D1643" s="50"/>
      <c r="E1643" s="50"/>
      <c r="F1643" s="50"/>
      <c r="G1643" s="43"/>
      <c r="H1643" s="43"/>
      <c r="I1643" s="43"/>
      <c r="J1643" s="43"/>
      <c r="K1643" s="18"/>
    </row>
    <row r="1644" spans="1:11" ht="16.5" customHeight="1" x14ac:dyDescent="0.25">
      <c r="A1644" s="24" t="s">
        <v>19</v>
      </c>
      <c r="B1644" s="16" t="s">
        <v>142</v>
      </c>
      <c r="C1644" s="43"/>
      <c r="D1644" s="43"/>
      <c r="E1644" s="44"/>
      <c r="F1644" s="44"/>
      <c r="G1644" s="43"/>
      <c r="H1644" s="43"/>
      <c r="I1644" s="43"/>
      <c r="J1644" s="43"/>
      <c r="K1644" s="18"/>
    </row>
    <row r="1645" spans="1:11" ht="16.5" customHeight="1" x14ac:dyDescent="0.25">
      <c r="A1645" s="24">
        <v>2024</v>
      </c>
      <c r="B1645" s="17" t="s">
        <v>15</v>
      </c>
      <c r="C1645" s="57">
        <v>102232.79</v>
      </c>
      <c r="D1645" s="52">
        <v>983907.929999999</v>
      </c>
      <c r="E1645" s="53">
        <v>178</v>
      </c>
      <c r="F1645" s="53">
        <v>3243</v>
      </c>
      <c r="G1645" s="57">
        <v>66275.31</v>
      </c>
      <c r="H1645" s="57">
        <v>644485.61</v>
      </c>
      <c r="I1645" s="57">
        <v>22019.71</v>
      </c>
      <c r="J1645" s="57">
        <v>168721.87</v>
      </c>
      <c r="K1645" s="18"/>
    </row>
    <row r="1646" spans="1:11" ht="16.5" customHeight="1" x14ac:dyDescent="0.25">
      <c r="A1646" s="24"/>
      <c r="B1646" s="17" t="s">
        <v>16</v>
      </c>
      <c r="C1646" s="57">
        <v>60087.22</v>
      </c>
      <c r="D1646" s="52">
        <v>800797.64999999898</v>
      </c>
      <c r="E1646" s="53">
        <v>123</v>
      </c>
      <c r="F1646" s="53">
        <v>2474</v>
      </c>
      <c r="G1646" s="57">
        <v>71479.86</v>
      </c>
      <c r="H1646" s="57">
        <v>721175.52999999898</v>
      </c>
      <c r="I1646" s="57">
        <v>17174.47</v>
      </c>
      <c r="J1646" s="57">
        <v>236491.29</v>
      </c>
      <c r="K1646" s="18"/>
    </row>
    <row r="1647" spans="1:11" ht="16.5" customHeight="1" x14ac:dyDescent="0.25">
      <c r="A1647" s="24"/>
      <c r="B1647" s="17" t="s">
        <v>17</v>
      </c>
      <c r="C1647" s="58">
        <v>71582.280000000013</v>
      </c>
      <c r="D1647" s="58">
        <v>781974.81</v>
      </c>
      <c r="E1647" s="53">
        <v>106</v>
      </c>
      <c r="F1647" s="53">
        <v>2176</v>
      </c>
      <c r="G1647" s="58">
        <v>89064.24</v>
      </c>
      <c r="H1647" s="58">
        <v>859450.28999999806</v>
      </c>
      <c r="I1647" s="58">
        <v>29336.560000000001</v>
      </c>
      <c r="J1647" s="58">
        <v>325559.10000000102</v>
      </c>
      <c r="K1647" s="18"/>
    </row>
    <row r="1648" spans="1:11" ht="16.5" customHeight="1" x14ac:dyDescent="0.25">
      <c r="A1648" s="24"/>
      <c r="B1648" s="17"/>
      <c r="C1648" s="59"/>
      <c r="D1648" s="59"/>
      <c r="E1648" s="59"/>
      <c r="F1648" s="59"/>
      <c r="G1648" s="58"/>
      <c r="H1648" s="58"/>
      <c r="I1648" s="58"/>
      <c r="J1648" s="58"/>
      <c r="K1648" s="18"/>
    </row>
    <row r="1649" spans="1:11" ht="16.5" customHeight="1" x14ac:dyDescent="0.25">
      <c r="A1649" s="24" t="s">
        <v>19</v>
      </c>
      <c r="B1649" s="16" t="s">
        <v>143</v>
      </c>
      <c r="C1649" s="58"/>
      <c r="D1649" s="58"/>
      <c r="E1649" s="53"/>
      <c r="F1649" s="53"/>
      <c r="G1649" s="58"/>
      <c r="H1649" s="58"/>
      <c r="I1649" s="58"/>
      <c r="J1649" s="58"/>
      <c r="K1649" s="18"/>
    </row>
    <row r="1650" spans="1:11" ht="16.5" customHeight="1" x14ac:dyDescent="0.25">
      <c r="A1650" s="24">
        <v>2024</v>
      </c>
      <c r="B1650" s="17" t="s">
        <v>20</v>
      </c>
      <c r="C1650" s="57">
        <v>85621.73</v>
      </c>
      <c r="D1650" s="52">
        <v>974262.86</v>
      </c>
      <c r="E1650" s="53">
        <v>115</v>
      </c>
      <c r="F1650" s="53">
        <v>2728</v>
      </c>
      <c r="G1650" s="57">
        <v>72153.55</v>
      </c>
      <c r="H1650" s="57">
        <v>732393.95999999903</v>
      </c>
      <c r="I1650" s="57">
        <v>21121.31</v>
      </c>
      <c r="J1650" s="57">
        <v>236629.63</v>
      </c>
      <c r="K1650" s="18"/>
    </row>
    <row r="1651" spans="1:11" ht="16.5" customHeight="1" x14ac:dyDescent="0.25">
      <c r="A1651" s="24"/>
      <c r="B1651" s="17" t="s">
        <v>21</v>
      </c>
      <c r="C1651" s="57">
        <v>94215.57</v>
      </c>
      <c r="D1651" s="52">
        <v>1313556.22</v>
      </c>
      <c r="E1651" s="53">
        <v>134</v>
      </c>
      <c r="F1651" s="53">
        <v>2777</v>
      </c>
      <c r="G1651" s="57">
        <v>83785.649999999994</v>
      </c>
      <c r="H1651" s="57">
        <v>590323.43000000005</v>
      </c>
      <c r="I1651" s="57">
        <v>28197.17</v>
      </c>
      <c r="J1651" s="57">
        <v>262191.28999999998</v>
      </c>
      <c r="K1651" s="18"/>
    </row>
    <row r="1652" spans="1:11" ht="16.5" customHeight="1" x14ac:dyDescent="0.25">
      <c r="A1652" s="24"/>
      <c r="B1652" s="17" t="s">
        <v>22</v>
      </c>
      <c r="C1652" s="58">
        <v>111807.15</v>
      </c>
      <c r="D1652" s="58">
        <v>1255522.58</v>
      </c>
      <c r="E1652" s="53">
        <v>176</v>
      </c>
      <c r="F1652" s="53">
        <v>3223</v>
      </c>
      <c r="G1652" s="58">
        <v>62197.18</v>
      </c>
      <c r="H1652" s="58">
        <v>597801.68999999994</v>
      </c>
      <c r="I1652" s="58">
        <v>26051.89</v>
      </c>
      <c r="J1652" s="58">
        <v>249897.88</v>
      </c>
      <c r="K1652" s="18"/>
    </row>
    <row r="1653" spans="1:11" ht="16.5" customHeight="1" x14ac:dyDescent="0.2">
      <c r="A1653" s="24"/>
      <c r="B1653" s="17"/>
      <c r="C1653" s="50"/>
      <c r="D1653" s="50"/>
      <c r="E1653" s="50"/>
      <c r="F1653" s="50"/>
      <c r="G1653" s="43"/>
      <c r="H1653" s="43"/>
      <c r="I1653" s="43"/>
      <c r="J1653" s="43"/>
      <c r="K1653" s="18"/>
    </row>
    <row r="1654" spans="1:11" ht="16.5" customHeight="1" x14ac:dyDescent="0.25">
      <c r="A1654" s="24" t="s">
        <v>19</v>
      </c>
      <c r="B1654" s="16" t="s">
        <v>144</v>
      </c>
      <c r="C1654" s="58"/>
      <c r="D1654" s="58"/>
      <c r="E1654" s="53"/>
      <c r="F1654" s="53"/>
      <c r="G1654" s="58"/>
      <c r="H1654" s="58"/>
      <c r="I1654" s="58"/>
      <c r="J1654" s="58"/>
      <c r="K1654" s="18"/>
    </row>
    <row r="1655" spans="1:11" ht="16.5" customHeight="1" x14ac:dyDescent="0.25">
      <c r="A1655" s="24">
        <v>2024</v>
      </c>
      <c r="B1655" s="17" t="s">
        <v>24</v>
      </c>
      <c r="C1655" s="57">
        <v>64765.96</v>
      </c>
      <c r="D1655" s="52">
        <v>900318.56</v>
      </c>
      <c r="E1655" s="53">
        <v>121</v>
      </c>
      <c r="F1655" s="53">
        <v>2916</v>
      </c>
      <c r="G1655" s="57">
        <v>58425.81</v>
      </c>
      <c r="H1655" s="57">
        <v>557565.99</v>
      </c>
      <c r="I1655" s="57">
        <v>31601.919999999998</v>
      </c>
      <c r="J1655" s="57">
        <v>231723.47</v>
      </c>
      <c r="K1655" s="18"/>
    </row>
    <row r="1656" spans="1:11" ht="16.5" customHeight="1" x14ac:dyDescent="0.25">
      <c r="A1656" s="24"/>
      <c r="B1656" s="17" t="s">
        <v>25</v>
      </c>
      <c r="C1656" s="57">
        <f>74608.47+1280.93</f>
        <v>75889.399999999994</v>
      </c>
      <c r="D1656" s="52">
        <v>1020697.14</v>
      </c>
      <c r="E1656" s="53">
        <f>133+3</f>
        <v>136</v>
      </c>
      <c r="F1656" s="53">
        <v>3175</v>
      </c>
      <c r="G1656" s="57">
        <v>75842.86</v>
      </c>
      <c r="H1656" s="57">
        <v>620836.59</v>
      </c>
      <c r="I1656" s="57">
        <v>23499.37</v>
      </c>
      <c r="J1656" s="57">
        <v>227451.89</v>
      </c>
      <c r="K1656" s="18"/>
    </row>
    <row r="1657" spans="1:11" ht="16.5" customHeight="1" x14ac:dyDescent="0.25">
      <c r="A1657" s="24"/>
      <c r="B1657" s="17" t="s">
        <v>11</v>
      </c>
      <c r="C1657" s="58">
        <f>997.9+94072.98</f>
        <v>95070.87999999999</v>
      </c>
      <c r="D1657" s="58">
        <v>890232.35</v>
      </c>
      <c r="E1657" s="53">
        <f>140+3</f>
        <v>143</v>
      </c>
      <c r="F1657" s="53">
        <v>2960</v>
      </c>
      <c r="G1657" s="58">
        <v>78627.62</v>
      </c>
      <c r="H1657" s="58">
        <v>631384.18999999994</v>
      </c>
      <c r="I1657" s="58">
        <v>21454.55</v>
      </c>
      <c r="J1657" s="58">
        <v>218109.11</v>
      </c>
      <c r="K1657" s="18"/>
    </row>
    <row r="1658" spans="1:11" ht="16.5" customHeight="1" x14ac:dyDescent="0.2">
      <c r="A1658" s="24"/>
      <c r="B1658" s="17"/>
      <c r="C1658" s="50"/>
      <c r="D1658" s="50"/>
      <c r="E1658" s="50"/>
      <c r="F1658" s="50"/>
      <c r="G1658" s="43"/>
      <c r="H1658" s="43"/>
      <c r="I1658" s="43"/>
      <c r="J1658" s="43"/>
      <c r="K1658" s="18"/>
    </row>
    <row r="1659" spans="1:11" ht="16.5" customHeight="1" x14ac:dyDescent="0.25">
      <c r="A1659" s="24" t="s">
        <v>19</v>
      </c>
      <c r="B1659" s="16" t="s">
        <v>145</v>
      </c>
      <c r="C1659" s="58"/>
      <c r="D1659" s="58"/>
      <c r="E1659" s="53"/>
      <c r="F1659" s="53"/>
      <c r="G1659" s="58"/>
      <c r="H1659" s="58"/>
      <c r="I1659" s="58"/>
      <c r="J1659" s="58"/>
      <c r="K1659" s="18"/>
    </row>
    <row r="1660" spans="1:11" ht="16.5" customHeight="1" x14ac:dyDescent="0.25">
      <c r="A1660" s="24">
        <v>2024</v>
      </c>
      <c r="B1660" s="17" t="s">
        <v>12</v>
      </c>
      <c r="C1660" s="57">
        <f>62.28+89554.92</f>
        <v>89617.2</v>
      </c>
      <c r="D1660" s="52">
        <v>1000955.69</v>
      </c>
      <c r="E1660" s="53">
        <f>166+2</f>
        <v>168</v>
      </c>
      <c r="F1660" s="53">
        <v>3307</v>
      </c>
      <c r="G1660" s="57">
        <v>94268.08</v>
      </c>
      <c r="H1660" s="57">
        <v>773551.88</v>
      </c>
      <c r="I1660" s="57">
        <v>31175.69</v>
      </c>
      <c r="J1660" s="57">
        <v>252168.12</v>
      </c>
      <c r="K1660" s="18"/>
    </row>
    <row r="1661" spans="1:11" ht="16.5" customHeight="1" x14ac:dyDescent="0.25">
      <c r="A1661" s="24"/>
      <c r="B1661" s="17" t="s">
        <v>13</v>
      </c>
      <c r="C1661" s="57">
        <v>80681.81</v>
      </c>
      <c r="D1661" s="52">
        <v>1003175.96</v>
      </c>
      <c r="E1661" s="53">
        <v>166</v>
      </c>
      <c r="F1661" s="53">
        <v>2928</v>
      </c>
      <c r="G1661" s="57">
        <v>83766.91</v>
      </c>
      <c r="H1661" s="57">
        <v>708643.42</v>
      </c>
      <c r="I1661" s="57">
        <v>22861.759999999998</v>
      </c>
      <c r="J1661" s="57">
        <v>203271.49</v>
      </c>
      <c r="K1661" s="18"/>
    </row>
    <row r="1662" spans="1:11" ht="16.5" customHeight="1" x14ac:dyDescent="0.25">
      <c r="A1662" s="24"/>
      <c r="B1662" s="17" t="s">
        <v>14</v>
      </c>
      <c r="C1662" s="58">
        <f>58445.61+136.84</f>
        <v>58582.45</v>
      </c>
      <c r="D1662" s="58">
        <v>797246.65</v>
      </c>
      <c r="E1662" s="53">
        <f>114+2</f>
        <v>116</v>
      </c>
      <c r="F1662" s="53">
        <v>2503</v>
      </c>
      <c r="G1662" s="58">
        <v>61666.74</v>
      </c>
      <c r="H1662" s="58">
        <v>523124.54</v>
      </c>
      <c r="I1662" s="58">
        <v>40371.599999999999</v>
      </c>
      <c r="J1662" s="58">
        <v>207232.97</v>
      </c>
      <c r="K1662" s="18"/>
    </row>
    <row r="1663" spans="1:11" ht="16.5" customHeight="1" x14ac:dyDescent="0.2">
      <c r="A1663" s="24"/>
      <c r="B1663" s="17"/>
      <c r="C1663" s="50"/>
      <c r="D1663" s="50"/>
      <c r="E1663" s="50"/>
      <c r="F1663" s="50"/>
      <c r="G1663" s="43"/>
      <c r="H1663" s="43"/>
      <c r="I1663" s="43"/>
      <c r="J1663" s="43"/>
      <c r="K1663" s="18"/>
    </row>
    <row r="1664" spans="1:11" ht="16.5" customHeight="1" x14ac:dyDescent="0.25">
      <c r="A1664" s="24" t="s">
        <v>19</v>
      </c>
      <c r="B1664" s="16" t="s">
        <v>146</v>
      </c>
      <c r="C1664" s="43"/>
      <c r="D1664" s="43"/>
      <c r="E1664" s="44"/>
      <c r="F1664" s="44"/>
      <c r="G1664" s="43"/>
      <c r="H1664" s="43"/>
      <c r="I1664" s="43"/>
      <c r="J1664" s="43"/>
      <c r="K1664" s="18"/>
    </row>
    <row r="1665" spans="1:11" ht="16.5" customHeight="1" x14ac:dyDescent="0.25">
      <c r="A1665" s="24">
        <v>2025</v>
      </c>
      <c r="B1665" s="17" t="s">
        <v>15</v>
      </c>
      <c r="C1665" s="57">
        <f>46553.4+414.25</f>
        <v>46967.65</v>
      </c>
      <c r="D1665" s="52">
        <v>826947.02</v>
      </c>
      <c r="E1665" s="53">
        <f>144+2</f>
        <v>146</v>
      </c>
      <c r="F1665" s="53">
        <v>2833</v>
      </c>
      <c r="G1665" s="57">
        <v>58591.29</v>
      </c>
      <c r="H1665" s="57">
        <v>629662.37000000104</v>
      </c>
      <c r="I1665" s="57">
        <v>73022.13</v>
      </c>
      <c r="J1665" s="57">
        <v>224211.88</v>
      </c>
      <c r="K1665" s="18"/>
    </row>
    <row r="1666" spans="1:11" ht="16.5" customHeight="1" x14ac:dyDescent="0.25">
      <c r="A1666" s="24"/>
      <c r="B1666" s="17" t="s">
        <v>16</v>
      </c>
      <c r="C1666" s="57">
        <f>69339.88+2139.28</f>
        <v>71479.16</v>
      </c>
      <c r="D1666" s="52">
        <v>620660.6</v>
      </c>
      <c r="E1666" s="53">
        <f>90+3</f>
        <v>93</v>
      </c>
      <c r="F1666" s="53">
        <v>2213</v>
      </c>
      <c r="G1666" s="57">
        <v>54503.14</v>
      </c>
      <c r="H1666" s="57">
        <v>586622.07999999903</v>
      </c>
      <c r="I1666" s="57">
        <v>39901.78</v>
      </c>
      <c r="J1666" s="57">
        <v>216683.27</v>
      </c>
      <c r="K1666" s="18"/>
    </row>
    <row r="1667" spans="1:11" ht="16.5" customHeight="1" x14ac:dyDescent="0.25">
      <c r="A1667" s="24"/>
      <c r="B1667" s="17" t="s">
        <v>17</v>
      </c>
      <c r="C1667" s="58">
        <f>93603.82+98</f>
        <v>93701.82</v>
      </c>
      <c r="D1667" s="58">
        <v>811022.84</v>
      </c>
      <c r="E1667" s="53">
        <f>135+2</f>
        <v>137</v>
      </c>
      <c r="F1667" s="53">
        <v>2329</v>
      </c>
      <c r="G1667" s="58">
        <v>76385.429999999993</v>
      </c>
      <c r="H1667" s="58">
        <v>715167.59</v>
      </c>
      <c r="I1667" s="58">
        <v>35153.82</v>
      </c>
      <c r="J1667" s="58">
        <v>243081.2</v>
      </c>
      <c r="K1667" s="18"/>
    </row>
    <row r="1668" spans="1:11" ht="16.5" customHeight="1" x14ac:dyDescent="0.25">
      <c r="A1668" s="24"/>
      <c r="B1668" s="17"/>
      <c r="C1668" s="59"/>
      <c r="D1668" s="59"/>
      <c r="E1668" s="59"/>
      <c r="F1668" s="59"/>
      <c r="G1668" s="58"/>
      <c r="H1668" s="58"/>
      <c r="I1668" s="58"/>
      <c r="J1668" s="58"/>
      <c r="K1668" s="18"/>
    </row>
    <row r="1669" spans="1:11" ht="16.5" customHeight="1" x14ac:dyDescent="0.25">
      <c r="A1669" s="24" t="s">
        <v>19</v>
      </c>
      <c r="B1669" s="16" t="s">
        <v>149</v>
      </c>
      <c r="C1669" s="58"/>
      <c r="D1669" s="58"/>
      <c r="E1669" s="53"/>
      <c r="F1669" s="53"/>
      <c r="G1669" s="58"/>
      <c r="H1669" s="58"/>
      <c r="I1669" s="58"/>
      <c r="J1669" s="58"/>
      <c r="K1669" s="18"/>
    </row>
    <row r="1670" spans="1:11" ht="16.5" customHeight="1" x14ac:dyDescent="0.25">
      <c r="A1670" s="24">
        <v>2025</v>
      </c>
      <c r="B1670" s="17" t="s">
        <v>20</v>
      </c>
      <c r="C1670" s="57">
        <v>56436.87</v>
      </c>
      <c r="D1670" s="52">
        <v>775776.02</v>
      </c>
      <c r="E1670" s="53">
        <v>111</v>
      </c>
      <c r="F1670" s="53">
        <v>2520</v>
      </c>
      <c r="G1670" s="57">
        <v>61284.2</v>
      </c>
      <c r="H1670" s="57">
        <v>581875.85000000102</v>
      </c>
      <c r="I1670" s="57">
        <v>40409.269999999997</v>
      </c>
      <c r="J1670" s="57">
        <v>226231.38</v>
      </c>
      <c r="K1670" s="18"/>
    </row>
    <row r="1671" spans="1:11" ht="16.5" customHeight="1" x14ac:dyDescent="0.25">
      <c r="A1671" s="24"/>
      <c r="B1671" s="17" t="s">
        <v>21</v>
      </c>
      <c r="C1671" s="57">
        <f>63626.53+590.46</f>
        <v>64216.99</v>
      </c>
      <c r="D1671" s="52">
        <v>731355.31</v>
      </c>
      <c r="E1671" s="53">
        <f>112+2</f>
        <v>114</v>
      </c>
      <c r="F1671" s="53">
        <v>2622</v>
      </c>
      <c r="G1671" s="57">
        <v>42714.18</v>
      </c>
      <c r="H1671" s="57">
        <v>490657.3</v>
      </c>
      <c r="I1671" s="57">
        <v>20039.91</v>
      </c>
      <c r="J1671" s="57">
        <v>180971.96</v>
      </c>
      <c r="K1671" s="18"/>
    </row>
    <row r="1672" spans="1:11" ht="16.5" customHeight="1" x14ac:dyDescent="0.25">
      <c r="A1672" s="24"/>
      <c r="B1672" s="17" t="s">
        <v>22</v>
      </c>
      <c r="C1672" s="58">
        <f>158615.76+324.59</f>
        <v>158940.35</v>
      </c>
      <c r="D1672" s="58">
        <v>1437039.21</v>
      </c>
      <c r="E1672" s="53">
        <f>242+3</f>
        <v>245</v>
      </c>
      <c r="F1672" s="53">
        <v>4549</v>
      </c>
      <c r="G1672" s="58">
        <v>62503.55</v>
      </c>
      <c r="H1672" s="58">
        <v>554338.77</v>
      </c>
      <c r="I1672" s="58">
        <v>18067.38</v>
      </c>
      <c r="J1672" s="58">
        <v>227606.34</v>
      </c>
      <c r="K1672" s="18"/>
    </row>
    <row r="1673" spans="1:11" ht="16.5" hidden="1" customHeight="1" x14ac:dyDescent="0.2">
      <c r="A1673" s="24"/>
      <c r="B1673" s="17"/>
      <c r="C1673" s="50"/>
      <c r="D1673" s="50"/>
      <c r="E1673" s="50"/>
      <c r="F1673" s="50"/>
      <c r="G1673" s="43"/>
      <c r="H1673" s="43"/>
      <c r="I1673" s="43"/>
      <c r="J1673" s="43"/>
      <c r="K1673" s="18"/>
    </row>
    <row r="1674" spans="1:11" ht="16.5" hidden="1" customHeight="1" x14ac:dyDescent="0.25">
      <c r="A1674" s="24" t="s">
        <v>19</v>
      </c>
      <c r="B1674" s="16" t="s">
        <v>148</v>
      </c>
      <c r="C1674" s="58"/>
      <c r="D1674" s="58"/>
      <c r="E1674" s="53"/>
      <c r="F1674" s="53"/>
      <c r="G1674" s="58"/>
      <c r="H1674" s="58"/>
      <c r="I1674" s="58"/>
      <c r="J1674" s="58"/>
      <c r="K1674" s="18"/>
    </row>
    <row r="1675" spans="1:11" ht="16.5" hidden="1" customHeight="1" x14ac:dyDescent="0.25">
      <c r="A1675" s="24">
        <v>2025</v>
      </c>
      <c r="B1675" s="17" t="s">
        <v>24</v>
      </c>
      <c r="C1675" s="57"/>
      <c r="D1675" s="52"/>
      <c r="E1675" s="53"/>
      <c r="F1675" s="53"/>
      <c r="G1675" s="57"/>
      <c r="H1675" s="57"/>
      <c r="I1675" s="57"/>
      <c r="J1675" s="57"/>
      <c r="K1675" s="18"/>
    </row>
    <row r="1676" spans="1:11" ht="16.5" hidden="1" customHeight="1" x14ac:dyDescent="0.25">
      <c r="A1676" s="24"/>
      <c r="B1676" s="17" t="s">
        <v>25</v>
      </c>
      <c r="C1676" s="57"/>
      <c r="D1676" s="52"/>
      <c r="E1676" s="53"/>
      <c r="F1676" s="53"/>
      <c r="G1676" s="57"/>
      <c r="H1676" s="57"/>
      <c r="I1676" s="57"/>
      <c r="J1676" s="57"/>
      <c r="K1676" s="18"/>
    </row>
    <row r="1677" spans="1:11" ht="16.5" hidden="1" customHeight="1" x14ac:dyDescent="0.25">
      <c r="A1677" s="24"/>
      <c r="B1677" s="17" t="s">
        <v>11</v>
      </c>
      <c r="C1677" s="58"/>
      <c r="D1677" s="58"/>
      <c r="E1677" s="53"/>
      <c r="F1677" s="53"/>
      <c r="G1677" s="58"/>
      <c r="H1677" s="58"/>
      <c r="I1677" s="58"/>
      <c r="J1677" s="58"/>
      <c r="K1677" s="18"/>
    </row>
    <row r="1678" spans="1:11" ht="16.5" hidden="1" customHeight="1" x14ac:dyDescent="0.2">
      <c r="A1678" s="24"/>
      <c r="B1678" s="17"/>
      <c r="C1678" s="50"/>
      <c r="D1678" s="50"/>
      <c r="E1678" s="50"/>
      <c r="F1678" s="50"/>
      <c r="G1678" s="43"/>
      <c r="H1678" s="43"/>
      <c r="I1678" s="43"/>
      <c r="J1678" s="43"/>
      <c r="K1678" s="18"/>
    </row>
    <row r="1679" spans="1:11" ht="16.5" hidden="1" customHeight="1" x14ac:dyDescent="0.25">
      <c r="A1679" s="24" t="s">
        <v>19</v>
      </c>
      <c r="B1679" s="16" t="s">
        <v>147</v>
      </c>
      <c r="C1679" s="58"/>
      <c r="D1679" s="58"/>
      <c r="E1679" s="53"/>
      <c r="F1679" s="53"/>
      <c r="G1679" s="58"/>
      <c r="H1679" s="58"/>
      <c r="I1679" s="58"/>
      <c r="J1679" s="58"/>
      <c r="K1679" s="18"/>
    </row>
    <row r="1680" spans="1:11" ht="16.5" hidden="1" customHeight="1" x14ac:dyDescent="0.25">
      <c r="A1680" s="24">
        <v>2025</v>
      </c>
      <c r="B1680" s="17" t="s">
        <v>12</v>
      </c>
      <c r="C1680" s="57"/>
      <c r="D1680" s="52"/>
      <c r="E1680" s="53"/>
      <c r="F1680" s="53"/>
      <c r="G1680" s="57"/>
      <c r="H1680" s="57"/>
      <c r="I1680" s="57"/>
      <c r="J1680" s="57"/>
      <c r="K1680" s="18"/>
    </row>
    <row r="1681" spans="1:11" ht="16.5" hidden="1" customHeight="1" x14ac:dyDescent="0.25">
      <c r="A1681" s="24"/>
      <c r="B1681" s="17" t="s">
        <v>13</v>
      </c>
      <c r="C1681" s="57"/>
      <c r="D1681" s="52"/>
      <c r="E1681" s="53"/>
      <c r="F1681" s="53"/>
      <c r="G1681" s="57"/>
      <c r="H1681" s="57"/>
      <c r="I1681" s="57"/>
      <c r="J1681" s="57"/>
      <c r="K1681" s="18"/>
    </row>
    <row r="1682" spans="1:11" ht="16.5" hidden="1" customHeight="1" x14ac:dyDescent="0.25">
      <c r="A1682" s="24"/>
      <c r="B1682" s="17" t="s">
        <v>14</v>
      </c>
      <c r="C1682" s="58"/>
      <c r="D1682" s="58"/>
      <c r="E1682" s="53"/>
      <c r="F1682" s="53"/>
      <c r="G1682" s="58"/>
      <c r="H1682" s="58"/>
      <c r="I1682" s="58"/>
      <c r="J1682" s="58"/>
      <c r="K1682" s="18"/>
    </row>
    <row r="1683" spans="1:11" ht="16.5" hidden="1" customHeight="1" x14ac:dyDescent="0.2">
      <c r="A1683" s="24"/>
      <c r="B1683" s="17"/>
      <c r="C1683" s="50"/>
      <c r="D1683" s="50"/>
      <c r="E1683" s="50"/>
      <c r="F1683" s="50"/>
      <c r="G1683" s="43"/>
      <c r="H1683" s="43"/>
      <c r="I1683" s="43"/>
      <c r="J1683" s="43"/>
      <c r="K1683" s="18"/>
    </row>
    <row r="1684" spans="1:11" ht="16.5" hidden="1" customHeight="1" x14ac:dyDescent="0.2">
      <c r="A1684" s="24"/>
      <c r="B1684" s="17"/>
      <c r="C1684" s="50"/>
      <c r="D1684" s="50"/>
      <c r="E1684" s="50"/>
      <c r="F1684" s="50"/>
      <c r="G1684" s="43"/>
      <c r="H1684" s="43"/>
      <c r="I1684" s="43"/>
      <c r="J1684" s="43"/>
      <c r="K1684" s="18"/>
    </row>
    <row r="1685" spans="1:11" ht="16.5" hidden="1" customHeight="1" x14ac:dyDescent="0.2">
      <c r="A1685" s="24"/>
      <c r="B1685" s="17"/>
      <c r="C1685" s="50"/>
      <c r="D1685" s="50"/>
      <c r="E1685" s="50"/>
      <c r="F1685" s="50"/>
      <c r="G1685" s="43"/>
      <c r="H1685" s="43"/>
      <c r="I1685" s="43"/>
      <c r="J1685" s="43"/>
      <c r="K1685" s="18"/>
    </row>
    <row r="1686" spans="1:11" ht="16.5" hidden="1" customHeight="1" x14ac:dyDescent="0.2">
      <c r="A1686" s="24"/>
      <c r="B1686" s="17"/>
      <c r="C1686" s="50"/>
      <c r="D1686" s="50"/>
      <c r="E1686" s="50"/>
      <c r="F1686" s="50"/>
      <c r="G1686" s="43"/>
      <c r="H1686" s="43"/>
      <c r="I1686" s="43"/>
      <c r="J1686" s="43"/>
      <c r="K1686" s="18"/>
    </row>
    <row r="1687" spans="1:11" ht="16.5" hidden="1" customHeight="1" x14ac:dyDescent="0.2">
      <c r="A1687" s="24"/>
      <c r="B1687" s="17"/>
      <c r="C1687" s="50"/>
      <c r="D1687" s="50"/>
      <c r="E1687" s="50"/>
      <c r="F1687" s="50"/>
      <c r="G1687" s="43"/>
      <c r="H1687" s="43"/>
      <c r="I1687" s="43"/>
      <c r="J1687" s="43"/>
      <c r="K1687" s="18"/>
    </row>
    <row r="1688" spans="1:11" ht="16.5" hidden="1" customHeight="1" x14ac:dyDescent="0.2">
      <c r="A1688" s="24"/>
      <c r="B1688" s="17"/>
      <c r="C1688" s="50"/>
      <c r="D1688" s="50"/>
      <c r="E1688" s="50"/>
      <c r="F1688" s="50"/>
      <c r="G1688" s="43"/>
      <c r="H1688" s="43"/>
      <c r="I1688" s="43"/>
      <c r="J1688" s="43"/>
      <c r="K1688" s="18"/>
    </row>
    <row r="1689" spans="1:11" ht="16.5" hidden="1" customHeight="1" x14ac:dyDescent="0.2">
      <c r="A1689" s="24"/>
      <c r="B1689" s="17"/>
      <c r="C1689" s="50"/>
      <c r="D1689" s="50"/>
      <c r="E1689" s="50"/>
      <c r="F1689" s="50"/>
      <c r="G1689" s="43"/>
      <c r="H1689" s="43"/>
      <c r="I1689" s="43"/>
      <c r="J1689" s="43"/>
      <c r="K1689" s="18"/>
    </row>
    <row r="1690" spans="1:11" ht="16.5" hidden="1" customHeight="1" x14ac:dyDescent="0.2">
      <c r="A1690" s="24"/>
      <c r="B1690" s="17"/>
      <c r="C1690" s="50"/>
      <c r="D1690" s="50"/>
      <c r="E1690" s="50"/>
      <c r="F1690" s="50"/>
      <c r="G1690" s="43"/>
      <c r="H1690" s="43"/>
      <c r="I1690" s="43"/>
      <c r="J1690" s="43"/>
      <c r="K1690" s="18"/>
    </row>
    <row r="1691" spans="1:11" ht="16.5" hidden="1" customHeight="1" x14ac:dyDescent="0.2">
      <c r="A1691" s="24"/>
      <c r="B1691" s="17"/>
      <c r="C1691" s="50"/>
      <c r="D1691" s="50"/>
      <c r="E1691" s="50"/>
      <c r="F1691" s="50"/>
      <c r="G1691" s="43"/>
      <c r="H1691" s="43"/>
      <c r="I1691" s="43"/>
      <c r="J1691" s="43"/>
      <c r="K1691" s="18"/>
    </row>
    <row r="1692" spans="1:11" ht="16.5" customHeight="1" x14ac:dyDescent="0.2">
      <c r="A1692" s="24"/>
      <c r="B1692" s="17"/>
      <c r="C1692" s="50"/>
      <c r="D1692" s="50"/>
      <c r="E1692" s="50"/>
      <c r="F1692" s="50"/>
      <c r="G1692" s="43"/>
      <c r="H1692" s="43"/>
      <c r="I1692" s="43"/>
      <c r="J1692" s="43"/>
      <c r="K1692" s="18"/>
    </row>
    <row r="1693" spans="1:11" ht="16.5" customHeight="1" x14ac:dyDescent="0.25">
      <c r="A1693" s="24" t="s">
        <v>19</v>
      </c>
      <c r="B1693" s="16" t="s">
        <v>148</v>
      </c>
      <c r="C1693" s="58"/>
      <c r="D1693" s="58"/>
      <c r="E1693" s="53"/>
      <c r="F1693" s="53"/>
      <c r="G1693" s="58"/>
      <c r="H1693" s="58"/>
      <c r="I1693" s="58"/>
      <c r="J1693" s="58"/>
      <c r="K1693" s="18"/>
    </row>
    <row r="1694" spans="1:11" ht="16.5" customHeight="1" x14ac:dyDescent="0.25">
      <c r="A1694" s="24">
        <v>2025</v>
      </c>
      <c r="B1694" s="17" t="s">
        <v>24</v>
      </c>
      <c r="C1694" s="57">
        <v>129475.86</v>
      </c>
      <c r="D1694" s="52">
        <v>906091.44</v>
      </c>
      <c r="E1694" s="53">
        <v>190</v>
      </c>
      <c r="F1694" s="53">
        <v>3402</v>
      </c>
      <c r="G1694" s="57">
        <v>76105.22</v>
      </c>
      <c r="H1694" s="57">
        <v>604513.48</v>
      </c>
      <c r="I1694" s="57">
        <v>25417.74</v>
      </c>
      <c r="J1694" s="57">
        <v>201437.24</v>
      </c>
      <c r="K1694" s="18"/>
    </row>
    <row r="1695" spans="1:11" ht="16.5" customHeight="1" x14ac:dyDescent="0.25">
      <c r="A1695" s="24"/>
      <c r="B1695" s="17" t="s">
        <v>25</v>
      </c>
      <c r="C1695" s="57">
        <v>78345.88</v>
      </c>
      <c r="D1695" s="52">
        <v>866343.55</v>
      </c>
      <c r="E1695" s="53">
        <v>139</v>
      </c>
      <c r="F1695" s="53">
        <v>3295</v>
      </c>
      <c r="G1695" s="57">
        <v>83614.67</v>
      </c>
      <c r="H1695" s="57">
        <v>567975.1</v>
      </c>
      <c r="I1695" s="57">
        <v>22567.54</v>
      </c>
      <c r="J1695" s="57">
        <v>248698.17</v>
      </c>
      <c r="K1695" s="18"/>
    </row>
    <row r="1696" spans="1:11" ht="16.5" customHeight="1" x14ac:dyDescent="0.25">
      <c r="A1696" s="24"/>
      <c r="B1696" s="17" t="s">
        <v>11</v>
      </c>
      <c r="C1696" s="58">
        <v>114114.2</v>
      </c>
      <c r="D1696" s="58">
        <v>994232.6</v>
      </c>
      <c r="E1696" s="53">
        <v>192</v>
      </c>
      <c r="F1696" s="53">
        <v>3610</v>
      </c>
      <c r="G1696" s="58">
        <v>69985.960000000006</v>
      </c>
      <c r="H1696" s="58">
        <v>583524.75</v>
      </c>
      <c r="I1696" s="58">
        <v>33551.85</v>
      </c>
      <c r="J1696" s="58">
        <v>307857.53000000003</v>
      </c>
      <c r="K1696" s="18"/>
    </row>
    <row r="1697" spans="1:11" ht="16.5" customHeight="1" x14ac:dyDescent="0.25">
      <c r="A1697" s="24"/>
      <c r="B1697" s="16"/>
      <c r="C1697" s="58"/>
      <c r="D1697" s="58"/>
      <c r="E1697" s="53"/>
      <c r="F1697" s="53"/>
      <c r="G1697" s="58"/>
      <c r="H1697" s="58"/>
      <c r="I1697" s="58"/>
      <c r="J1697" s="58"/>
      <c r="K1697" s="18"/>
    </row>
    <row r="1698" spans="1:11" ht="16.5" customHeight="1" x14ac:dyDescent="0.25">
      <c r="A1698" s="24" t="s">
        <v>19</v>
      </c>
      <c r="B1698" s="16" t="s">
        <v>147</v>
      </c>
      <c r="C1698" s="57"/>
      <c r="D1698" s="52"/>
      <c r="E1698" s="53"/>
      <c r="F1698" s="53"/>
      <c r="G1698" s="57"/>
      <c r="H1698" s="57"/>
      <c r="I1698" s="57"/>
      <c r="J1698" s="57"/>
      <c r="K1698" s="18"/>
    </row>
    <row r="1699" spans="1:11" ht="16.5" customHeight="1" x14ac:dyDescent="0.25">
      <c r="A1699" s="24">
        <v>2025</v>
      </c>
      <c r="B1699" s="17" t="s">
        <v>12</v>
      </c>
      <c r="C1699" s="57">
        <v>160009.01</v>
      </c>
      <c r="D1699" s="52">
        <v>1207256.92</v>
      </c>
      <c r="E1699" s="53">
        <v>246</v>
      </c>
      <c r="F1699" s="53">
        <v>3925</v>
      </c>
      <c r="G1699" s="57">
        <v>76043.39</v>
      </c>
      <c r="H1699" s="57">
        <v>629049.15</v>
      </c>
      <c r="I1699" s="57">
        <v>20218.07</v>
      </c>
      <c r="J1699" s="57">
        <v>211468.7</v>
      </c>
      <c r="K1699" s="18"/>
    </row>
    <row r="1700" spans="1:11" ht="16.5" customHeight="1" x14ac:dyDescent="0.25">
      <c r="A1700" s="24"/>
      <c r="B1700" s="17" t="s">
        <v>13</v>
      </c>
      <c r="C1700" s="58">
        <v>117883.78</v>
      </c>
      <c r="D1700" s="58">
        <v>901933.02</v>
      </c>
      <c r="E1700" s="53">
        <v>191</v>
      </c>
      <c r="F1700" s="53">
        <v>2805</v>
      </c>
      <c r="G1700" s="58">
        <v>87056.48</v>
      </c>
      <c r="H1700" s="58">
        <v>672824.44</v>
      </c>
      <c r="I1700" s="58">
        <v>30897.95</v>
      </c>
      <c r="J1700" s="58">
        <v>265967.03000000003</v>
      </c>
      <c r="K1700" s="18"/>
    </row>
    <row r="1701" spans="1:11" ht="16.5" customHeight="1" x14ac:dyDescent="0.25">
      <c r="A1701" s="24"/>
      <c r="B1701" s="17" t="s">
        <v>14</v>
      </c>
      <c r="C1701" s="58">
        <v>87831</v>
      </c>
      <c r="D1701" s="58">
        <v>831778.7</v>
      </c>
      <c r="E1701" s="53">
        <v>164</v>
      </c>
      <c r="F1701" s="53">
        <v>2717</v>
      </c>
      <c r="G1701" s="58">
        <v>94258.37</v>
      </c>
      <c r="H1701" s="58">
        <v>622879.12</v>
      </c>
      <c r="I1701" s="58">
        <v>38418.400000000001</v>
      </c>
      <c r="J1701" s="58">
        <v>278759.09000000003</v>
      </c>
      <c r="K1701" s="18"/>
    </row>
    <row r="1702" spans="1:11" ht="16.5" customHeight="1" x14ac:dyDescent="0.25">
      <c r="A1702" s="24"/>
      <c r="B1702" s="16"/>
      <c r="C1702" s="58"/>
      <c r="D1702" s="58"/>
      <c r="E1702" s="53"/>
      <c r="F1702" s="53"/>
      <c r="G1702" s="58"/>
      <c r="H1702" s="58"/>
      <c r="I1702" s="58"/>
      <c r="J1702" s="58"/>
      <c r="K1702" s="18"/>
    </row>
    <row r="1703" spans="1:11" ht="16.5" customHeight="1" x14ac:dyDescent="0.25">
      <c r="A1703" s="71" t="s">
        <v>19</v>
      </c>
      <c r="B1703" s="72" t="s">
        <v>166</v>
      </c>
      <c r="C1703" s="77"/>
      <c r="D1703" s="77"/>
      <c r="E1703" s="73"/>
      <c r="F1703" s="73"/>
      <c r="G1703" s="77"/>
      <c r="H1703" s="77"/>
      <c r="I1703" s="77"/>
      <c r="J1703" s="77"/>
      <c r="K1703" s="18"/>
    </row>
    <row r="1704" spans="1:11" ht="16.5" customHeight="1" x14ac:dyDescent="0.25">
      <c r="A1704" s="71">
        <v>2026</v>
      </c>
      <c r="B1704" s="64" t="s">
        <v>15</v>
      </c>
      <c r="C1704" s="95">
        <v>78629.14</v>
      </c>
      <c r="D1704" s="96">
        <v>746579.11</v>
      </c>
      <c r="E1704" s="94">
        <v>191</v>
      </c>
      <c r="F1704" s="94">
        <v>2829</v>
      </c>
      <c r="G1704" s="95">
        <v>79710.710000000006</v>
      </c>
      <c r="H1704" s="95">
        <v>682183.8</v>
      </c>
      <c r="I1704" s="95">
        <v>27000.400000000001</v>
      </c>
      <c r="J1704" s="95">
        <v>268644.47999999998</v>
      </c>
      <c r="K1704" s="18"/>
    </row>
    <row r="1705" spans="1:11" ht="16.5" customHeight="1" x14ac:dyDescent="0.25">
      <c r="A1705" s="71"/>
      <c r="B1705" s="64" t="s">
        <v>16</v>
      </c>
      <c r="C1705" s="95">
        <v>63583.25</v>
      </c>
      <c r="D1705" s="96">
        <v>639491.56999999995</v>
      </c>
      <c r="E1705" s="94">
        <v>135</v>
      </c>
      <c r="F1705" s="94">
        <v>2363</v>
      </c>
      <c r="G1705" s="95">
        <v>89456.65</v>
      </c>
      <c r="H1705" s="95">
        <v>681470.57</v>
      </c>
      <c r="I1705" s="95">
        <v>27402.76</v>
      </c>
      <c r="J1705" s="95">
        <v>227107.72</v>
      </c>
      <c r="K1705" s="18"/>
    </row>
    <row r="1706" spans="1:11" ht="16.5" customHeight="1" x14ac:dyDescent="0.25">
      <c r="A1706" s="71"/>
      <c r="B1706" s="64" t="s">
        <v>17</v>
      </c>
      <c r="C1706" s="97">
        <v>75778.64</v>
      </c>
      <c r="D1706" s="97">
        <v>757482.33</v>
      </c>
      <c r="E1706" s="94">
        <v>150</v>
      </c>
      <c r="F1706" s="94">
        <v>2752</v>
      </c>
      <c r="G1706" s="97">
        <v>95412.68</v>
      </c>
      <c r="H1706" s="97">
        <v>745372.1</v>
      </c>
      <c r="I1706" s="97">
        <v>34420.74</v>
      </c>
      <c r="J1706" s="97">
        <v>246971.09</v>
      </c>
      <c r="K1706" s="18"/>
    </row>
    <row r="1707" spans="1:11" ht="16.5" customHeight="1" x14ac:dyDescent="0.25">
      <c r="A1707" s="71"/>
      <c r="B1707" s="64"/>
      <c r="C1707" s="79"/>
      <c r="D1707" s="79"/>
      <c r="E1707" s="79"/>
      <c r="F1707" s="79"/>
      <c r="G1707" s="78"/>
      <c r="H1707" s="78"/>
      <c r="I1707" s="78"/>
      <c r="J1707" s="78"/>
      <c r="K1707" s="18"/>
    </row>
    <row r="1708" spans="1:11" ht="16.5" customHeight="1" x14ac:dyDescent="0.25">
      <c r="A1708" s="71" t="s">
        <v>19</v>
      </c>
      <c r="B1708" s="72" t="s">
        <v>167</v>
      </c>
      <c r="C1708" s="78"/>
      <c r="D1708" s="78"/>
      <c r="E1708" s="74"/>
      <c r="F1708" s="74"/>
      <c r="G1708" s="78"/>
      <c r="H1708" s="78"/>
      <c r="I1708" s="78"/>
      <c r="J1708" s="78"/>
      <c r="K1708" s="18"/>
    </row>
    <row r="1709" spans="1:11" ht="16.5" customHeight="1" x14ac:dyDescent="0.25">
      <c r="A1709" s="71">
        <v>2026</v>
      </c>
      <c r="B1709" s="64" t="s">
        <v>20</v>
      </c>
      <c r="C1709" s="95">
        <v>96869.2</v>
      </c>
      <c r="D1709" s="96">
        <v>727825.65</v>
      </c>
      <c r="E1709" s="94">
        <v>141</v>
      </c>
      <c r="F1709" s="94">
        <v>2870</v>
      </c>
      <c r="G1709" s="95">
        <v>88998.32</v>
      </c>
      <c r="H1709" s="95">
        <v>554827.39</v>
      </c>
      <c r="I1709" s="95">
        <v>38096.839999999997</v>
      </c>
      <c r="J1709" s="95">
        <v>244098.06</v>
      </c>
      <c r="K1709" s="18"/>
    </row>
    <row r="1710" spans="1:11" ht="16.5" customHeight="1" x14ac:dyDescent="0.25">
      <c r="A1710" s="71"/>
      <c r="B1710" s="64" t="s">
        <v>21</v>
      </c>
      <c r="C1710" s="95">
        <v>117660.64</v>
      </c>
      <c r="D1710" s="96">
        <v>662604.16</v>
      </c>
      <c r="E1710" s="94">
        <v>161</v>
      </c>
      <c r="F1710" s="94">
        <v>2515</v>
      </c>
      <c r="G1710" s="95">
        <v>59567.15</v>
      </c>
      <c r="H1710" s="95">
        <v>459441.8</v>
      </c>
      <c r="I1710" s="95">
        <v>18971.57</v>
      </c>
      <c r="J1710" s="95">
        <v>232955.17</v>
      </c>
      <c r="K1710" s="18"/>
    </row>
    <row r="1711" spans="1:11" ht="16.5" customHeight="1" x14ac:dyDescent="0.25">
      <c r="A1711" s="71"/>
      <c r="B1711" s="64" t="s">
        <v>22</v>
      </c>
      <c r="C1711" s="97">
        <v>115506.36</v>
      </c>
      <c r="D1711" s="97">
        <v>1077851.56</v>
      </c>
      <c r="E1711" s="94">
        <v>208</v>
      </c>
      <c r="F1711" s="94">
        <v>3644</v>
      </c>
      <c r="G1711" s="97">
        <v>65063.44</v>
      </c>
      <c r="H1711" s="97">
        <v>445791.23</v>
      </c>
      <c r="I1711" s="97">
        <v>19879.64</v>
      </c>
      <c r="J1711" s="97">
        <v>236919.6</v>
      </c>
      <c r="K1711" s="18"/>
    </row>
    <row r="1712" spans="1:11" ht="16.350000000000001" customHeight="1" x14ac:dyDescent="0.2">
      <c r="A1712" s="24"/>
      <c r="B1712" s="17"/>
      <c r="C1712" s="50"/>
      <c r="D1712" s="50"/>
      <c r="E1712" s="50"/>
      <c r="F1712" s="50"/>
      <c r="G1712" s="43"/>
      <c r="H1712" s="43"/>
      <c r="I1712" s="43"/>
      <c r="J1712" s="43"/>
      <c r="K1712" s="18"/>
    </row>
    <row r="1713" spans="1:11" ht="27.75" x14ac:dyDescent="0.55000000000000004">
      <c r="A1713" s="24"/>
      <c r="B1713" s="17"/>
      <c r="C1713" s="105" t="s">
        <v>163</v>
      </c>
      <c r="D1713" s="105"/>
      <c r="E1713" s="105" t="s">
        <v>164</v>
      </c>
      <c r="F1713" s="105"/>
      <c r="G1713" s="45"/>
      <c r="H1713" s="45"/>
      <c r="I1713" s="45"/>
      <c r="J1713" s="45"/>
      <c r="K1713" s="18"/>
    </row>
    <row r="1714" spans="1:11" ht="15.75" x14ac:dyDescent="0.25">
      <c r="A1714" s="21" t="s">
        <v>8</v>
      </c>
      <c r="B1714" s="16" t="s">
        <v>32</v>
      </c>
      <c r="C1714" s="40" t="s">
        <v>108</v>
      </c>
      <c r="D1714" s="40" t="s">
        <v>117</v>
      </c>
      <c r="E1714" s="40" t="s">
        <v>108</v>
      </c>
      <c r="F1714" s="40" t="s">
        <v>117</v>
      </c>
      <c r="G1714" s="45"/>
      <c r="H1714" s="45"/>
      <c r="I1714" s="45"/>
      <c r="J1714" s="45"/>
      <c r="K1714" s="18"/>
    </row>
    <row r="1715" spans="1:11" s="6" customFormat="1" ht="16.5" customHeight="1" x14ac:dyDescent="0.2">
      <c r="A1715" s="24"/>
      <c r="B1715" s="17"/>
      <c r="C1715" s="43"/>
      <c r="D1715" s="43"/>
      <c r="E1715" s="44"/>
      <c r="F1715" s="44"/>
      <c r="G1715" s="43"/>
      <c r="H1715" s="43"/>
      <c r="I1715" s="43" t="s">
        <v>19</v>
      </c>
      <c r="J1715" s="43"/>
      <c r="K1715" s="18"/>
    </row>
    <row r="1716" spans="1:11" ht="15" x14ac:dyDescent="0.2">
      <c r="A1716" s="24">
        <v>2000</v>
      </c>
      <c r="B1716" s="17" t="s">
        <v>11</v>
      </c>
      <c r="C1716" s="45">
        <v>0</v>
      </c>
      <c r="D1716" s="45">
        <f>2609+1+73</f>
        <v>2683</v>
      </c>
      <c r="E1716" s="45">
        <v>0</v>
      </c>
      <c r="F1716" s="45">
        <f>2196+1+124</f>
        <v>2321</v>
      </c>
      <c r="G1716" s="45"/>
      <c r="H1716" s="45"/>
      <c r="I1716" s="45"/>
      <c r="J1716" s="45"/>
      <c r="K1716" s="18"/>
    </row>
    <row r="1717" spans="1:11" ht="15" x14ac:dyDescent="0.2">
      <c r="A1717" s="24"/>
      <c r="B1717" s="17" t="s">
        <v>12</v>
      </c>
      <c r="C1717" s="45">
        <v>0</v>
      </c>
      <c r="D1717" s="45">
        <f>2558+102</f>
        <v>2660</v>
      </c>
      <c r="E1717" s="45">
        <v>0</v>
      </c>
      <c r="F1717" s="45">
        <f>2303+152</f>
        <v>2455</v>
      </c>
      <c r="G1717" s="45"/>
      <c r="H1717" s="45"/>
      <c r="I1717" s="45"/>
      <c r="J1717" s="45"/>
      <c r="K1717" s="18"/>
    </row>
    <row r="1718" spans="1:11" ht="15" x14ac:dyDescent="0.2">
      <c r="A1718" s="24"/>
      <c r="B1718" s="17" t="s">
        <v>13</v>
      </c>
      <c r="C1718" s="45">
        <v>0</v>
      </c>
      <c r="D1718" s="45">
        <f>2486+1+65</f>
        <v>2552</v>
      </c>
      <c r="E1718" s="45">
        <v>0</v>
      </c>
      <c r="F1718" s="45">
        <f>2554+162</f>
        <v>2716</v>
      </c>
      <c r="G1718" s="45"/>
      <c r="H1718" s="45"/>
      <c r="I1718" s="45"/>
      <c r="J1718" s="45"/>
      <c r="K1718" s="18"/>
    </row>
    <row r="1719" spans="1:11" ht="15" x14ac:dyDescent="0.2">
      <c r="A1719" s="24"/>
      <c r="B1719" s="17" t="s">
        <v>14</v>
      </c>
      <c r="C1719" s="45">
        <f>1</f>
        <v>1</v>
      </c>
      <c r="D1719" s="45">
        <f>2986+57</f>
        <v>3043</v>
      </c>
      <c r="E1719" s="45">
        <f>1</f>
        <v>1</v>
      </c>
      <c r="F1719" s="45">
        <f>2326+1+111</f>
        <v>2438</v>
      </c>
      <c r="G1719" s="45"/>
      <c r="H1719" s="45"/>
      <c r="I1719" s="45"/>
      <c r="J1719" s="45"/>
      <c r="K1719" s="18"/>
    </row>
    <row r="1720" spans="1:11" ht="15" x14ac:dyDescent="0.2">
      <c r="A1720" s="24"/>
      <c r="B1720" s="17"/>
      <c r="C1720" s="45"/>
      <c r="D1720" s="45"/>
      <c r="E1720" s="45"/>
      <c r="F1720" s="45"/>
      <c r="G1720" s="45"/>
      <c r="H1720" s="45"/>
      <c r="I1720" s="45"/>
      <c r="J1720" s="45"/>
      <c r="K1720" s="18"/>
    </row>
    <row r="1721" spans="1:11" ht="15.75" x14ac:dyDescent="0.25">
      <c r="A1721" s="24"/>
      <c r="B1721" s="16" t="s">
        <v>23</v>
      </c>
      <c r="C1721" s="55"/>
      <c r="D1721" s="45"/>
      <c r="E1721" s="55"/>
      <c r="F1721" s="45"/>
      <c r="G1721" s="45"/>
      <c r="H1721" s="45"/>
      <c r="I1721" s="45"/>
      <c r="J1721" s="45"/>
      <c r="K1721" s="18"/>
    </row>
    <row r="1722" spans="1:11" ht="15" x14ac:dyDescent="0.2">
      <c r="A1722" s="24" t="s">
        <v>19</v>
      </c>
      <c r="B1722" s="17" t="s">
        <v>20</v>
      </c>
      <c r="C1722" s="45">
        <f>15</f>
        <v>15</v>
      </c>
      <c r="D1722" s="45">
        <f>2546+1+49</f>
        <v>2596</v>
      </c>
      <c r="E1722" s="45">
        <f>9</f>
        <v>9</v>
      </c>
      <c r="F1722" s="45">
        <f>2187+1+96</f>
        <v>2284</v>
      </c>
      <c r="G1722" s="45"/>
      <c r="H1722" s="45"/>
      <c r="I1722" s="45"/>
      <c r="J1722" s="45"/>
      <c r="K1722" s="18"/>
    </row>
    <row r="1723" spans="1:11" ht="15" x14ac:dyDescent="0.2">
      <c r="A1723" s="24"/>
      <c r="B1723" s="17" t="s">
        <v>21</v>
      </c>
      <c r="C1723" s="45">
        <f>17</f>
        <v>17</v>
      </c>
      <c r="D1723" s="45">
        <f>2301+47</f>
        <v>2348</v>
      </c>
      <c r="E1723" s="45">
        <f>5</f>
        <v>5</v>
      </c>
      <c r="F1723" s="45">
        <f>2045+1+107</f>
        <v>2153</v>
      </c>
      <c r="G1723" s="45"/>
      <c r="H1723" s="45"/>
      <c r="I1723" s="45"/>
      <c r="J1723" s="45"/>
      <c r="K1723" s="18"/>
    </row>
    <row r="1724" spans="1:11" ht="15" x14ac:dyDescent="0.2">
      <c r="A1724" s="24"/>
      <c r="B1724" s="17" t="s">
        <v>22</v>
      </c>
      <c r="C1724" s="45">
        <f>12</f>
        <v>12</v>
      </c>
      <c r="D1724" s="45">
        <f>2350+1+62</f>
        <v>2413</v>
      </c>
      <c r="E1724" s="45">
        <f>20</f>
        <v>20</v>
      </c>
      <c r="F1724" s="45">
        <f>2008+2+114</f>
        <v>2124</v>
      </c>
      <c r="G1724" s="45"/>
      <c r="H1724" s="45"/>
      <c r="I1724" s="45"/>
      <c r="J1724" s="45"/>
      <c r="K1724" s="18"/>
    </row>
    <row r="1725" spans="1:11" ht="15" x14ac:dyDescent="0.2">
      <c r="A1725" s="24"/>
      <c r="B1725" s="17"/>
      <c r="C1725" s="55"/>
      <c r="D1725" s="45"/>
      <c r="E1725" s="55"/>
      <c r="F1725" s="45"/>
      <c r="G1725" s="45"/>
      <c r="H1725" s="45"/>
      <c r="I1725" s="45"/>
      <c r="J1725" s="45"/>
      <c r="K1725" s="18"/>
    </row>
    <row r="1726" spans="1:11" ht="15.75" x14ac:dyDescent="0.25">
      <c r="A1726" s="24"/>
      <c r="B1726" s="16" t="s">
        <v>18</v>
      </c>
      <c r="C1726" s="55"/>
      <c r="D1726" s="45"/>
      <c r="E1726" s="55"/>
      <c r="F1726" s="45"/>
      <c r="G1726" s="45"/>
      <c r="H1726" s="45"/>
      <c r="I1726" s="45"/>
      <c r="J1726" s="45"/>
      <c r="K1726" s="18"/>
    </row>
    <row r="1727" spans="1:11" ht="15" x14ac:dyDescent="0.2">
      <c r="A1727" s="24">
        <v>2001</v>
      </c>
      <c r="B1727" s="17" t="s">
        <v>15</v>
      </c>
      <c r="C1727" s="45">
        <f>2</f>
        <v>2</v>
      </c>
      <c r="D1727" s="45">
        <f>2979+61</f>
        <v>3040</v>
      </c>
      <c r="E1727" s="45">
        <f>2</f>
        <v>2</v>
      </c>
      <c r="F1727" s="45">
        <f>2623+1+119</f>
        <v>2743</v>
      </c>
      <c r="G1727" s="45"/>
      <c r="H1727" s="45"/>
      <c r="I1727" s="45"/>
      <c r="J1727" s="45"/>
      <c r="K1727" s="18"/>
    </row>
    <row r="1728" spans="1:11" ht="15" x14ac:dyDescent="0.2">
      <c r="A1728" s="24"/>
      <c r="B1728" s="17" t="s">
        <v>16</v>
      </c>
      <c r="C1728" s="45">
        <f>8</f>
        <v>8</v>
      </c>
      <c r="D1728" s="45">
        <f>2982+1+54</f>
        <v>3037</v>
      </c>
      <c r="E1728" s="45">
        <f>8</f>
        <v>8</v>
      </c>
      <c r="F1728" s="45">
        <f>2444+3+110</f>
        <v>2557</v>
      </c>
      <c r="G1728" s="45"/>
      <c r="H1728" s="45"/>
      <c r="I1728" s="45"/>
      <c r="J1728" s="45"/>
      <c r="K1728" s="18"/>
    </row>
    <row r="1729" spans="1:11" ht="15" x14ac:dyDescent="0.2">
      <c r="A1729" s="24"/>
      <c r="B1729" s="17" t="s">
        <v>17</v>
      </c>
      <c r="C1729" s="45">
        <f>15</f>
        <v>15</v>
      </c>
      <c r="D1729" s="45">
        <f>2841+1+53</f>
        <v>2895</v>
      </c>
      <c r="E1729" s="45">
        <f>15</f>
        <v>15</v>
      </c>
      <c r="F1729" s="45">
        <f>2405+108</f>
        <v>2513</v>
      </c>
      <c r="G1729" s="45"/>
      <c r="H1729" s="45"/>
      <c r="I1729" s="45"/>
      <c r="J1729" s="45"/>
      <c r="K1729" s="18"/>
    </row>
    <row r="1730" spans="1:11" ht="15" x14ac:dyDescent="0.2">
      <c r="A1730" s="24"/>
      <c r="B1730" s="17"/>
      <c r="C1730" s="45"/>
      <c r="D1730" s="45"/>
      <c r="E1730" s="45"/>
      <c r="F1730" s="45"/>
      <c r="G1730" s="45"/>
      <c r="H1730" s="45"/>
      <c r="I1730" s="45"/>
      <c r="J1730" s="45"/>
      <c r="K1730" s="18"/>
    </row>
    <row r="1731" spans="1:11" ht="15.75" x14ac:dyDescent="0.25">
      <c r="A1731" s="24"/>
      <c r="B1731" s="16" t="s">
        <v>26</v>
      </c>
      <c r="C1731" s="55"/>
      <c r="D1731" s="45"/>
      <c r="E1731" s="55"/>
      <c r="F1731" s="45"/>
      <c r="G1731" s="45"/>
      <c r="H1731" s="45"/>
      <c r="I1731" s="45"/>
      <c r="J1731" s="45"/>
      <c r="K1731" s="18"/>
    </row>
    <row r="1732" spans="1:11" ht="15" x14ac:dyDescent="0.2">
      <c r="A1732" s="24">
        <v>2001</v>
      </c>
      <c r="B1732" s="17" t="s">
        <v>24</v>
      </c>
      <c r="C1732" s="45">
        <v>26</v>
      </c>
      <c r="D1732" s="45">
        <f>2306+51</f>
        <v>2357</v>
      </c>
      <c r="E1732" s="45">
        <v>30</v>
      </c>
      <c r="F1732" s="45">
        <f>2253+109</f>
        <v>2362</v>
      </c>
      <c r="G1732" s="45"/>
      <c r="H1732" s="45"/>
      <c r="I1732" s="45"/>
      <c r="J1732" s="45"/>
      <c r="K1732" s="18"/>
    </row>
    <row r="1733" spans="1:11" ht="15" x14ac:dyDescent="0.2">
      <c r="A1733" s="24"/>
      <c r="B1733" s="17" t="s">
        <v>25</v>
      </c>
      <c r="C1733" s="45">
        <v>49</v>
      </c>
      <c r="D1733" s="45">
        <f>2565+31</f>
        <v>2596</v>
      </c>
      <c r="E1733" s="45">
        <v>20</v>
      </c>
      <c r="F1733" s="45">
        <f>2172+89</f>
        <v>2261</v>
      </c>
      <c r="G1733" s="45"/>
      <c r="H1733" s="45"/>
      <c r="I1733" s="45"/>
      <c r="J1733" s="45"/>
      <c r="K1733" s="18"/>
    </row>
    <row r="1734" spans="1:11" ht="15" x14ac:dyDescent="0.2">
      <c r="A1734" s="24"/>
      <c r="B1734" s="17" t="s">
        <v>11</v>
      </c>
      <c r="C1734" s="45">
        <v>108</v>
      </c>
      <c r="D1734" s="45">
        <f>2611+1+38</f>
        <v>2650</v>
      </c>
      <c r="E1734" s="45">
        <v>44</v>
      </c>
      <c r="F1734" s="45">
        <f>2129+1+79</f>
        <v>2209</v>
      </c>
      <c r="G1734" s="45"/>
      <c r="H1734" s="45"/>
      <c r="I1734" s="45"/>
      <c r="J1734" s="45"/>
      <c r="K1734" s="18"/>
    </row>
    <row r="1735" spans="1:11" ht="15.75" x14ac:dyDescent="0.25">
      <c r="A1735" s="24"/>
      <c r="B1735" s="16" t="s">
        <v>27</v>
      </c>
      <c r="C1735" s="55"/>
      <c r="D1735" s="45"/>
      <c r="E1735" s="55"/>
      <c r="F1735" s="45"/>
      <c r="G1735" s="45"/>
      <c r="H1735" s="45"/>
      <c r="I1735" s="45"/>
      <c r="J1735" s="45"/>
      <c r="K1735" s="18"/>
    </row>
    <row r="1736" spans="1:11" ht="15" x14ac:dyDescent="0.2">
      <c r="A1736" s="24" t="s">
        <v>19</v>
      </c>
      <c r="B1736" s="17" t="s">
        <v>12</v>
      </c>
      <c r="C1736" s="45">
        <v>151</v>
      </c>
      <c r="D1736" s="45">
        <f>2584+39</f>
        <v>2623</v>
      </c>
      <c r="E1736" s="45">
        <v>79</v>
      </c>
      <c r="F1736" s="45">
        <f>2253+109</f>
        <v>2362</v>
      </c>
      <c r="G1736" s="45"/>
      <c r="H1736" s="45"/>
      <c r="I1736" s="45"/>
      <c r="J1736" s="45"/>
      <c r="K1736" s="18"/>
    </row>
    <row r="1737" spans="1:11" ht="15" x14ac:dyDescent="0.2">
      <c r="A1737" s="24"/>
      <c r="B1737" s="17" t="s">
        <v>13</v>
      </c>
      <c r="C1737" s="45">
        <v>190</v>
      </c>
      <c r="D1737" s="45">
        <f>3149+51</f>
        <v>3200</v>
      </c>
      <c r="E1737" s="45">
        <v>99</v>
      </c>
      <c r="F1737" s="45">
        <f>2528+1+116</f>
        <v>2645</v>
      </c>
      <c r="G1737" s="45"/>
      <c r="H1737" s="45"/>
      <c r="I1737" s="45"/>
      <c r="J1737" s="45"/>
      <c r="K1737" s="18"/>
    </row>
    <row r="1738" spans="1:11" ht="15" x14ac:dyDescent="0.2">
      <c r="A1738" s="24"/>
      <c r="B1738" s="17" t="s">
        <v>14</v>
      </c>
      <c r="C1738" s="45">
        <v>197</v>
      </c>
      <c r="D1738" s="45">
        <f>3003+48</f>
        <v>3051</v>
      </c>
      <c r="E1738" s="45">
        <v>140</v>
      </c>
      <c r="F1738" s="45">
        <f>2601+105</f>
        <v>2706</v>
      </c>
      <c r="G1738" s="55"/>
      <c r="H1738" s="55"/>
      <c r="I1738" s="18"/>
      <c r="J1738" s="18"/>
      <c r="K1738" s="18"/>
    </row>
    <row r="1739" spans="1:11" ht="15" x14ac:dyDescent="0.2">
      <c r="A1739" s="24"/>
      <c r="B1739" s="17"/>
      <c r="C1739" s="45"/>
      <c r="D1739" s="45"/>
      <c r="E1739" s="45"/>
      <c r="F1739" s="45"/>
      <c r="G1739" s="55"/>
      <c r="H1739" s="55"/>
      <c r="I1739" s="18"/>
      <c r="J1739" s="18"/>
      <c r="K1739" s="18"/>
    </row>
    <row r="1740" spans="1:11" ht="15.75" x14ac:dyDescent="0.25">
      <c r="A1740" s="24"/>
      <c r="B1740" s="16" t="s">
        <v>28</v>
      </c>
      <c r="C1740" s="55"/>
      <c r="D1740" s="45"/>
      <c r="E1740" s="55"/>
      <c r="F1740" s="45"/>
      <c r="G1740" s="55"/>
      <c r="H1740" s="55"/>
      <c r="I1740" s="18"/>
      <c r="J1740" s="18"/>
      <c r="K1740" s="18"/>
    </row>
    <row r="1741" spans="1:11" ht="15" x14ac:dyDescent="0.2">
      <c r="A1741" s="24">
        <v>2002</v>
      </c>
      <c r="B1741" s="17" t="s">
        <v>15</v>
      </c>
      <c r="C1741" s="45">
        <v>182</v>
      </c>
      <c r="D1741" s="45">
        <f>2579+26</f>
        <v>2605</v>
      </c>
      <c r="E1741" s="45">
        <v>152</v>
      </c>
      <c r="F1741" s="45">
        <v>2232</v>
      </c>
      <c r="G1741" s="55"/>
      <c r="H1741" s="55"/>
      <c r="I1741" s="18"/>
      <c r="J1741" s="18"/>
      <c r="K1741" s="18"/>
    </row>
    <row r="1742" spans="1:11" ht="15" x14ac:dyDescent="0.2">
      <c r="A1742" s="24"/>
      <c r="B1742" s="17" t="s">
        <v>16</v>
      </c>
      <c r="C1742" s="45">
        <v>202</v>
      </c>
      <c r="D1742" s="45">
        <f>2670+1+29</f>
        <v>2700</v>
      </c>
      <c r="E1742" s="45">
        <f>185</f>
        <v>185</v>
      </c>
      <c r="F1742" s="45">
        <v>2550</v>
      </c>
      <c r="G1742" s="55"/>
      <c r="H1742" s="55"/>
      <c r="I1742" s="18"/>
      <c r="J1742" s="18"/>
      <c r="K1742" s="18"/>
    </row>
    <row r="1743" spans="1:11" ht="15" x14ac:dyDescent="0.2">
      <c r="A1743" s="24"/>
      <c r="B1743" s="17" t="s">
        <v>17</v>
      </c>
      <c r="C1743" s="45">
        <v>207</v>
      </c>
      <c r="D1743" s="45">
        <f>2592+29</f>
        <v>2621</v>
      </c>
      <c r="E1743" s="45">
        <v>196</v>
      </c>
      <c r="F1743" s="45">
        <v>2739</v>
      </c>
      <c r="G1743" s="55"/>
      <c r="H1743" s="55"/>
      <c r="I1743" s="18"/>
      <c r="J1743" s="18"/>
      <c r="K1743" s="18"/>
    </row>
    <row r="1744" spans="1:11" ht="15" x14ac:dyDescent="0.2">
      <c r="A1744" s="24"/>
      <c r="B1744" s="17"/>
      <c r="C1744" s="18"/>
      <c r="D1744" s="18"/>
      <c r="E1744" s="18"/>
      <c r="F1744" s="18"/>
      <c r="G1744" s="18"/>
      <c r="H1744" s="18"/>
      <c r="I1744" s="18"/>
      <c r="J1744" s="18"/>
      <c r="K1744" s="18"/>
    </row>
    <row r="1745" spans="1:14" ht="15.75" x14ac:dyDescent="0.25">
      <c r="A1745" s="24" t="s">
        <v>19</v>
      </c>
      <c r="B1745" s="16" t="s">
        <v>29</v>
      </c>
      <c r="C1745" s="55"/>
      <c r="D1745" s="45"/>
      <c r="E1745" s="55"/>
      <c r="F1745" s="45"/>
      <c r="G1745" s="55"/>
      <c r="H1745" s="55"/>
      <c r="I1745" s="18"/>
      <c r="J1745" s="18"/>
      <c r="K1745" s="18"/>
    </row>
    <row r="1746" spans="1:14" ht="15" x14ac:dyDescent="0.2">
      <c r="A1746" s="24" t="s">
        <v>19</v>
      </c>
      <c r="B1746" s="17" t="s">
        <v>20</v>
      </c>
      <c r="C1746" s="45">
        <v>167</v>
      </c>
      <c r="D1746" s="45">
        <v>2405</v>
      </c>
      <c r="E1746" s="45">
        <v>151</v>
      </c>
      <c r="F1746" s="45">
        <v>1931</v>
      </c>
      <c r="G1746" s="55"/>
      <c r="H1746" s="55"/>
      <c r="I1746" s="18"/>
      <c r="J1746" s="18"/>
      <c r="K1746" s="18"/>
    </row>
    <row r="1747" spans="1:14" ht="15" x14ac:dyDescent="0.2">
      <c r="A1747" s="24"/>
      <c r="B1747" s="17" t="s">
        <v>21</v>
      </c>
      <c r="C1747" s="45">
        <v>189</v>
      </c>
      <c r="D1747" s="45">
        <v>2434</v>
      </c>
      <c r="E1747" s="45">
        <v>173</v>
      </c>
      <c r="F1747" s="45">
        <v>2271</v>
      </c>
      <c r="G1747" s="55"/>
      <c r="H1747" s="55"/>
      <c r="I1747" s="18"/>
      <c r="J1747" s="18"/>
      <c r="K1747" s="18"/>
    </row>
    <row r="1748" spans="1:14" ht="15" x14ac:dyDescent="0.2">
      <c r="A1748" s="24"/>
      <c r="B1748" s="17" t="s">
        <v>22</v>
      </c>
      <c r="C1748" s="45">
        <v>144</v>
      </c>
      <c r="D1748" s="45">
        <v>2175</v>
      </c>
      <c r="E1748" s="45">
        <v>124</v>
      </c>
      <c r="F1748" s="45">
        <v>2120</v>
      </c>
      <c r="G1748" s="55"/>
      <c r="H1748" s="55"/>
      <c r="I1748" s="18"/>
      <c r="J1748" s="18"/>
      <c r="K1748" s="18"/>
    </row>
    <row r="1749" spans="1:14" ht="15" x14ac:dyDescent="0.2">
      <c r="A1749" s="24"/>
      <c r="B1749" s="17"/>
      <c r="C1749" s="45"/>
      <c r="D1749" s="45"/>
      <c r="E1749" s="45"/>
      <c r="F1749" s="45"/>
      <c r="G1749" s="55"/>
      <c r="H1749" s="55"/>
      <c r="I1749" s="18"/>
      <c r="J1749" s="18"/>
      <c r="K1749" s="18"/>
    </row>
    <row r="1750" spans="1:14" ht="15.75" x14ac:dyDescent="0.25">
      <c r="A1750" s="24">
        <v>2002</v>
      </c>
      <c r="B1750" s="16" t="s">
        <v>30</v>
      </c>
      <c r="C1750" s="55"/>
      <c r="D1750" s="45"/>
      <c r="E1750" s="55"/>
      <c r="F1750" s="45"/>
      <c r="G1750" s="55"/>
      <c r="H1750" s="55"/>
      <c r="I1750" s="18"/>
      <c r="J1750" s="18"/>
      <c r="K1750" s="18"/>
    </row>
    <row r="1751" spans="1:14" ht="15" x14ac:dyDescent="0.2">
      <c r="A1751" s="24" t="s">
        <v>19</v>
      </c>
      <c r="B1751" s="17" t="s">
        <v>24</v>
      </c>
      <c r="C1751" s="45">
        <v>160</v>
      </c>
      <c r="D1751" s="45">
        <v>2096</v>
      </c>
      <c r="E1751" s="45">
        <v>147</v>
      </c>
      <c r="F1751" s="45">
        <v>1936</v>
      </c>
      <c r="G1751" s="55"/>
      <c r="H1751" s="55"/>
      <c r="I1751" s="18"/>
      <c r="J1751" s="18"/>
      <c r="K1751" s="18"/>
    </row>
    <row r="1752" spans="1:14" ht="15" x14ac:dyDescent="0.2">
      <c r="A1752" s="24"/>
      <c r="B1752" s="17" t="s">
        <v>25</v>
      </c>
      <c r="C1752" s="45">
        <v>177</v>
      </c>
      <c r="D1752" s="45">
        <v>2447</v>
      </c>
      <c r="E1752" s="45">
        <v>158</v>
      </c>
      <c r="F1752" s="45">
        <v>2138</v>
      </c>
      <c r="G1752" s="55"/>
      <c r="H1752" s="55"/>
      <c r="I1752" s="18"/>
      <c r="J1752" s="18"/>
      <c r="K1752" s="18"/>
    </row>
    <row r="1753" spans="1:14" ht="15" x14ac:dyDescent="0.2">
      <c r="A1753" s="24"/>
      <c r="B1753" s="17" t="s">
        <v>11</v>
      </c>
      <c r="C1753" s="45">
        <v>252</v>
      </c>
      <c r="D1753" s="45">
        <v>2321</v>
      </c>
      <c r="E1753" s="45">
        <v>192</v>
      </c>
      <c r="F1753" s="45">
        <v>1850</v>
      </c>
      <c r="G1753" s="55"/>
      <c r="H1753" s="55"/>
      <c r="I1753" s="18"/>
      <c r="J1753" s="18"/>
      <c r="K1753" s="18"/>
    </row>
    <row r="1754" spans="1:14" ht="15.75" x14ac:dyDescent="0.25">
      <c r="A1754" s="21"/>
      <c r="B1754" s="16"/>
      <c r="C1754" s="40"/>
      <c r="D1754" s="40"/>
      <c r="E1754" s="40"/>
      <c r="F1754" s="40"/>
      <c r="G1754" s="45"/>
      <c r="H1754" s="45"/>
      <c r="I1754" s="45"/>
      <c r="J1754" s="45"/>
      <c r="K1754" s="18"/>
    </row>
    <row r="1755" spans="1:14" ht="15.75" x14ac:dyDescent="0.25">
      <c r="A1755" s="24" t="s">
        <v>19</v>
      </c>
      <c r="B1755" s="16" t="s">
        <v>31</v>
      </c>
      <c r="C1755" s="55"/>
      <c r="D1755" s="45"/>
      <c r="E1755" s="55"/>
      <c r="F1755" s="45"/>
      <c r="G1755" s="18"/>
      <c r="H1755" s="18"/>
      <c r="I1755" s="18"/>
      <c r="J1755" s="18"/>
      <c r="K1755" s="18"/>
    </row>
    <row r="1756" spans="1:14" ht="15" x14ac:dyDescent="0.2">
      <c r="A1756" s="24" t="s">
        <v>19</v>
      </c>
      <c r="B1756" s="17" t="s">
        <v>12</v>
      </c>
      <c r="C1756" s="45">
        <v>295</v>
      </c>
      <c r="D1756" s="45">
        <v>2477</v>
      </c>
      <c r="E1756" s="45">
        <v>208</v>
      </c>
      <c r="F1756" s="45">
        <v>2201</v>
      </c>
      <c r="G1756" s="18"/>
      <c r="H1756" s="18"/>
      <c r="I1756" s="18"/>
      <c r="J1756" s="18"/>
      <c r="K1756" s="18"/>
      <c r="N1756" t="s">
        <v>19</v>
      </c>
    </row>
    <row r="1757" spans="1:14" ht="15" x14ac:dyDescent="0.2">
      <c r="A1757" s="24"/>
      <c r="B1757" s="17" t="s">
        <v>13</v>
      </c>
      <c r="C1757" s="45">
        <v>321</v>
      </c>
      <c r="D1757" s="45">
        <v>2663</v>
      </c>
      <c r="E1757" s="45">
        <v>233</v>
      </c>
      <c r="F1757" s="45">
        <v>2070</v>
      </c>
      <c r="G1757" s="18"/>
      <c r="H1757" s="18"/>
      <c r="I1757" s="18"/>
      <c r="J1757" s="18"/>
      <c r="K1757" s="18"/>
    </row>
    <row r="1758" spans="1:14" ht="15" x14ac:dyDescent="0.2">
      <c r="A1758" s="24"/>
      <c r="B1758" s="17" t="s">
        <v>14</v>
      </c>
      <c r="C1758" s="45">
        <v>362</v>
      </c>
      <c r="D1758" s="45">
        <v>2740</v>
      </c>
      <c r="E1758" s="45">
        <v>248</v>
      </c>
      <c r="F1758" s="45">
        <v>2016</v>
      </c>
      <c r="G1758" s="18"/>
      <c r="H1758" s="18"/>
      <c r="I1758" s="18"/>
      <c r="J1758" s="18"/>
      <c r="K1758" s="18"/>
    </row>
    <row r="1759" spans="1:14" ht="15" x14ac:dyDescent="0.2">
      <c r="A1759" s="24"/>
      <c r="B1759" s="17"/>
      <c r="C1759" s="18"/>
      <c r="D1759" s="18"/>
      <c r="E1759" s="18"/>
      <c r="F1759" s="18"/>
      <c r="G1759" s="18"/>
      <c r="H1759" s="18"/>
      <c r="I1759" s="18"/>
      <c r="J1759" s="18"/>
      <c r="K1759" s="18"/>
    </row>
    <row r="1760" spans="1:14" ht="15.75" x14ac:dyDescent="0.25">
      <c r="A1760" s="24" t="s">
        <v>19</v>
      </c>
      <c r="B1760" s="16" t="s">
        <v>33</v>
      </c>
      <c r="C1760" s="55"/>
      <c r="D1760" s="45"/>
      <c r="E1760" s="55"/>
      <c r="F1760" s="45"/>
      <c r="G1760" s="18"/>
      <c r="H1760" s="18"/>
      <c r="I1760" s="18"/>
      <c r="J1760" s="18"/>
      <c r="K1760" s="18"/>
    </row>
    <row r="1761" spans="1:11" ht="15" x14ac:dyDescent="0.2">
      <c r="A1761" s="24">
        <v>2003</v>
      </c>
      <c r="B1761" s="17" t="s">
        <v>15</v>
      </c>
      <c r="C1761" s="45">
        <v>263</v>
      </c>
      <c r="D1761" s="45">
        <v>2439</v>
      </c>
      <c r="E1761" s="45">
        <v>206</v>
      </c>
      <c r="F1761" s="45">
        <v>1983</v>
      </c>
      <c r="G1761" s="18"/>
      <c r="H1761" s="18"/>
      <c r="I1761" s="18"/>
      <c r="J1761" s="18"/>
      <c r="K1761" s="18"/>
    </row>
    <row r="1762" spans="1:11" ht="15" x14ac:dyDescent="0.2">
      <c r="A1762" s="24"/>
      <c r="B1762" s="17" t="s">
        <v>16</v>
      </c>
      <c r="C1762" s="45">
        <v>292</v>
      </c>
      <c r="D1762" s="45">
        <v>2546</v>
      </c>
      <c r="E1762" s="45">
        <v>234</v>
      </c>
      <c r="F1762" s="45">
        <v>2072</v>
      </c>
      <c r="G1762" s="18"/>
      <c r="H1762" s="18"/>
      <c r="I1762" s="18"/>
      <c r="J1762" s="18"/>
      <c r="K1762" s="18"/>
    </row>
    <row r="1763" spans="1:11" ht="18.75" customHeight="1" x14ac:dyDescent="0.2">
      <c r="A1763" s="24"/>
      <c r="B1763" s="17" t="s">
        <v>17</v>
      </c>
      <c r="C1763" s="45">
        <v>288</v>
      </c>
      <c r="D1763" s="45">
        <v>2705</v>
      </c>
      <c r="E1763" s="45">
        <v>266</v>
      </c>
      <c r="F1763" s="45">
        <v>2201</v>
      </c>
      <c r="G1763" s="18"/>
      <c r="H1763" s="18"/>
      <c r="I1763" s="18"/>
      <c r="J1763" s="18"/>
      <c r="K1763" s="18"/>
    </row>
    <row r="1764" spans="1:11" ht="15" x14ac:dyDescent="0.2">
      <c r="A1764" s="24"/>
      <c r="B1764" s="17"/>
      <c r="C1764" s="18"/>
      <c r="D1764" s="18"/>
      <c r="E1764" s="18"/>
      <c r="F1764" s="18"/>
      <c r="G1764" s="18"/>
      <c r="H1764" s="18"/>
      <c r="I1764" s="18"/>
      <c r="J1764" s="18"/>
      <c r="K1764" s="18"/>
    </row>
    <row r="1765" spans="1:11" ht="15.75" x14ac:dyDescent="0.25">
      <c r="A1765" s="24" t="s">
        <v>19</v>
      </c>
      <c r="B1765" s="16" t="s">
        <v>34</v>
      </c>
      <c r="C1765" s="55"/>
      <c r="D1765" s="45"/>
      <c r="E1765" s="55"/>
      <c r="F1765" s="45"/>
      <c r="G1765" s="18"/>
      <c r="H1765" s="18"/>
      <c r="I1765" s="18"/>
      <c r="J1765" s="18"/>
      <c r="K1765" s="18"/>
    </row>
    <row r="1766" spans="1:11" ht="15" x14ac:dyDescent="0.2">
      <c r="A1766" s="24" t="s">
        <v>19</v>
      </c>
      <c r="B1766" s="17" t="s">
        <v>20</v>
      </c>
      <c r="C1766" s="45">
        <v>263</v>
      </c>
      <c r="D1766" s="45">
        <v>2531</v>
      </c>
      <c r="E1766" s="45">
        <v>221</v>
      </c>
      <c r="F1766" s="45">
        <v>2241</v>
      </c>
      <c r="G1766" s="18"/>
      <c r="H1766" s="18"/>
      <c r="I1766" s="18"/>
      <c r="J1766" s="18"/>
      <c r="K1766" s="18"/>
    </row>
    <row r="1767" spans="1:11" ht="15" x14ac:dyDescent="0.2">
      <c r="A1767" s="24"/>
      <c r="B1767" s="17" t="s">
        <v>21</v>
      </c>
      <c r="C1767" s="45">
        <v>225</v>
      </c>
      <c r="D1767" s="45">
        <v>2437</v>
      </c>
      <c r="E1767" s="45">
        <v>210</v>
      </c>
      <c r="F1767" s="45">
        <v>2006</v>
      </c>
      <c r="G1767" s="18"/>
      <c r="H1767" s="18"/>
      <c r="I1767" s="18"/>
      <c r="J1767" s="18"/>
      <c r="K1767" s="18"/>
    </row>
    <row r="1768" spans="1:11" ht="15" x14ac:dyDescent="0.2">
      <c r="A1768" s="24"/>
      <c r="B1768" s="17" t="s">
        <v>22</v>
      </c>
      <c r="C1768" s="45">
        <v>169</v>
      </c>
      <c r="D1768" s="45">
        <v>2219</v>
      </c>
      <c r="E1768" s="45">
        <v>166</v>
      </c>
      <c r="F1768" s="45">
        <v>1889</v>
      </c>
      <c r="G1768" s="18"/>
      <c r="H1768" s="18"/>
      <c r="I1768" s="18"/>
      <c r="J1768" s="18"/>
      <c r="K1768" s="18"/>
    </row>
    <row r="1769" spans="1:11" ht="15" x14ac:dyDescent="0.2">
      <c r="A1769" s="24"/>
      <c r="B1769" s="17"/>
      <c r="C1769" s="18"/>
      <c r="D1769" s="18"/>
      <c r="E1769" s="18"/>
      <c r="F1769" s="18"/>
      <c r="G1769" s="18"/>
      <c r="H1769" s="18"/>
      <c r="I1769" s="18"/>
      <c r="J1769" s="18"/>
      <c r="K1769" s="18"/>
    </row>
    <row r="1770" spans="1:11" ht="15.75" x14ac:dyDescent="0.25">
      <c r="A1770" s="89" t="s">
        <v>114</v>
      </c>
      <c r="B1770" s="17"/>
      <c r="C1770" s="18"/>
      <c r="D1770" s="18"/>
      <c r="E1770" s="18"/>
      <c r="F1770" s="18"/>
      <c r="G1770" s="18"/>
      <c r="H1770" s="18"/>
      <c r="I1770" s="18"/>
      <c r="J1770" s="18"/>
      <c r="K1770" s="18"/>
    </row>
    <row r="1771" spans="1:11" ht="27.75" x14ac:dyDescent="0.55000000000000004">
      <c r="A1771" s="24"/>
      <c r="B1771" s="17"/>
      <c r="C1771" s="105" t="s">
        <v>163</v>
      </c>
      <c r="D1771" s="105"/>
      <c r="E1771" s="105" t="s">
        <v>164</v>
      </c>
      <c r="F1771" s="105"/>
      <c r="G1771" s="45"/>
      <c r="H1771" s="45"/>
      <c r="I1771" s="45"/>
      <c r="J1771" s="45"/>
      <c r="K1771" s="18"/>
    </row>
    <row r="1772" spans="1:11" ht="15.75" x14ac:dyDescent="0.25">
      <c r="A1772" s="21" t="s">
        <v>8</v>
      </c>
      <c r="B1772" s="16" t="s">
        <v>32</v>
      </c>
      <c r="C1772" s="40" t="s">
        <v>108</v>
      </c>
      <c r="D1772" s="40" t="s">
        <v>117</v>
      </c>
      <c r="E1772" s="40" t="s">
        <v>108</v>
      </c>
      <c r="F1772" s="40" t="s">
        <v>117</v>
      </c>
      <c r="G1772" s="45"/>
      <c r="H1772" s="45"/>
      <c r="I1772" s="45"/>
      <c r="J1772" s="45"/>
      <c r="K1772" s="18"/>
    </row>
    <row r="1773" spans="1:11" ht="15.75" x14ac:dyDescent="0.25">
      <c r="A1773" s="24" t="s">
        <v>19</v>
      </c>
      <c r="B1773" s="16" t="s">
        <v>35</v>
      </c>
      <c r="C1773" s="55"/>
      <c r="D1773" s="45"/>
      <c r="E1773" s="55"/>
      <c r="F1773" s="45"/>
      <c r="G1773" s="18"/>
      <c r="H1773" s="18"/>
      <c r="I1773" s="18"/>
      <c r="J1773" s="18"/>
      <c r="K1773" s="18"/>
    </row>
    <row r="1774" spans="1:11" ht="15" x14ac:dyDescent="0.2">
      <c r="A1774" s="24">
        <v>2003</v>
      </c>
      <c r="B1774" s="17" t="s">
        <v>24</v>
      </c>
      <c r="C1774" s="45">
        <v>179</v>
      </c>
      <c r="D1774" s="45">
        <f>2122+7</f>
        <v>2129</v>
      </c>
      <c r="E1774" s="45">
        <v>157</v>
      </c>
      <c r="F1774" s="45">
        <f>1959+33</f>
        <v>1992</v>
      </c>
      <c r="G1774" s="18"/>
      <c r="H1774" s="18"/>
      <c r="I1774" s="18"/>
      <c r="J1774" s="18"/>
      <c r="K1774" s="18"/>
    </row>
    <row r="1775" spans="1:11" ht="15" x14ac:dyDescent="0.2">
      <c r="A1775" s="24"/>
      <c r="B1775" s="17" t="s">
        <v>25</v>
      </c>
      <c r="C1775" s="45">
        <v>208</v>
      </c>
      <c r="D1775" s="45">
        <f>2493+15</f>
        <v>2508</v>
      </c>
      <c r="E1775" s="45">
        <v>177</v>
      </c>
      <c r="F1775" s="45">
        <f>2169+43</f>
        <v>2212</v>
      </c>
      <c r="G1775" s="18"/>
      <c r="H1775" s="18"/>
      <c r="I1775" s="18"/>
      <c r="J1775" s="18"/>
      <c r="K1775" s="18"/>
    </row>
    <row r="1776" spans="1:11" ht="15" x14ac:dyDescent="0.2">
      <c r="A1776" s="24"/>
      <c r="B1776" s="17" t="s">
        <v>11</v>
      </c>
      <c r="C1776" s="45">
        <v>359</v>
      </c>
      <c r="D1776" s="45">
        <f>2914+10</f>
        <v>2924</v>
      </c>
      <c r="E1776" s="45">
        <v>238</v>
      </c>
      <c r="F1776" s="45">
        <f>2327+25</f>
        <v>2352</v>
      </c>
      <c r="G1776" s="18"/>
      <c r="H1776" s="18"/>
      <c r="I1776" s="18"/>
      <c r="J1776" s="18"/>
      <c r="K1776" s="18"/>
    </row>
    <row r="1777" spans="1:11" ht="15" x14ac:dyDescent="0.2">
      <c r="A1777" s="24"/>
      <c r="B1777" s="17"/>
      <c r="C1777" s="18"/>
      <c r="D1777" s="18"/>
      <c r="E1777" s="18"/>
      <c r="F1777" s="18"/>
      <c r="G1777" s="18"/>
      <c r="H1777" s="18"/>
      <c r="I1777" s="18"/>
      <c r="J1777" s="18"/>
      <c r="K1777" s="18"/>
    </row>
    <row r="1778" spans="1:11" ht="15.75" x14ac:dyDescent="0.25">
      <c r="A1778" s="24" t="s">
        <v>19</v>
      </c>
      <c r="B1778" s="16" t="s">
        <v>36</v>
      </c>
      <c r="C1778" s="55"/>
      <c r="D1778" s="45"/>
      <c r="E1778" s="55"/>
      <c r="F1778" s="45"/>
      <c r="G1778" s="18"/>
      <c r="H1778" s="18"/>
      <c r="I1778" s="18"/>
      <c r="J1778" s="18"/>
      <c r="K1778" s="18"/>
    </row>
    <row r="1779" spans="1:11" ht="15" x14ac:dyDescent="0.2">
      <c r="A1779" s="24"/>
      <c r="B1779" s="17" t="s">
        <v>12</v>
      </c>
      <c r="C1779" s="45">
        <v>298</v>
      </c>
      <c r="D1779" s="45">
        <f>2430</f>
        <v>2430</v>
      </c>
      <c r="E1779" s="45">
        <v>197</v>
      </c>
      <c r="F1779" s="45">
        <f>2046</f>
        <v>2046</v>
      </c>
      <c r="G1779" s="18"/>
      <c r="H1779" s="18"/>
      <c r="I1779" s="18"/>
      <c r="J1779" s="18"/>
      <c r="K1779" s="18"/>
    </row>
    <row r="1780" spans="1:11" ht="15" x14ac:dyDescent="0.2">
      <c r="A1780" s="24"/>
      <c r="B1780" s="17" t="s">
        <v>13</v>
      </c>
      <c r="C1780" s="45">
        <v>271</v>
      </c>
      <c r="D1780" s="45">
        <f>2749</f>
        <v>2749</v>
      </c>
      <c r="E1780" s="45">
        <v>191</v>
      </c>
      <c r="F1780" s="45">
        <f>2098</f>
        <v>2098</v>
      </c>
      <c r="G1780" s="18"/>
      <c r="H1780" s="18"/>
      <c r="I1780" s="18"/>
      <c r="J1780" s="18"/>
      <c r="K1780" s="18"/>
    </row>
    <row r="1781" spans="1:11" ht="15" x14ac:dyDescent="0.2">
      <c r="A1781" s="24"/>
      <c r="B1781" s="17" t="s">
        <v>14</v>
      </c>
      <c r="C1781" s="45">
        <v>300</v>
      </c>
      <c r="D1781" s="45">
        <f>2833</f>
        <v>2833</v>
      </c>
      <c r="E1781" s="45">
        <v>212</v>
      </c>
      <c r="F1781" s="45">
        <f>2019</f>
        <v>2019</v>
      </c>
      <c r="G1781" s="18"/>
      <c r="H1781" s="18"/>
      <c r="I1781" s="18"/>
      <c r="J1781" s="18"/>
      <c r="K1781" s="18"/>
    </row>
    <row r="1782" spans="1:11" ht="15" x14ac:dyDescent="0.2">
      <c r="A1782" s="24"/>
      <c r="B1782" s="17"/>
      <c r="C1782" s="45"/>
      <c r="D1782" s="45"/>
      <c r="E1782" s="45"/>
      <c r="F1782" s="45"/>
      <c r="G1782" s="18"/>
      <c r="H1782" s="18"/>
      <c r="I1782" s="18"/>
      <c r="J1782" s="18"/>
      <c r="K1782" s="18"/>
    </row>
    <row r="1783" spans="1:11" ht="15" x14ac:dyDescent="0.2">
      <c r="A1783" s="24"/>
      <c r="B1783" s="17"/>
      <c r="C1783" s="45"/>
      <c r="D1783" s="45"/>
      <c r="E1783" s="45"/>
      <c r="F1783" s="45"/>
      <c r="G1783" s="18"/>
      <c r="H1783" s="18"/>
      <c r="I1783" s="18"/>
      <c r="J1783" s="18"/>
      <c r="K1783" s="18"/>
    </row>
    <row r="1784" spans="1:11" ht="15.75" x14ac:dyDescent="0.25">
      <c r="A1784" s="24" t="s">
        <v>19</v>
      </c>
      <c r="B1784" s="16" t="s">
        <v>37</v>
      </c>
      <c r="C1784" s="55"/>
      <c r="D1784" s="45"/>
      <c r="E1784" s="55"/>
      <c r="F1784" s="45"/>
      <c r="G1784" s="18"/>
      <c r="H1784" s="18"/>
      <c r="I1784" s="18"/>
      <c r="J1784" s="18"/>
      <c r="K1784" s="18"/>
    </row>
    <row r="1785" spans="1:11" ht="15" x14ac:dyDescent="0.2">
      <c r="A1785" s="24">
        <v>2004</v>
      </c>
      <c r="B1785" s="17" t="s">
        <v>15</v>
      </c>
      <c r="C1785" s="45">
        <v>347</v>
      </c>
      <c r="D1785" s="45">
        <f>3030</f>
        <v>3030</v>
      </c>
      <c r="E1785" s="45">
        <v>249</v>
      </c>
      <c r="F1785" s="45">
        <f>2112</f>
        <v>2112</v>
      </c>
      <c r="G1785" s="18"/>
      <c r="H1785" s="18"/>
      <c r="I1785" s="18"/>
      <c r="J1785" s="18"/>
      <c r="K1785" s="18"/>
    </row>
    <row r="1786" spans="1:11" ht="15" x14ac:dyDescent="0.2">
      <c r="A1786" s="24"/>
      <c r="B1786" s="17" t="s">
        <v>16</v>
      </c>
      <c r="C1786" s="45">
        <v>283</v>
      </c>
      <c r="D1786" s="45">
        <f>2992</f>
        <v>2992</v>
      </c>
      <c r="E1786" s="45">
        <v>289</v>
      </c>
      <c r="F1786" s="45">
        <f>2618</f>
        <v>2618</v>
      </c>
      <c r="G1786" s="18"/>
      <c r="H1786" s="18"/>
      <c r="I1786" s="18"/>
      <c r="J1786" s="18"/>
      <c r="K1786" s="18"/>
    </row>
    <row r="1787" spans="1:11" ht="14.25" customHeight="1" x14ac:dyDescent="0.2">
      <c r="A1787" s="24"/>
      <c r="B1787" s="17" t="s">
        <v>17</v>
      </c>
      <c r="C1787" s="45">
        <v>246</v>
      </c>
      <c r="D1787" s="45">
        <f>2867</f>
        <v>2867</v>
      </c>
      <c r="E1787" s="45">
        <v>244</v>
      </c>
      <c r="F1787" s="45">
        <v>2643</v>
      </c>
      <c r="G1787" s="18"/>
      <c r="H1787" s="18"/>
      <c r="I1787" s="18"/>
      <c r="J1787" s="18"/>
      <c r="K1787" s="18"/>
    </row>
    <row r="1788" spans="1:11" ht="14.25" customHeight="1" x14ac:dyDescent="0.2">
      <c r="A1788" s="24"/>
      <c r="B1788" s="17"/>
      <c r="C1788" s="45"/>
      <c r="D1788" s="45"/>
      <c r="E1788" s="45"/>
      <c r="F1788" s="45"/>
      <c r="G1788" s="18"/>
      <c r="H1788" s="18"/>
      <c r="I1788" s="18"/>
      <c r="J1788" s="18"/>
      <c r="K1788" s="18"/>
    </row>
    <row r="1789" spans="1:11" ht="15.75" x14ac:dyDescent="0.25">
      <c r="A1789" s="24" t="s">
        <v>19</v>
      </c>
      <c r="B1789" s="16" t="s">
        <v>38</v>
      </c>
      <c r="C1789" s="55"/>
      <c r="D1789" s="45"/>
      <c r="E1789" s="55"/>
      <c r="F1789" s="45"/>
      <c r="G1789" s="18"/>
      <c r="H1789" s="18"/>
      <c r="I1789" s="18"/>
      <c r="J1789" s="18"/>
      <c r="K1789" s="18"/>
    </row>
    <row r="1790" spans="1:11" ht="15" x14ac:dyDescent="0.2">
      <c r="A1790" s="24" t="s">
        <v>19</v>
      </c>
      <c r="B1790" s="17" t="s">
        <v>20</v>
      </c>
      <c r="C1790" s="45">
        <v>293</v>
      </c>
      <c r="D1790" s="45">
        <f>2899+3+10</f>
        <v>2912</v>
      </c>
      <c r="E1790" s="45">
        <v>267</v>
      </c>
      <c r="F1790" s="45">
        <f>2344+14</f>
        <v>2358</v>
      </c>
      <c r="G1790" s="18"/>
      <c r="H1790" s="18"/>
      <c r="I1790" s="18"/>
      <c r="J1790" s="18"/>
      <c r="K1790" s="18"/>
    </row>
    <row r="1791" spans="1:11" ht="15" x14ac:dyDescent="0.2">
      <c r="A1791" s="24"/>
      <c r="B1791" s="17" t="s">
        <v>21</v>
      </c>
      <c r="C1791" s="45">
        <v>256</v>
      </c>
      <c r="D1791" s="45">
        <f>2487+1+8</f>
        <v>2496</v>
      </c>
      <c r="E1791" s="45">
        <v>221</v>
      </c>
      <c r="F1791" s="45">
        <f>2068+21</f>
        <v>2089</v>
      </c>
      <c r="G1791" s="18"/>
      <c r="H1791" s="18"/>
      <c r="I1791" s="18"/>
      <c r="J1791" s="18"/>
      <c r="K1791" s="18"/>
    </row>
    <row r="1792" spans="1:11" ht="15" x14ac:dyDescent="0.2">
      <c r="A1792" s="24"/>
      <c r="B1792" s="17" t="s">
        <v>22</v>
      </c>
      <c r="C1792" s="45">
        <v>232</v>
      </c>
      <c r="D1792" s="45">
        <f>2290+1+1+9</f>
        <v>2301</v>
      </c>
      <c r="E1792" s="45">
        <v>231</v>
      </c>
      <c r="F1792" s="45">
        <f>1954+1+20</f>
        <v>1975</v>
      </c>
      <c r="G1792" s="18"/>
      <c r="H1792" s="18"/>
      <c r="I1792" s="18"/>
      <c r="J1792" s="18"/>
      <c r="K1792" s="18"/>
    </row>
    <row r="1793" spans="1:11" ht="15" x14ac:dyDescent="0.2">
      <c r="A1793" s="24"/>
      <c r="B1793" s="17"/>
      <c r="C1793" s="18"/>
      <c r="D1793" s="18"/>
      <c r="E1793" s="18"/>
      <c r="F1793" s="18"/>
      <c r="G1793" s="18"/>
      <c r="H1793" s="18"/>
      <c r="I1793" s="18"/>
      <c r="J1793" s="18"/>
      <c r="K1793" s="18"/>
    </row>
    <row r="1794" spans="1:11" ht="15.75" x14ac:dyDescent="0.25">
      <c r="A1794" s="24" t="s">
        <v>19</v>
      </c>
      <c r="B1794" s="16" t="s">
        <v>39</v>
      </c>
      <c r="C1794" s="55"/>
      <c r="D1794" s="45"/>
      <c r="E1794" s="55"/>
      <c r="F1794" s="45"/>
      <c r="G1794" s="18"/>
      <c r="H1794" s="18"/>
      <c r="I1794" s="18"/>
      <c r="J1794" s="18"/>
      <c r="K1794" s="18"/>
    </row>
    <row r="1795" spans="1:11" ht="15" x14ac:dyDescent="0.2">
      <c r="A1795" s="24"/>
      <c r="B1795" s="17" t="s">
        <v>24</v>
      </c>
      <c r="C1795" s="45">
        <v>173</v>
      </c>
      <c r="D1795" s="45">
        <f>2002+6</f>
        <v>2008</v>
      </c>
      <c r="E1795" s="45">
        <v>176</v>
      </c>
      <c r="F1795" s="45">
        <f>1840+19</f>
        <v>1859</v>
      </c>
      <c r="G1795" s="18"/>
      <c r="H1795" s="18"/>
      <c r="I1795" s="18"/>
      <c r="J1795" s="18"/>
      <c r="K1795" s="18"/>
    </row>
    <row r="1796" spans="1:11" ht="15" x14ac:dyDescent="0.2">
      <c r="A1796" s="24"/>
      <c r="B1796" s="17" t="s">
        <v>25</v>
      </c>
      <c r="C1796" s="45">
        <v>261</v>
      </c>
      <c r="D1796" s="45">
        <f>2546+18</f>
        <v>2564</v>
      </c>
      <c r="E1796" s="45">
        <v>265</v>
      </c>
      <c r="F1796" s="45">
        <f>2210+1+33</f>
        <v>2244</v>
      </c>
      <c r="G1796" s="18"/>
      <c r="H1796" s="18"/>
      <c r="I1796" s="18"/>
      <c r="J1796" s="18"/>
      <c r="K1796" s="18"/>
    </row>
    <row r="1797" spans="1:11" ht="15" x14ac:dyDescent="0.2">
      <c r="A1797" s="24"/>
      <c r="B1797" s="17" t="s">
        <v>11</v>
      </c>
      <c r="C1797" s="45">
        <v>263</v>
      </c>
      <c r="D1797" s="45">
        <f>2577+12</f>
        <v>2589</v>
      </c>
      <c r="E1797" s="45">
        <v>227</v>
      </c>
      <c r="F1797" s="45">
        <f>2045+18</f>
        <v>2063</v>
      </c>
      <c r="G1797" s="18"/>
      <c r="H1797" s="18"/>
      <c r="I1797" s="18"/>
      <c r="J1797" s="18"/>
      <c r="K1797" s="18"/>
    </row>
    <row r="1798" spans="1:11" ht="15.75" x14ac:dyDescent="0.25">
      <c r="A1798" s="24" t="s">
        <v>19</v>
      </c>
      <c r="B1798" s="16" t="s">
        <v>40</v>
      </c>
      <c r="C1798" s="55"/>
      <c r="D1798" s="45"/>
      <c r="E1798" s="55"/>
      <c r="F1798" s="45"/>
      <c r="G1798" s="18"/>
      <c r="H1798" s="18"/>
      <c r="I1798" s="18"/>
      <c r="J1798" s="18"/>
      <c r="K1798" s="18"/>
    </row>
    <row r="1799" spans="1:11" ht="15" x14ac:dyDescent="0.2">
      <c r="A1799" s="24" t="s">
        <v>19</v>
      </c>
      <c r="B1799" s="17" t="s">
        <v>12</v>
      </c>
      <c r="C1799" s="45">
        <v>287</v>
      </c>
      <c r="D1799" s="45">
        <v>2412</v>
      </c>
      <c r="E1799" s="45">
        <v>250</v>
      </c>
      <c r="F1799" s="45">
        <v>1908</v>
      </c>
      <c r="G1799" s="18"/>
      <c r="H1799" s="18"/>
      <c r="I1799" s="18"/>
      <c r="J1799" s="18"/>
      <c r="K1799" s="18"/>
    </row>
    <row r="1800" spans="1:11" ht="15" x14ac:dyDescent="0.2">
      <c r="A1800" s="24"/>
      <c r="B1800" s="17" t="s">
        <v>13</v>
      </c>
      <c r="C1800" s="45">
        <v>409</v>
      </c>
      <c r="D1800" s="45">
        <v>2790</v>
      </c>
      <c r="E1800" s="45">
        <v>334</v>
      </c>
      <c r="F1800" s="45">
        <v>2400</v>
      </c>
      <c r="G1800" s="18"/>
      <c r="H1800" s="18"/>
      <c r="I1800" s="18"/>
      <c r="J1800" s="18"/>
      <c r="K1800" s="18"/>
    </row>
    <row r="1801" spans="1:11" ht="15" x14ac:dyDescent="0.2">
      <c r="A1801" s="24"/>
      <c r="B1801" s="17" t="s">
        <v>14</v>
      </c>
      <c r="C1801" s="45">
        <v>343</v>
      </c>
      <c r="D1801" s="45">
        <v>2596</v>
      </c>
      <c r="E1801" s="45">
        <v>266</v>
      </c>
      <c r="F1801" s="45">
        <v>2124</v>
      </c>
      <c r="G1801" s="18"/>
      <c r="H1801" s="18"/>
      <c r="I1801" s="18"/>
      <c r="J1801" s="18"/>
      <c r="K1801" s="18"/>
    </row>
    <row r="1802" spans="1:11" ht="15" x14ac:dyDescent="0.2">
      <c r="A1802" s="24"/>
      <c r="B1802" s="17"/>
      <c r="C1802" s="45"/>
      <c r="D1802" s="45"/>
      <c r="E1802" s="45"/>
      <c r="F1802" s="45"/>
      <c r="G1802" s="18"/>
      <c r="H1802" s="18"/>
      <c r="I1802" s="18"/>
      <c r="J1802" s="18"/>
      <c r="K1802" s="18"/>
    </row>
    <row r="1803" spans="1:11" ht="15.75" x14ac:dyDescent="0.25">
      <c r="A1803" s="24" t="s">
        <v>19</v>
      </c>
      <c r="B1803" s="16" t="s">
        <v>41</v>
      </c>
      <c r="C1803" s="55"/>
      <c r="D1803" s="45"/>
      <c r="E1803" s="55"/>
      <c r="F1803" s="45"/>
      <c r="G1803" s="18"/>
      <c r="H1803" s="18"/>
      <c r="I1803" s="18"/>
      <c r="J1803" s="18"/>
      <c r="K1803" s="18"/>
    </row>
    <row r="1804" spans="1:11" ht="15" x14ac:dyDescent="0.2">
      <c r="A1804" s="24">
        <v>2005</v>
      </c>
      <c r="B1804" s="17" t="s">
        <v>15</v>
      </c>
      <c r="C1804" s="45">
        <v>277</v>
      </c>
      <c r="D1804" s="45">
        <v>2483</v>
      </c>
      <c r="E1804" s="45">
        <v>258</v>
      </c>
      <c r="F1804" s="45">
        <v>1977</v>
      </c>
      <c r="G1804" s="18"/>
      <c r="H1804" s="18"/>
      <c r="I1804" s="18"/>
      <c r="J1804" s="18"/>
      <c r="K1804" s="18"/>
    </row>
    <row r="1805" spans="1:11" ht="15" x14ac:dyDescent="0.2">
      <c r="A1805" s="24"/>
      <c r="B1805" s="17" t="s">
        <v>16</v>
      </c>
      <c r="C1805" s="45">
        <v>281</v>
      </c>
      <c r="D1805" s="45">
        <v>2895</v>
      </c>
      <c r="E1805" s="45">
        <v>317</v>
      </c>
      <c r="F1805" s="45">
        <v>2405</v>
      </c>
      <c r="G1805" s="18"/>
      <c r="H1805" s="18"/>
      <c r="I1805" s="18"/>
      <c r="J1805" s="18"/>
      <c r="K1805" s="18"/>
    </row>
    <row r="1806" spans="1:11" ht="15" x14ac:dyDescent="0.2">
      <c r="A1806" s="24"/>
      <c r="B1806" s="17" t="s">
        <v>17</v>
      </c>
      <c r="C1806" s="45">
        <v>250</v>
      </c>
      <c r="D1806" s="45">
        <v>2926</v>
      </c>
      <c r="E1806" s="45">
        <v>276</v>
      </c>
      <c r="F1806" s="45">
        <v>2481</v>
      </c>
      <c r="G1806" s="18"/>
      <c r="H1806" s="18"/>
      <c r="I1806" s="18"/>
      <c r="J1806" s="18"/>
      <c r="K1806" s="18"/>
    </row>
    <row r="1807" spans="1:11" ht="15" x14ac:dyDescent="0.2">
      <c r="A1807" s="24"/>
      <c r="B1807" s="17"/>
      <c r="C1807" s="45"/>
      <c r="D1807" s="45"/>
      <c r="E1807" s="45"/>
      <c r="F1807" s="45"/>
      <c r="G1807" s="18"/>
      <c r="H1807" s="18"/>
      <c r="I1807" s="18"/>
      <c r="J1807" s="18"/>
      <c r="K1807" s="18"/>
    </row>
    <row r="1808" spans="1:11" ht="15.75" x14ac:dyDescent="0.25">
      <c r="A1808" s="24" t="s">
        <v>19</v>
      </c>
      <c r="B1808" s="16" t="s">
        <v>42</v>
      </c>
      <c r="C1808" s="55"/>
      <c r="D1808" s="45"/>
      <c r="E1808" s="55"/>
      <c r="F1808" s="45"/>
      <c r="G1808" s="18"/>
      <c r="H1808" s="18"/>
      <c r="I1808" s="18"/>
      <c r="J1808" s="18"/>
      <c r="K1808" s="18"/>
    </row>
    <row r="1809" spans="1:15" ht="15" x14ac:dyDescent="0.2">
      <c r="A1809" s="24" t="s">
        <v>19</v>
      </c>
      <c r="B1809" s="17" t="s">
        <v>20</v>
      </c>
      <c r="C1809" s="45">
        <v>194</v>
      </c>
      <c r="D1809" s="45">
        <f>2580+10</f>
        <v>2590</v>
      </c>
      <c r="E1809" s="45">
        <v>231</v>
      </c>
      <c r="F1809" s="45">
        <f>2461+13</f>
        <v>2474</v>
      </c>
      <c r="G1809" s="18"/>
      <c r="H1809" s="18"/>
      <c r="I1809" s="18"/>
      <c r="J1809" s="18"/>
      <c r="K1809" s="18"/>
    </row>
    <row r="1810" spans="1:15" ht="15" x14ac:dyDescent="0.2">
      <c r="A1810" s="24"/>
      <c r="B1810" s="17" t="s">
        <v>21</v>
      </c>
      <c r="C1810" s="45">
        <v>167</v>
      </c>
      <c r="D1810" s="45">
        <f>2223+7</f>
        <v>2230</v>
      </c>
      <c r="E1810" s="45">
        <v>202</v>
      </c>
      <c r="F1810" s="45">
        <f>2115+15</f>
        <v>2130</v>
      </c>
      <c r="G1810" s="18"/>
      <c r="H1810" s="18"/>
      <c r="I1810" s="18"/>
      <c r="J1810" s="18"/>
      <c r="K1810" s="18"/>
      <c r="N1810" t="s">
        <v>19</v>
      </c>
    </row>
    <row r="1811" spans="1:15" ht="15" x14ac:dyDescent="0.2">
      <c r="A1811" s="24"/>
      <c r="B1811" s="17" t="s">
        <v>22</v>
      </c>
      <c r="C1811" s="45">
        <v>153</v>
      </c>
      <c r="D1811" s="45">
        <f>2101+11</f>
        <v>2112</v>
      </c>
      <c r="E1811" s="45">
        <v>179</v>
      </c>
      <c r="F1811" s="45">
        <f>1885+14</f>
        <v>1899</v>
      </c>
      <c r="G1811" s="18"/>
      <c r="H1811" s="18"/>
      <c r="I1811" s="18"/>
      <c r="J1811" s="18"/>
      <c r="K1811" s="18"/>
    </row>
    <row r="1812" spans="1:15" ht="15" x14ac:dyDescent="0.2">
      <c r="A1812" s="24"/>
      <c r="B1812" s="17"/>
      <c r="C1812" s="45"/>
      <c r="D1812" s="45"/>
      <c r="E1812" s="45"/>
      <c r="F1812" s="45"/>
      <c r="G1812" s="18"/>
      <c r="H1812" s="18"/>
      <c r="I1812" s="18"/>
      <c r="J1812" s="18"/>
      <c r="K1812" s="18"/>
      <c r="O1812" t="s">
        <v>19</v>
      </c>
    </row>
    <row r="1813" spans="1:15" ht="15.75" x14ac:dyDescent="0.25">
      <c r="A1813" s="24" t="s">
        <v>19</v>
      </c>
      <c r="B1813" s="16" t="s">
        <v>43</v>
      </c>
      <c r="C1813" s="55"/>
      <c r="D1813" s="45"/>
      <c r="E1813" s="55"/>
      <c r="F1813" s="45"/>
      <c r="G1813" s="18"/>
      <c r="H1813" s="18"/>
      <c r="I1813" s="18"/>
      <c r="J1813" s="18"/>
      <c r="K1813" s="18"/>
    </row>
    <row r="1814" spans="1:15" ht="15" x14ac:dyDescent="0.2">
      <c r="A1814" s="24" t="s">
        <v>19</v>
      </c>
      <c r="B1814" s="17" t="s">
        <v>24</v>
      </c>
      <c r="C1814" s="45">
        <v>140</v>
      </c>
      <c r="D1814" s="45">
        <v>1961</v>
      </c>
      <c r="E1814" s="45">
        <v>153</v>
      </c>
      <c r="F1814" s="45">
        <v>1861</v>
      </c>
      <c r="G1814" s="18"/>
      <c r="H1814" s="18"/>
      <c r="I1814" s="18"/>
      <c r="J1814" s="18"/>
      <c r="K1814" s="18"/>
    </row>
    <row r="1815" spans="1:15" ht="15" x14ac:dyDescent="0.2">
      <c r="A1815" s="24"/>
      <c r="B1815" s="17" t="s">
        <v>25</v>
      </c>
      <c r="C1815" s="45">
        <v>177</v>
      </c>
      <c r="D1815" s="45">
        <v>2588</v>
      </c>
      <c r="E1815" s="45">
        <v>201</v>
      </c>
      <c r="F1815" s="45">
        <v>2263</v>
      </c>
      <c r="G1815" s="18"/>
      <c r="H1815" s="18"/>
      <c r="I1815" s="18"/>
      <c r="J1815" s="18"/>
      <c r="K1815" s="18"/>
    </row>
    <row r="1816" spans="1:15" ht="15" x14ac:dyDescent="0.2">
      <c r="A1816" s="24"/>
      <c r="B1816" s="17" t="s">
        <v>11</v>
      </c>
      <c r="C1816" s="45">
        <v>225</v>
      </c>
      <c r="D1816" s="45">
        <v>2517</v>
      </c>
      <c r="E1816" s="45">
        <v>218</v>
      </c>
      <c r="F1816" s="45">
        <v>2302</v>
      </c>
      <c r="G1816" s="18"/>
      <c r="H1816" s="18"/>
      <c r="I1816" s="18"/>
      <c r="J1816" s="18"/>
      <c r="K1816" s="18"/>
    </row>
    <row r="1817" spans="1:15" ht="15" x14ac:dyDescent="0.2">
      <c r="A1817" s="24"/>
      <c r="B1817" s="17"/>
      <c r="C1817" s="18"/>
      <c r="D1817" s="18"/>
      <c r="E1817" s="18"/>
      <c r="F1817" s="18"/>
      <c r="G1817" s="18"/>
      <c r="H1817" s="18"/>
      <c r="I1817" s="18"/>
      <c r="J1817" s="18"/>
      <c r="K1817" s="18"/>
    </row>
    <row r="1818" spans="1:15" ht="15.75" x14ac:dyDescent="0.25">
      <c r="A1818" s="24" t="s">
        <v>19</v>
      </c>
      <c r="B1818" s="16" t="s">
        <v>44</v>
      </c>
      <c r="C1818" s="55"/>
      <c r="D1818" s="45"/>
      <c r="E1818" s="55"/>
      <c r="F1818" s="45"/>
      <c r="G1818" s="18"/>
      <c r="H1818" s="18"/>
      <c r="I1818" s="18"/>
      <c r="J1818" s="18"/>
      <c r="K1818" s="18"/>
    </row>
    <row r="1819" spans="1:15" ht="15" x14ac:dyDescent="0.2">
      <c r="A1819" s="24" t="s">
        <v>19</v>
      </c>
      <c r="B1819" s="17" t="s">
        <v>12</v>
      </c>
      <c r="C1819" s="45">
        <v>257</v>
      </c>
      <c r="D1819" s="45">
        <f>2519+3</f>
        <v>2522</v>
      </c>
      <c r="E1819" s="45">
        <f>248</f>
        <v>248</v>
      </c>
      <c r="F1819" s="45">
        <f>2370+6</f>
        <v>2376</v>
      </c>
      <c r="G1819" s="18"/>
      <c r="H1819" s="18"/>
      <c r="I1819" s="18"/>
      <c r="J1819" s="18"/>
      <c r="K1819" s="18"/>
    </row>
    <row r="1820" spans="1:15" ht="15" x14ac:dyDescent="0.2">
      <c r="A1820" s="24"/>
      <c r="B1820" s="17" t="s">
        <v>13</v>
      </c>
      <c r="C1820" s="45">
        <v>274</v>
      </c>
      <c r="D1820" s="45">
        <f>3064+1+17</f>
        <v>3082</v>
      </c>
      <c r="E1820" s="45">
        <v>248</v>
      </c>
      <c r="F1820" s="45">
        <f>2623+1+24</f>
        <v>2648</v>
      </c>
      <c r="G1820" s="18"/>
      <c r="H1820" s="18"/>
      <c r="I1820" s="18"/>
      <c r="J1820" s="18"/>
      <c r="K1820" s="18"/>
    </row>
    <row r="1821" spans="1:15" ht="15" x14ac:dyDescent="0.2">
      <c r="A1821" s="24"/>
      <c r="B1821" s="17" t="s">
        <v>14</v>
      </c>
      <c r="C1821" s="45">
        <v>278</v>
      </c>
      <c r="D1821" s="45">
        <f>2580+4</f>
        <v>2584</v>
      </c>
      <c r="E1821" s="45">
        <v>224</v>
      </c>
      <c r="F1821" s="45">
        <f>2003+9</f>
        <v>2012</v>
      </c>
      <c r="G1821" s="18"/>
      <c r="H1821" s="18"/>
      <c r="I1821" s="18"/>
      <c r="J1821" s="18"/>
      <c r="K1821" s="18"/>
    </row>
    <row r="1822" spans="1:15" ht="15.75" x14ac:dyDescent="0.25">
      <c r="A1822" s="24" t="s">
        <v>19</v>
      </c>
      <c r="B1822" s="16" t="s">
        <v>45</v>
      </c>
      <c r="C1822" s="55"/>
      <c r="D1822" s="45"/>
      <c r="E1822" s="55"/>
      <c r="F1822" s="45"/>
      <c r="G1822" s="18"/>
      <c r="H1822" s="18"/>
      <c r="I1822" s="18"/>
      <c r="J1822" s="18"/>
      <c r="K1822" s="18"/>
    </row>
    <row r="1823" spans="1:15" ht="15" x14ac:dyDescent="0.2">
      <c r="A1823" s="24">
        <v>2006</v>
      </c>
      <c r="B1823" s="17" t="s">
        <v>15</v>
      </c>
      <c r="C1823" s="45">
        <v>221</v>
      </c>
      <c r="D1823" s="45">
        <f>2418+1+4</f>
        <v>2423</v>
      </c>
      <c r="E1823" s="45">
        <v>190</v>
      </c>
      <c r="F1823" s="45">
        <f>2012+1+8</f>
        <v>2021</v>
      </c>
      <c r="G1823" s="18"/>
      <c r="H1823" s="18"/>
      <c r="I1823" s="18"/>
      <c r="J1823" s="18"/>
      <c r="K1823" s="18"/>
    </row>
    <row r="1824" spans="1:15" ht="15" x14ac:dyDescent="0.2">
      <c r="A1824" s="24"/>
      <c r="B1824" s="17" t="s">
        <v>16</v>
      </c>
      <c r="C1824" s="45">
        <v>241</v>
      </c>
      <c r="D1824" s="45">
        <f>2458</f>
        <v>2458</v>
      </c>
      <c r="E1824" s="45">
        <v>248</v>
      </c>
      <c r="F1824" s="45">
        <f>2172+6</f>
        <v>2178</v>
      </c>
      <c r="G1824" s="18"/>
      <c r="H1824" s="18"/>
      <c r="I1824" s="18"/>
      <c r="J1824" s="18"/>
      <c r="K1824" s="18"/>
    </row>
    <row r="1825" spans="1:14" ht="15" x14ac:dyDescent="0.2">
      <c r="A1825" s="24"/>
      <c r="B1825" s="17" t="s">
        <v>17</v>
      </c>
      <c r="C1825" s="45">
        <v>197</v>
      </c>
      <c r="D1825" s="45">
        <f>2502+4</f>
        <v>2506</v>
      </c>
      <c r="E1825" s="45">
        <v>227</v>
      </c>
      <c r="F1825" s="45">
        <f>2253+9</f>
        <v>2262</v>
      </c>
      <c r="G1825" s="18"/>
      <c r="H1825" s="18"/>
      <c r="I1825" s="18"/>
      <c r="J1825" s="18"/>
      <c r="K1825" s="18"/>
    </row>
    <row r="1826" spans="1:14" ht="15" x14ac:dyDescent="0.2">
      <c r="A1826" s="24"/>
      <c r="B1826" s="17"/>
      <c r="C1826" s="18"/>
      <c r="D1826" s="18"/>
      <c r="E1826" s="18"/>
      <c r="F1826" s="18"/>
      <c r="G1826" s="18"/>
      <c r="H1826" s="18"/>
      <c r="I1826" s="18"/>
      <c r="J1826" s="18"/>
      <c r="K1826" s="18"/>
    </row>
    <row r="1827" spans="1:14" ht="15.75" x14ac:dyDescent="0.25">
      <c r="A1827" s="24" t="s">
        <v>19</v>
      </c>
      <c r="B1827" s="16" t="s">
        <v>46</v>
      </c>
      <c r="C1827" s="55"/>
      <c r="D1827" s="45"/>
      <c r="E1827" s="55"/>
      <c r="F1827" s="45"/>
      <c r="G1827" s="18"/>
      <c r="H1827" s="18"/>
      <c r="I1827" s="18"/>
      <c r="J1827" s="18"/>
      <c r="K1827" s="18"/>
    </row>
    <row r="1828" spans="1:14" ht="15" x14ac:dyDescent="0.2">
      <c r="A1828" s="24" t="s">
        <v>19</v>
      </c>
      <c r="B1828" s="17" t="s">
        <v>20</v>
      </c>
      <c r="C1828" s="45">
        <v>173</v>
      </c>
      <c r="D1828" s="45">
        <f>2370+1</f>
        <v>2371</v>
      </c>
      <c r="E1828" s="45">
        <f>205</f>
        <v>205</v>
      </c>
      <c r="F1828" s="45">
        <f>2250+17</f>
        <v>2267</v>
      </c>
      <c r="G1828" s="18"/>
      <c r="H1828" s="18"/>
      <c r="I1828" s="18"/>
      <c r="J1828" s="18"/>
      <c r="K1828" s="18"/>
    </row>
    <row r="1829" spans="1:14" ht="15" x14ac:dyDescent="0.2">
      <c r="A1829" s="24"/>
      <c r="B1829" s="17" t="s">
        <v>21</v>
      </c>
      <c r="C1829" s="45">
        <v>174</v>
      </c>
      <c r="D1829" s="45">
        <f>2087+1</f>
        <v>2088</v>
      </c>
      <c r="E1829" s="45">
        <f>185</f>
        <v>185</v>
      </c>
      <c r="F1829" s="45">
        <f>1803+9</f>
        <v>1812</v>
      </c>
      <c r="G1829" s="18"/>
      <c r="H1829" s="18"/>
      <c r="I1829" s="18"/>
      <c r="J1829" s="18"/>
      <c r="K1829" s="18"/>
    </row>
    <row r="1830" spans="1:14" ht="15" x14ac:dyDescent="0.2">
      <c r="A1830" s="24"/>
      <c r="B1830" s="17" t="s">
        <v>22</v>
      </c>
      <c r="C1830" s="45">
        <v>144</v>
      </c>
      <c r="D1830" s="45">
        <f>1923+3</f>
        <v>1926</v>
      </c>
      <c r="E1830" s="45">
        <f>198</f>
        <v>198</v>
      </c>
      <c r="F1830" s="45">
        <f>1958+5</f>
        <v>1963</v>
      </c>
      <c r="G1830" s="18"/>
      <c r="H1830" s="18"/>
      <c r="I1830" s="18"/>
      <c r="J1830" s="18"/>
      <c r="K1830" s="18"/>
    </row>
    <row r="1831" spans="1:14" ht="15" x14ac:dyDescent="0.2">
      <c r="A1831" s="24"/>
      <c r="B1831" s="17"/>
      <c r="C1831" s="45"/>
      <c r="D1831" s="45"/>
      <c r="E1831" s="45"/>
      <c r="F1831" s="45"/>
      <c r="G1831" s="18"/>
      <c r="H1831" s="18"/>
      <c r="I1831" s="18"/>
      <c r="J1831" s="18"/>
      <c r="K1831" s="18"/>
    </row>
    <row r="1832" spans="1:14" ht="15.75" x14ac:dyDescent="0.25">
      <c r="A1832" s="89" t="s">
        <v>114</v>
      </c>
      <c r="B1832" s="17"/>
      <c r="C1832" s="18"/>
      <c r="D1832" s="18"/>
      <c r="E1832" s="18"/>
      <c r="F1832" s="18"/>
      <c r="G1832" s="18"/>
      <c r="H1832" s="18"/>
      <c r="I1832" s="18"/>
      <c r="J1832" s="18"/>
      <c r="K1832" s="18"/>
      <c r="N1832" s="7" t="s">
        <v>19</v>
      </c>
    </row>
    <row r="1833" spans="1:14" ht="27.75" x14ac:dyDescent="0.55000000000000004">
      <c r="A1833" s="24"/>
      <c r="B1833" s="17"/>
      <c r="C1833" s="105" t="s">
        <v>163</v>
      </c>
      <c r="D1833" s="105"/>
      <c r="E1833" s="105" t="s">
        <v>164</v>
      </c>
      <c r="F1833" s="105"/>
      <c r="G1833" s="45"/>
      <c r="H1833" s="45"/>
      <c r="I1833" s="45"/>
      <c r="J1833" s="45"/>
      <c r="K1833" s="18"/>
    </row>
    <row r="1834" spans="1:14" ht="15.75" x14ac:dyDescent="0.25">
      <c r="A1834" s="21" t="s">
        <v>8</v>
      </c>
      <c r="B1834" s="16" t="s">
        <v>32</v>
      </c>
      <c r="C1834" s="40" t="s">
        <v>108</v>
      </c>
      <c r="D1834" s="40" t="s">
        <v>117</v>
      </c>
      <c r="E1834" s="40" t="s">
        <v>108</v>
      </c>
      <c r="F1834" s="40" t="s">
        <v>117</v>
      </c>
      <c r="G1834" s="45"/>
      <c r="H1834" s="45"/>
      <c r="I1834" s="45"/>
      <c r="J1834" s="45"/>
      <c r="K1834" s="18"/>
    </row>
    <row r="1835" spans="1:14" ht="15.75" x14ac:dyDescent="0.25">
      <c r="A1835" s="24" t="s">
        <v>19</v>
      </c>
      <c r="B1835" s="16" t="s">
        <v>47</v>
      </c>
      <c r="C1835" s="55"/>
      <c r="D1835" s="45"/>
      <c r="E1835" s="55"/>
      <c r="F1835" s="45"/>
      <c r="G1835" s="18"/>
      <c r="H1835" s="18"/>
      <c r="I1835" s="18"/>
      <c r="J1835" s="18"/>
      <c r="K1835" s="18"/>
    </row>
    <row r="1836" spans="1:14" ht="15" x14ac:dyDescent="0.2">
      <c r="A1836" s="24" t="s">
        <v>19</v>
      </c>
      <c r="B1836" s="17" t="s">
        <v>24</v>
      </c>
      <c r="C1836" s="45">
        <v>134</v>
      </c>
      <c r="D1836" s="45">
        <v>1814</v>
      </c>
      <c r="E1836" s="45">
        <v>178</v>
      </c>
      <c r="F1836" s="45">
        <v>2065</v>
      </c>
      <c r="G1836" s="18"/>
      <c r="H1836" s="18"/>
      <c r="I1836" s="18"/>
      <c r="J1836" s="18"/>
      <c r="K1836" s="18"/>
    </row>
    <row r="1837" spans="1:14" ht="15" x14ac:dyDescent="0.2">
      <c r="A1837" s="24"/>
      <c r="B1837" s="17" t="s">
        <v>25</v>
      </c>
      <c r="C1837" s="45">
        <v>150</v>
      </c>
      <c r="D1837" s="45">
        <v>2213</v>
      </c>
      <c r="E1837" s="45">
        <v>207</v>
      </c>
      <c r="F1837" s="45">
        <v>2058</v>
      </c>
      <c r="G1837" s="18"/>
      <c r="H1837" s="18"/>
      <c r="I1837" s="18"/>
      <c r="J1837" s="18"/>
      <c r="K1837" s="18"/>
    </row>
    <row r="1838" spans="1:14" ht="15" x14ac:dyDescent="0.2">
      <c r="A1838" s="24"/>
      <c r="B1838" s="17" t="s">
        <v>11</v>
      </c>
      <c r="C1838" s="45">
        <v>159</v>
      </c>
      <c r="D1838" s="45">
        <v>2102</v>
      </c>
      <c r="E1838" s="45">
        <v>186</v>
      </c>
      <c r="F1838" s="45">
        <v>1986</v>
      </c>
      <c r="G1838" s="18"/>
      <c r="H1838" s="18"/>
      <c r="I1838" s="18"/>
      <c r="J1838" s="18"/>
      <c r="K1838" s="18"/>
    </row>
    <row r="1839" spans="1:14" ht="15" x14ac:dyDescent="0.2">
      <c r="A1839" s="24"/>
      <c r="B1839" s="17"/>
      <c r="C1839" s="18"/>
      <c r="D1839" s="18"/>
      <c r="E1839" s="18"/>
      <c r="F1839" s="18"/>
      <c r="G1839" s="18"/>
      <c r="H1839" s="18"/>
      <c r="I1839" s="18"/>
      <c r="J1839" s="18"/>
      <c r="K1839" s="18"/>
    </row>
    <row r="1840" spans="1:14" ht="15.75" x14ac:dyDescent="0.25">
      <c r="A1840" s="24" t="s">
        <v>19</v>
      </c>
      <c r="B1840" s="16" t="s">
        <v>48</v>
      </c>
      <c r="C1840" s="55"/>
      <c r="D1840" s="45"/>
      <c r="E1840" s="55"/>
      <c r="F1840" s="45"/>
      <c r="G1840" s="18"/>
      <c r="H1840" s="18"/>
      <c r="I1840" s="18"/>
      <c r="J1840" s="18"/>
      <c r="K1840" s="18"/>
    </row>
    <row r="1841" spans="1:11" ht="15" x14ac:dyDescent="0.2">
      <c r="A1841" s="24" t="s">
        <v>19</v>
      </c>
      <c r="B1841" s="17" t="s">
        <v>12</v>
      </c>
      <c r="C1841" s="45">
        <v>226</v>
      </c>
      <c r="D1841" s="45">
        <f>2347+3</f>
        <v>2350</v>
      </c>
      <c r="E1841" s="45">
        <f>234</f>
        <v>234</v>
      </c>
      <c r="F1841" s="45">
        <f>2139+10</f>
        <v>2149</v>
      </c>
      <c r="G1841" s="18"/>
      <c r="H1841" s="18"/>
      <c r="I1841" s="18"/>
      <c r="J1841" s="18"/>
      <c r="K1841" s="18"/>
    </row>
    <row r="1842" spans="1:11" ht="15" x14ac:dyDescent="0.2">
      <c r="A1842" s="24"/>
      <c r="B1842" s="17" t="s">
        <v>13</v>
      </c>
      <c r="C1842" s="45">
        <v>195</v>
      </c>
      <c r="D1842" s="45">
        <f>2127+2</f>
        <v>2129</v>
      </c>
      <c r="E1842" s="45">
        <f>199</f>
        <v>199</v>
      </c>
      <c r="F1842" s="45">
        <f>2112+5</f>
        <v>2117</v>
      </c>
      <c r="G1842" s="18"/>
      <c r="H1842" s="18"/>
      <c r="I1842" s="18"/>
      <c r="J1842" s="18"/>
      <c r="K1842" s="18"/>
    </row>
    <row r="1843" spans="1:11" ht="15" x14ac:dyDescent="0.2">
      <c r="A1843" s="24"/>
      <c r="B1843" s="17" t="s">
        <v>14</v>
      </c>
      <c r="C1843" s="45">
        <v>249</v>
      </c>
      <c r="D1843" s="45">
        <f>2168+1</f>
        <v>2169</v>
      </c>
      <c r="E1843" s="45">
        <v>215</v>
      </c>
      <c r="F1843" s="45">
        <f>1997+6</f>
        <v>2003</v>
      </c>
      <c r="G1843" s="18"/>
      <c r="H1843" s="18"/>
      <c r="I1843" s="18"/>
      <c r="J1843" s="18"/>
      <c r="K1843" s="18"/>
    </row>
    <row r="1844" spans="1:11" ht="15.75" x14ac:dyDescent="0.25">
      <c r="A1844" s="21"/>
      <c r="B1844" s="16"/>
      <c r="C1844" s="40"/>
      <c r="D1844" s="40"/>
      <c r="E1844" s="40"/>
      <c r="F1844" s="40"/>
      <c r="G1844" s="45"/>
      <c r="H1844" s="45"/>
      <c r="I1844" s="45"/>
      <c r="J1844" s="45"/>
      <c r="K1844" s="18"/>
    </row>
    <row r="1845" spans="1:11" ht="15.75" x14ac:dyDescent="0.25">
      <c r="A1845" s="24" t="s">
        <v>19</v>
      </c>
      <c r="B1845" s="16" t="s">
        <v>49</v>
      </c>
      <c r="C1845" s="55"/>
      <c r="D1845" s="45"/>
      <c r="E1845" s="55"/>
      <c r="F1845" s="45"/>
      <c r="G1845" s="18"/>
      <c r="H1845" s="18"/>
      <c r="I1845" s="18"/>
      <c r="J1845" s="18"/>
      <c r="K1845" s="18"/>
    </row>
    <row r="1846" spans="1:11" ht="15" x14ac:dyDescent="0.2">
      <c r="A1846" s="24">
        <v>2007</v>
      </c>
      <c r="B1846" s="17" t="s">
        <v>15</v>
      </c>
      <c r="C1846" s="45">
        <v>257</v>
      </c>
      <c r="D1846" s="45">
        <v>2272</v>
      </c>
      <c r="E1846" s="45">
        <v>236</v>
      </c>
      <c r="F1846" s="45">
        <f>1958+5</f>
        <v>1963</v>
      </c>
      <c r="G1846" s="18"/>
      <c r="H1846" s="18"/>
      <c r="I1846" s="18"/>
      <c r="J1846" s="18"/>
      <c r="K1846" s="18"/>
    </row>
    <row r="1847" spans="1:11" ht="15" x14ac:dyDescent="0.2">
      <c r="A1847" s="24"/>
      <c r="B1847" s="17" t="s">
        <v>16</v>
      </c>
      <c r="C1847" s="45">
        <v>258</v>
      </c>
      <c r="D1847" s="45">
        <f>2329+1+4</f>
        <v>2334</v>
      </c>
      <c r="E1847" s="45">
        <v>281</v>
      </c>
      <c r="F1847" s="45">
        <f>2088+1+6</f>
        <v>2095</v>
      </c>
      <c r="G1847" s="18"/>
      <c r="H1847" s="18"/>
      <c r="I1847" s="18"/>
      <c r="J1847" s="18"/>
      <c r="K1847" s="18"/>
    </row>
    <row r="1848" spans="1:11" ht="15" x14ac:dyDescent="0.2">
      <c r="A1848" s="24"/>
      <c r="B1848" s="17" t="s">
        <v>17</v>
      </c>
      <c r="C1848" s="45">
        <v>238</v>
      </c>
      <c r="D1848" s="45">
        <f>2221+3</f>
        <v>2224</v>
      </c>
      <c r="E1848" s="45">
        <v>268</v>
      </c>
      <c r="F1848" s="45">
        <f>2304+13</f>
        <v>2317</v>
      </c>
      <c r="G1848" s="18"/>
      <c r="H1848" s="18"/>
      <c r="I1848" s="18"/>
      <c r="J1848" s="18"/>
      <c r="K1848" s="18"/>
    </row>
    <row r="1849" spans="1:11" ht="15" x14ac:dyDescent="0.2">
      <c r="A1849" s="24"/>
      <c r="B1849" s="17"/>
      <c r="C1849" s="18"/>
      <c r="D1849" s="18"/>
      <c r="E1849" s="18"/>
      <c r="F1849" s="18"/>
      <c r="G1849" s="18"/>
      <c r="H1849" s="18"/>
      <c r="I1849" s="18"/>
      <c r="J1849" s="18"/>
      <c r="K1849" s="18"/>
    </row>
    <row r="1850" spans="1:11" ht="15.75" x14ac:dyDescent="0.25">
      <c r="A1850" s="24" t="s">
        <v>19</v>
      </c>
      <c r="B1850" s="16" t="s">
        <v>50</v>
      </c>
      <c r="C1850" s="55"/>
      <c r="D1850" s="45"/>
      <c r="E1850" s="55"/>
      <c r="F1850" s="45"/>
      <c r="G1850" s="18"/>
      <c r="H1850" s="18"/>
      <c r="I1850" s="18"/>
      <c r="J1850" s="18"/>
      <c r="K1850" s="18"/>
    </row>
    <row r="1851" spans="1:11" ht="15" x14ac:dyDescent="0.2">
      <c r="A1851" s="24"/>
      <c r="B1851" s="17" t="s">
        <v>20</v>
      </c>
      <c r="C1851" s="45">
        <v>220</v>
      </c>
      <c r="D1851" s="45">
        <v>2177</v>
      </c>
      <c r="E1851" s="45">
        <v>244</v>
      </c>
      <c r="F1851" s="45">
        <v>2172</v>
      </c>
      <c r="G1851" s="18"/>
      <c r="H1851" s="18"/>
      <c r="I1851" s="18"/>
      <c r="J1851" s="18"/>
      <c r="K1851" s="18"/>
    </row>
    <row r="1852" spans="1:11" ht="15" x14ac:dyDescent="0.2">
      <c r="A1852" s="24"/>
      <c r="B1852" s="17" t="s">
        <v>21</v>
      </c>
      <c r="C1852" s="45">
        <v>207</v>
      </c>
      <c r="D1852" s="45">
        <v>1826</v>
      </c>
      <c r="E1852" s="45">
        <v>224</v>
      </c>
      <c r="F1852" s="45">
        <v>1874</v>
      </c>
      <c r="G1852" s="18"/>
      <c r="H1852" s="18"/>
      <c r="I1852" s="18"/>
      <c r="J1852" s="18"/>
      <c r="K1852" s="18"/>
    </row>
    <row r="1853" spans="1:11" ht="15" x14ac:dyDescent="0.2">
      <c r="A1853" s="24"/>
      <c r="B1853" s="17" t="s">
        <v>22</v>
      </c>
      <c r="C1853" s="45">
        <v>172</v>
      </c>
      <c r="D1853" s="45">
        <v>2020</v>
      </c>
      <c r="E1853" s="45">
        <v>222</v>
      </c>
      <c r="F1853" s="45">
        <v>1915</v>
      </c>
      <c r="G1853" s="18"/>
      <c r="H1853" s="18"/>
      <c r="I1853" s="18"/>
      <c r="J1853" s="18"/>
      <c r="K1853" s="18"/>
    </row>
    <row r="1854" spans="1:11" ht="15" x14ac:dyDescent="0.2">
      <c r="A1854" s="24"/>
      <c r="B1854" s="17"/>
      <c r="C1854" s="18"/>
      <c r="D1854" s="18"/>
      <c r="E1854" s="18"/>
      <c r="F1854" s="18"/>
      <c r="G1854" s="18"/>
      <c r="H1854" s="18"/>
      <c r="I1854" s="18"/>
      <c r="J1854" s="18"/>
      <c r="K1854" s="18"/>
    </row>
    <row r="1855" spans="1:11" ht="15.75" x14ac:dyDescent="0.25">
      <c r="A1855" s="24" t="s">
        <v>19</v>
      </c>
      <c r="B1855" s="16" t="s">
        <v>51</v>
      </c>
      <c r="C1855" s="55"/>
      <c r="D1855" s="45"/>
      <c r="E1855" s="55"/>
      <c r="F1855" s="45"/>
      <c r="G1855" s="18"/>
      <c r="H1855" s="18"/>
      <c r="I1855" s="18"/>
      <c r="J1855" s="18"/>
      <c r="K1855" s="18"/>
    </row>
    <row r="1856" spans="1:11" ht="15" x14ac:dyDescent="0.2">
      <c r="A1856" s="24"/>
      <c r="B1856" s="17" t="s">
        <v>24</v>
      </c>
      <c r="C1856" s="45">
        <v>150</v>
      </c>
      <c r="D1856" s="45">
        <f>1946+4</f>
        <v>1950</v>
      </c>
      <c r="E1856" s="45">
        <v>180</v>
      </c>
      <c r="F1856" s="45">
        <f>1823+5</f>
        <v>1828</v>
      </c>
      <c r="G1856" s="18"/>
      <c r="H1856" s="18"/>
      <c r="I1856" s="18"/>
      <c r="J1856" s="18"/>
      <c r="K1856" s="18"/>
    </row>
    <row r="1857" spans="1:11" ht="15" x14ac:dyDescent="0.2">
      <c r="A1857" s="24"/>
      <c r="B1857" s="17" t="s">
        <v>25</v>
      </c>
      <c r="C1857" s="45">
        <v>206</v>
      </c>
      <c r="D1857" s="45">
        <f>2290+3</f>
        <v>2293</v>
      </c>
      <c r="E1857" s="45">
        <v>203</v>
      </c>
      <c r="F1857" s="45">
        <f>2006+7</f>
        <v>2013</v>
      </c>
      <c r="G1857" s="18"/>
      <c r="H1857" s="18"/>
      <c r="I1857" s="18"/>
      <c r="J1857" s="18"/>
      <c r="K1857" s="18"/>
    </row>
    <row r="1858" spans="1:11" ht="15" x14ac:dyDescent="0.2">
      <c r="A1858" s="24"/>
      <c r="B1858" s="17" t="s">
        <v>11</v>
      </c>
      <c r="C1858" s="45">
        <v>234</v>
      </c>
      <c r="D1858" s="45">
        <f>2182+4</f>
        <v>2186</v>
      </c>
      <c r="E1858" s="45">
        <v>202</v>
      </c>
      <c r="F1858" s="45">
        <f>1956+4</f>
        <v>1960</v>
      </c>
      <c r="G1858" s="18"/>
      <c r="H1858" s="18"/>
      <c r="I1858" s="18"/>
      <c r="J1858" s="18"/>
      <c r="K1858" s="18"/>
    </row>
    <row r="1859" spans="1:11" ht="15" x14ac:dyDescent="0.2">
      <c r="A1859" s="24"/>
      <c r="B1859" s="17"/>
      <c r="C1859" s="18"/>
      <c r="D1859" s="18"/>
      <c r="E1859" s="18"/>
      <c r="F1859" s="18"/>
      <c r="G1859" s="18"/>
      <c r="H1859" s="18"/>
      <c r="I1859" s="18"/>
      <c r="J1859" s="18"/>
      <c r="K1859" s="18"/>
    </row>
    <row r="1860" spans="1:11" ht="15.75" x14ac:dyDescent="0.25">
      <c r="A1860" s="24" t="s">
        <v>19</v>
      </c>
      <c r="B1860" s="16" t="s">
        <v>52</v>
      </c>
      <c r="C1860" s="55"/>
      <c r="D1860" s="45"/>
      <c r="E1860" s="55"/>
      <c r="F1860" s="45"/>
      <c r="G1860" s="18"/>
      <c r="H1860" s="18"/>
      <c r="I1860" s="18"/>
      <c r="J1860" s="18"/>
      <c r="K1860" s="18"/>
    </row>
    <row r="1861" spans="1:11" ht="15" x14ac:dyDescent="0.2">
      <c r="A1861" s="24"/>
      <c r="B1861" s="17" t="s">
        <v>12</v>
      </c>
      <c r="C1861" s="45">
        <v>215</v>
      </c>
      <c r="D1861" s="45">
        <f>2132+5</f>
        <v>2137</v>
      </c>
      <c r="E1861" s="45">
        <v>199</v>
      </c>
      <c r="F1861" s="45">
        <f>1650+8</f>
        <v>1658</v>
      </c>
      <c r="G1861" s="18"/>
      <c r="H1861" s="18"/>
      <c r="I1861" s="18"/>
      <c r="J1861" s="18"/>
      <c r="K1861" s="18"/>
    </row>
    <row r="1862" spans="1:11" ht="15" x14ac:dyDescent="0.2">
      <c r="A1862" s="24"/>
      <c r="B1862" s="17" t="s">
        <v>13</v>
      </c>
      <c r="C1862" s="45">
        <v>297</v>
      </c>
      <c r="D1862" s="45">
        <f>2520+2</f>
        <v>2522</v>
      </c>
      <c r="E1862" s="45">
        <v>223</v>
      </c>
      <c r="F1862" s="45">
        <f>2138+8</f>
        <v>2146</v>
      </c>
      <c r="G1862" s="18"/>
      <c r="H1862" s="18"/>
      <c r="I1862" s="18"/>
      <c r="J1862" s="18"/>
      <c r="K1862" s="18"/>
    </row>
    <row r="1863" spans="1:11" ht="15" x14ac:dyDescent="0.2">
      <c r="A1863" s="24"/>
      <c r="B1863" s="17" t="s">
        <v>14</v>
      </c>
      <c r="C1863" s="45">
        <v>301</v>
      </c>
      <c r="D1863" s="45">
        <f>2336+1</f>
        <v>2337</v>
      </c>
      <c r="E1863" s="45">
        <v>240</v>
      </c>
      <c r="F1863" s="45">
        <f>1819+1</f>
        <v>1820</v>
      </c>
      <c r="G1863" s="18"/>
      <c r="H1863" s="18"/>
      <c r="I1863" s="18"/>
      <c r="J1863" s="18"/>
      <c r="K1863" s="18"/>
    </row>
    <row r="1864" spans="1:11" ht="15.75" x14ac:dyDescent="0.25">
      <c r="A1864" s="24" t="s">
        <v>19</v>
      </c>
      <c r="B1864" s="16" t="s">
        <v>19</v>
      </c>
      <c r="C1864" s="55"/>
      <c r="D1864" s="45"/>
      <c r="E1864" s="55"/>
      <c r="F1864" s="45"/>
      <c r="G1864" s="18"/>
      <c r="H1864" s="18"/>
      <c r="I1864" s="18"/>
      <c r="J1864" s="18"/>
      <c r="K1864" s="18"/>
    </row>
    <row r="1865" spans="1:11" ht="15.75" x14ac:dyDescent="0.25">
      <c r="A1865" s="24"/>
      <c r="B1865" s="16" t="s">
        <v>54</v>
      </c>
      <c r="C1865" s="45"/>
      <c r="D1865" s="45"/>
      <c r="E1865" s="45"/>
      <c r="F1865" s="45"/>
      <c r="G1865" s="18"/>
      <c r="H1865" s="18"/>
      <c r="I1865" s="18"/>
      <c r="J1865" s="18"/>
      <c r="K1865" s="18"/>
    </row>
    <row r="1866" spans="1:11" ht="15" x14ac:dyDescent="0.2">
      <c r="A1866" s="24">
        <v>2008</v>
      </c>
      <c r="B1866" s="17" t="s">
        <v>15</v>
      </c>
      <c r="C1866" s="45">
        <v>281</v>
      </c>
      <c r="D1866" s="45">
        <v>2338</v>
      </c>
      <c r="E1866" s="45">
        <v>224</v>
      </c>
      <c r="F1866" s="45">
        <v>1874</v>
      </c>
      <c r="G1866" s="18"/>
      <c r="H1866" s="18"/>
      <c r="I1866" s="18"/>
      <c r="J1866" s="18"/>
      <c r="K1866" s="18"/>
    </row>
    <row r="1867" spans="1:11" ht="15" x14ac:dyDescent="0.2">
      <c r="A1867" s="24"/>
      <c r="B1867" s="17" t="s">
        <v>16</v>
      </c>
      <c r="C1867" s="45">
        <v>311</v>
      </c>
      <c r="D1867" s="45">
        <v>2553</v>
      </c>
      <c r="E1867" s="45">
        <v>294</v>
      </c>
      <c r="F1867" s="45">
        <v>2130</v>
      </c>
      <c r="G1867" s="18"/>
      <c r="H1867" s="18"/>
      <c r="I1867" s="18"/>
      <c r="J1867" s="18"/>
      <c r="K1867" s="18"/>
    </row>
    <row r="1868" spans="1:11" ht="15" x14ac:dyDescent="0.2">
      <c r="A1868" s="24"/>
      <c r="B1868" s="17" t="s">
        <v>17</v>
      </c>
      <c r="C1868" s="45">
        <v>300</v>
      </c>
      <c r="D1868" s="45">
        <v>2622</v>
      </c>
      <c r="E1868" s="45">
        <v>304</v>
      </c>
      <c r="F1868" s="45">
        <v>2347</v>
      </c>
      <c r="G1868" s="18"/>
      <c r="H1868" s="18"/>
      <c r="I1868" s="18"/>
      <c r="J1868" s="18"/>
      <c r="K1868" s="18"/>
    </row>
    <row r="1869" spans="1:11" ht="15" x14ac:dyDescent="0.2">
      <c r="A1869" s="24"/>
      <c r="B1869" s="17"/>
      <c r="C1869" s="18"/>
      <c r="D1869" s="18"/>
      <c r="E1869" s="18"/>
      <c r="F1869" s="18"/>
      <c r="G1869" s="18"/>
      <c r="H1869" s="18"/>
      <c r="I1869" s="18"/>
      <c r="J1869" s="18"/>
      <c r="K1869" s="18"/>
    </row>
    <row r="1870" spans="1:11" ht="15.75" x14ac:dyDescent="0.25">
      <c r="A1870" s="24" t="s">
        <v>19</v>
      </c>
      <c r="B1870" s="16" t="s">
        <v>55</v>
      </c>
      <c r="C1870" s="55"/>
      <c r="D1870" s="45"/>
      <c r="E1870" s="55"/>
      <c r="F1870" s="45"/>
      <c r="G1870" s="18"/>
      <c r="H1870" s="18"/>
      <c r="I1870" s="18"/>
      <c r="J1870" s="18"/>
      <c r="K1870" s="18"/>
    </row>
    <row r="1871" spans="1:11" ht="15" x14ac:dyDescent="0.2">
      <c r="A1871" s="24"/>
      <c r="B1871" s="17" t="s">
        <v>20</v>
      </c>
      <c r="C1871" s="45">
        <v>223</v>
      </c>
      <c r="D1871" s="45">
        <v>2293</v>
      </c>
      <c r="E1871" s="45">
        <v>237</v>
      </c>
      <c r="F1871" s="45">
        <v>2011</v>
      </c>
      <c r="G1871" s="18"/>
      <c r="H1871" s="18"/>
      <c r="I1871" s="18"/>
      <c r="J1871" s="18"/>
      <c r="K1871" s="18"/>
    </row>
    <row r="1872" spans="1:11" ht="15" x14ac:dyDescent="0.2">
      <c r="A1872" s="24"/>
      <c r="B1872" s="17" t="s">
        <v>21</v>
      </c>
      <c r="C1872" s="45">
        <v>235</v>
      </c>
      <c r="D1872" s="45">
        <v>2230</v>
      </c>
      <c r="E1872" s="45">
        <v>257</v>
      </c>
      <c r="F1872" s="45">
        <v>2161</v>
      </c>
      <c r="G1872" s="18"/>
      <c r="H1872" s="18"/>
      <c r="I1872" s="18"/>
      <c r="J1872" s="18"/>
      <c r="K1872" s="18"/>
    </row>
    <row r="1873" spans="1:11" ht="15" x14ac:dyDescent="0.2">
      <c r="A1873" s="24"/>
      <c r="B1873" s="17" t="s">
        <v>22</v>
      </c>
      <c r="C1873" s="45">
        <v>210</v>
      </c>
      <c r="D1873" s="45">
        <v>1972</v>
      </c>
      <c r="E1873" s="45">
        <v>229</v>
      </c>
      <c r="F1873" s="45">
        <v>1941</v>
      </c>
      <c r="G1873" s="18"/>
      <c r="H1873" s="18"/>
      <c r="I1873" s="18"/>
      <c r="J1873" s="18"/>
      <c r="K1873" s="18"/>
    </row>
    <row r="1874" spans="1:11" ht="15" x14ac:dyDescent="0.2">
      <c r="A1874" s="24"/>
      <c r="B1874" s="17"/>
      <c r="C1874" s="18"/>
      <c r="D1874" s="18"/>
      <c r="E1874" s="18"/>
      <c r="F1874" s="18"/>
      <c r="G1874" s="18"/>
      <c r="H1874" s="18"/>
      <c r="I1874" s="18"/>
      <c r="J1874" s="18"/>
      <c r="K1874" s="18"/>
    </row>
    <row r="1875" spans="1:11" ht="15.75" x14ac:dyDescent="0.25">
      <c r="A1875" s="24" t="s">
        <v>19</v>
      </c>
      <c r="B1875" s="16" t="s">
        <v>56</v>
      </c>
      <c r="C1875" s="55"/>
      <c r="D1875" s="45"/>
      <c r="E1875" s="55"/>
      <c r="F1875" s="45"/>
      <c r="G1875" s="18"/>
      <c r="H1875" s="18"/>
      <c r="I1875" s="18"/>
      <c r="J1875" s="18"/>
      <c r="K1875" s="18"/>
    </row>
    <row r="1876" spans="1:11" ht="15" x14ac:dyDescent="0.2">
      <c r="A1876" s="24" t="s">
        <v>19</v>
      </c>
      <c r="B1876" s="17" t="s">
        <v>24</v>
      </c>
      <c r="C1876" s="45">
        <v>156</v>
      </c>
      <c r="D1876" s="45">
        <v>2069</v>
      </c>
      <c r="E1876" s="45">
        <v>185</v>
      </c>
      <c r="F1876" s="45">
        <v>2123</v>
      </c>
      <c r="G1876" s="18"/>
      <c r="H1876" s="18"/>
      <c r="I1876" s="18"/>
      <c r="J1876" s="18"/>
      <c r="K1876" s="18"/>
    </row>
    <row r="1877" spans="1:11" ht="15" x14ac:dyDescent="0.2">
      <c r="A1877" s="24"/>
      <c r="B1877" s="17" t="s">
        <v>25</v>
      </c>
      <c r="C1877" s="45">
        <v>203</v>
      </c>
      <c r="D1877" s="45">
        <v>2511</v>
      </c>
      <c r="E1877" s="45">
        <v>212</v>
      </c>
      <c r="F1877" s="45">
        <v>2196</v>
      </c>
      <c r="G1877" s="18"/>
      <c r="H1877" s="18"/>
      <c r="I1877" s="18"/>
      <c r="J1877" s="18"/>
      <c r="K1877" s="18"/>
    </row>
    <row r="1878" spans="1:11" ht="15" x14ac:dyDescent="0.2">
      <c r="A1878" s="24"/>
      <c r="B1878" s="17" t="s">
        <v>11</v>
      </c>
      <c r="C1878" s="45">
        <v>251</v>
      </c>
      <c r="D1878" s="45">
        <v>2740</v>
      </c>
      <c r="E1878" s="45">
        <v>242</v>
      </c>
      <c r="F1878" s="45">
        <v>2186</v>
      </c>
      <c r="G1878" s="18"/>
      <c r="H1878" s="18"/>
      <c r="I1878" s="18"/>
      <c r="J1878" s="18"/>
      <c r="K1878" s="18"/>
    </row>
    <row r="1879" spans="1:11" ht="15" x14ac:dyDescent="0.2">
      <c r="A1879" s="24"/>
      <c r="B1879" s="17"/>
      <c r="C1879" s="45"/>
      <c r="D1879" s="45"/>
      <c r="E1879" s="45"/>
      <c r="F1879" s="45"/>
      <c r="G1879" s="18"/>
      <c r="H1879" s="18"/>
      <c r="I1879" s="18"/>
      <c r="J1879" s="18"/>
      <c r="K1879" s="18"/>
    </row>
    <row r="1880" spans="1:11" ht="15.75" x14ac:dyDescent="0.25">
      <c r="A1880" s="24" t="s">
        <v>19</v>
      </c>
      <c r="B1880" s="16" t="s">
        <v>57</v>
      </c>
      <c r="C1880" s="55"/>
      <c r="D1880" s="45"/>
      <c r="E1880" s="55"/>
      <c r="F1880" s="45"/>
      <c r="G1880" s="18"/>
      <c r="H1880" s="18"/>
      <c r="I1880" s="18"/>
      <c r="J1880" s="18"/>
      <c r="K1880" s="18"/>
    </row>
    <row r="1881" spans="1:11" ht="15" x14ac:dyDescent="0.2">
      <c r="A1881" s="24" t="s">
        <v>19</v>
      </c>
      <c r="B1881" s="17" t="s">
        <v>12</v>
      </c>
      <c r="C1881" s="45">
        <v>246</v>
      </c>
      <c r="D1881" s="45">
        <f>2662+2</f>
        <v>2664</v>
      </c>
      <c r="E1881" s="45">
        <v>226</v>
      </c>
      <c r="F1881" s="45">
        <f>2363+6</f>
        <v>2369</v>
      </c>
      <c r="G1881" s="18"/>
      <c r="H1881" s="18" t="s">
        <v>19</v>
      </c>
      <c r="I1881" s="18"/>
      <c r="J1881" s="18"/>
      <c r="K1881" s="18"/>
    </row>
    <row r="1882" spans="1:11" ht="15" x14ac:dyDescent="0.2">
      <c r="A1882" s="24"/>
      <c r="B1882" s="17" t="s">
        <v>13</v>
      </c>
      <c r="C1882" s="45">
        <v>235</v>
      </c>
      <c r="D1882" s="45">
        <f>2759+2</f>
        <v>2761</v>
      </c>
      <c r="E1882" s="45">
        <v>233</v>
      </c>
      <c r="F1882" s="45">
        <f>2691+2</f>
        <v>2693</v>
      </c>
      <c r="G1882" s="18"/>
      <c r="H1882" s="18"/>
      <c r="I1882" s="18"/>
      <c r="J1882" s="18"/>
      <c r="K1882" s="18"/>
    </row>
    <row r="1883" spans="1:11" ht="15" x14ac:dyDescent="0.2">
      <c r="A1883" s="24"/>
      <c r="B1883" s="17" t="s">
        <v>14</v>
      </c>
      <c r="C1883" s="45">
        <v>300</v>
      </c>
      <c r="D1883" s="45">
        <f>2852+1</f>
        <v>2853</v>
      </c>
      <c r="E1883" s="45">
        <v>263</v>
      </c>
      <c r="F1883" s="45">
        <f>2256+3</f>
        <v>2259</v>
      </c>
      <c r="G1883" s="18"/>
      <c r="H1883" s="18"/>
      <c r="I1883" s="18"/>
      <c r="J1883" s="18"/>
      <c r="K1883" s="18"/>
    </row>
    <row r="1884" spans="1:11" ht="15" x14ac:dyDescent="0.2">
      <c r="A1884" s="24"/>
      <c r="B1884" s="17"/>
      <c r="C1884" s="45"/>
      <c r="D1884" s="45"/>
      <c r="E1884" s="45"/>
      <c r="F1884" s="45"/>
      <c r="G1884" s="18"/>
      <c r="H1884" s="18"/>
      <c r="I1884" s="18"/>
      <c r="J1884" s="18"/>
      <c r="K1884" s="18"/>
    </row>
    <row r="1885" spans="1:11" ht="15.75" x14ac:dyDescent="0.25">
      <c r="A1885" s="24" t="s">
        <v>19</v>
      </c>
      <c r="B1885" s="16" t="s">
        <v>58</v>
      </c>
      <c r="C1885" s="55"/>
      <c r="D1885" s="45"/>
      <c r="E1885" s="55"/>
      <c r="F1885" s="45"/>
      <c r="G1885" s="18"/>
      <c r="H1885" s="18"/>
      <c r="I1885" s="18"/>
      <c r="J1885" s="18"/>
      <c r="K1885" s="18"/>
    </row>
    <row r="1886" spans="1:11" ht="15" x14ac:dyDescent="0.2">
      <c r="A1886" s="24">
        <v>2009</v>
      </c>
      <c r="B1886" s="17" t="s">
        <v>15</v>
      </c>
      <c r="C1886" s="45">
        <v>285</v>
      </c>
      <c r="D1886" s="45">
        <f>2847+2</f>
        <v>2849</v>
      </c>
      <c r="E1886" s="45">
        <v>306</v>
      </c>
      <c r="F1886" s="45">
        <v>2413</v>
      </c>
      <c r="G1886" s="18"/>
      <c r="H1886" s="18"/>
      <c r="I1886" s="18"/>
      <c r="J1886" s="18"/>
      <c r="K1886" s="18"/>
    </row>
    <row r="1887" spans="1:11" ht="15" x14ac:dyDescent="0.2">
      <c r="A1887" s="24"/>
      <c r="B1887" s="17" t="s">
        <v>16</v>
      </c>
      <c r="C1887" s="45">
        <v>262</v>
      </c>
      <c r="D1887" s="45">
        <v>2790</v>
      </c>
      <c r="E1887" s="45">
        <v>277</v>
      </c>
      <c r="F1887" s="45">
        <v>2454</v>
      </c>
      <c r="G1887" s="18"/>
      <c r="H1887" s="18"/>
      <c r="I1887" s="18"/>
      <c r="J1887" s="18"/>
      <c r="K1887" s="18"/>
    </row>
    <row r="1888" spans="1:11" ht="15" x14ac:dyDescent="0.2">
      <c r="A1888" s="24"/>
      <c r="B1888" s="17" t="s">
        <v>17</v>
      </c>
      <c r="C1888" s="45">
        <v>334</v>
      </c>
      <c r="D1888" s="45">
        <v>3118</v>
      </c>
      <c r="E1888" s="45">
        <v>336</v>
      </c>
      <c r="F1888" s="45">
        <v>2934</v>
      </c>
      <c r="G1888" s="18"/>
      <c r="H1888" s="18"/>
      <c r="I1888" s="18"/>
      <c r="J1888" s="18"/>
      <c r="K1888" s="18"/>
    </row>
    <row r="1889" spans="1:11" ht="15" x14ac:dyDescent="0.2">
      <c r="A1889" s="24"/>
      <c r="B1889" s="17"/>
      <c r="C1889" s="18"/>
      <c r="D1889" s="18"/>
      <c r="E1889" s="18"/>
      <c r="F1889" s="18"/>
      <c r="G1889" s="18"/>
      <c r="H1889" s="18"/>
      <c r="I1889" s="18"/>
      <c r="J1889" s="18"/>
      <c r="K1889" s="18"/>
    </row>
    <row r="1890" spans="1:11" ht="15" x14ac:dyDescent="0.2">
      <c r="A1890" s="24" t="s">
        <v>19</v>
      </c>
      <c r="B1890" s="17" t="s">
        <v>20</v>
      </c>
      <c r="C1890" s="45">
        <v>289</v>
      </c>
      <c r="D1890" s="45">
        <f>2962+6</f>
        <v>2968</v>
      </c>
      <c r="E1890" s="45">
        <v>300</v>
      </c>
      <c r="F1890" s="45">
        <f>2777+12</f>
        <v>2789</v>
      </c>
      <c r="G1890" s="18"/>
      <c r="H1890" s="18"/>
      <c r="I1890" s="18"/>
      <c r="J1890" s="18"/>
      <c r="K1890" s="18"/>
    </row>
    <row r="1891" spans="1:11" ht="15" x14ac:dyDescent="0.2">
      <c r="A1891" s="24"/>
      <c r="B1891" s="17" t="s">
        <v>21</v>
      </c>
      <c r="C1891" s="45">
        <v>240</v>
      </c>
      <c r="D1891" s="45">
        <f>2830+2</f>
        <v>2832</v>
      </c>
      <c r="E1891" s="45">
        <v>260</v>
      </c>
      <c r="F1891" s="45">
        <f>2607+10</f>
        <v>2617</v>
      </c>
      <c r="G1891" s="18"/>
      <c r="H1891" s="18"/>
      <c r="I1891" s="18"/>
      <c r="J1891" s="18"/>
      <c r="K1891" s="18"/>
    </row>
    <row r="1892" spans="1:11" ht="15" x14ac:dyDescent="0.2">
      <c r="A1892" s="24"/>
      <c r="B1892" s="17" t="s">
        <v>22</v>
      </c>
      <c r="C1892" s="45">
        <v>204</v>
      </c>
      <c r="D1892" s="45">
        <f>2502+1</f>
        <v>2503</v>
      </c>
      <c r="E1892" s="45">
        <v>233</v>
      </c>
      <c r="F1892" s="45">
        <f>2364+10</f>
        <v>2374</v>
      </c>
      <c r="G1892" s="18"/>
      <c r="H1892" s="18"/>
      <c r="I1892" s="18"/>
      <c r="J1892" s="18"/>
      <c r="K1892" s="18"/>
    </row>
    <row r="1893" spans="1:11" ht="15" x14ac:dyDescent="0.2">
      <c r="A1893" s="24"/>
      <c r="B1893" s="17"/>
      <c r="C1893" s="45"/>
      <c r="D1893" s="45"/>
      <c r="E1893" s="45"/>
      <c r="F1893" s="45"/>
      <c r="G1893" s="18"/>
      <c r="H1893" s="18"/>
      <c r="I1893" s="18"/>
      <c r="J1893" s="18"/>
      <c r="K1893" s="18"/>
    </row>
    <row r="1894" spans="1:11" ht="15.75" x14ac:dyDescent="0.25">
      <c r="A1894" s="89" t="s">
        <v>114</v>
      </c>
      <c r="B1894" s="17"/>
      <c r="C1894" s="18"/>
      <c r="D1894" s="18"/>
      <c r="E1894" s="18"/>
      <c r="F1894" s="18"/>
      <c r="G1894" s="18"/>
      <c r="H1894" s="18"/>
      <c r="I1894" s="18"/>
      <c r="J1894" s="18"/>
      <c r="K1894" s="18"/>
    </row>
    <row r="1895" spans="1:11" ht="27.75" x14ac:dyDescent="0.55000000000000004">
      <c r="A1895" s="24"/>
      <c r="B1895" s="17"/>
      <c r="C1895" s="105" t="s">
        <v>163</v>
      </c>
      <c r="D1895" s="105"/>
      <c r="E1895" s="105" t="s">
        <v>164</v>
      </c>
      <c r="F1895" s="105"/>
      <c r="G1895" s="45"/>
      <c r="H1895" s="45"/>
      <c r="I1895" s="45"/>
      <c r="J1895" s="45"/>
      <c r="K1895" s="18"/>
    </row>
    <row r="1896" spans="1:11" ht="15.75" x14ac:dyDescent="0.25">
      <c r="A1896" s="21" t="s">
        <v>8</v>
      </c>
      <c r="B1896" s="16" t="s">
        <v>32</v>
      </c>
      <c r="C1896" s="40" t="s">
        <v>108</v>
      </c>
      <c r="D1896" s="40" t="s">
        <v>117</v>
      </c>
      <c r="E1896" s="40" t="s">
        <v>108</v>
      </c>
      <c r="F1896" s="40" t="s">
        <v>117</v>
      </c>
      <c r="G1896" s="45"/>
      <c r="H1896" s="45"/>
      <c r="I1896" s="45"/>
      <c r="J1896" s="45"/>
      <c r="K1896" s="18"/>
    </row>
    <row r="1897" spans="1:11" ht="15" x14ac:dyDescent="0.2">
      <c r="A1897" s="24"/>
      <c r="B1897" s="17"/>
      <c r="C1897" s="45"/>
      <c r="D1897" s="45"/>
      <c r="E1897" s="45"/>
      <c r="F1897" s="45"/>
      <c r="G1897" s="18"/>
      <c r="H1897" s="18"/>
      <c r="I1897" s="18"/>
      <c r="J1897" s="18"/>
      <c r="K1897" s="18"/>
    </row>
    <row r="1898" spans="1:11" ht="15" x14ac:dyDescent="0.2">
      <c r="A1898" s="24"/>
      <c r="B1898" s="17"/>
      <c r="C1898" s="18"/>
      <c r="D1898" s="18"/>
      <c r="E1898" s="18"/>
      <c r="F1898" s="18"/>
      <c r="G1898" s="18"/>
      <c r="H1898" s="18"/>
      <c r="I1898" s="18"/>
      <c r="J1898" s="18"/>
      <c r="K1898" s="18"/>
    </row>
    <row r="1899" spans="1:11" ht="15.75" x14ac:dyDescent="0.25">
      <c r="A1899" s="24" t="s">
        <v>19</v>
      </c>
      <c r="B1899" s="16" t="s">
        <v>60</v>
      </c>
      <c r="C1899" s="55"/>
      <c r="D1899" s="45"/>
      <c r="E1899" s="55"/>
      <c r="F1899" s="45"/>
      <c r="G1899" s="18"/>
      <c r="H1899" s="18"/>
      <c r="I1899" s="18"/>
      <c r="J1899" s="18"/>
      <c r="K1899" s="18"/>
    </row>
    <row r="1900" spans="1:11" ht="15" x14ac:dyDescent="0.2">
      <c r="A1900" s="24">
        <v>2009</v>
      </c>
      <c r="B1900" s="17" t="s">
        <v>24</v>
      </c>
      <c r="C1900" s="45">
        <v>163</v>
      </c>
      <c r="D1900" s="45">
        <f>2356+4</f>
        <v>2360</v>
      </c>
      <c r="E1900" s="45">
        <v>199</v>
      </c>
      <c r="F1900" s="45">
        <f>2335+9</f>
        <v>2344</v>
      </c>
      <c r="G1900" s="18"/>
      <c r="H1900" s="18"/>
      <c r="I1900" s="18"/>
      <c r="J1900" s="18"/>
      <c r="K1900" s="18"/>
    </row>
    <row r="1901" spans="1:11" ht="15" x14ac:dyDescent="0.2">
      <c r="A1901" s="24"/>
      <c r="B1901" s="17" t="s">
        <v>25</v>
      </c>
      <c r="C1901" s="45">
        <v>216</v>
      </c>
      <c r="D1901" s="45">
        <f>2812+6</f>
        <v>2818</v>
      </c>
      <c r="E1901" s="45">
        <v>240</v>
      </c>
      <c r="F1901" s="45">
        <f>2413+7</f>
        <v>2420</v>
      </c>
      <c r="G1901" s="18"/>
      <c r="H1901" s="18"/>
      <c r="I1901" s="18"/>
      <c r="J1901" s="18"/>
      <c r="K1901" s="18"/>
    </row>
    <row r="1902" spans="1:11" ht="15" x14ac:dyDescent="0.2">
      <c r="A1902" s="24"/>
      <c r="B1902" s="17" t="s">
        <v>11</v>
      </c>
      <c r="C1902" s="45">
        <v>230</v>
      </c>
      <c r="D1902" s="45">
        <f>2846+1</f>
        <v>2847</v>
      </c>
      <c r="E1902" s="45">
        <v>236</v>
      </c>
      <c r="F1902" s="45">
        <f>2584+3</f>
        <v>2587</v>
      </c>
      <c r="G1902" s="18"/>
      <c r="H1902" s="18"/>
      <c r="I1902" s="18"/>
      <c r="J1902" s="18"/>
      <c r="K1902" s="18"/>
    </row>
    <row r="1903" spans="1:11" ht="15" x14ac:dyDescent="0.2">
      <c r="A1903" s="24"/>
      <c r="B1903" s="17"/>
      <c r="C1903" s="18"/>
      <c r="D1903" s="18"/>
      <c r="E1903" s="18"/>
      <c r="F1903" s="18"/>
      <c r="G1903" s="18"/>
      <c r="H1903" s="18"/>
      <c r="I1903" s="18"/>
      <c r="J1903" s="18"/>
      <c r="K1903" s="18"/>
    </row>
    <row r="1904" spans="1:11" ht="15.75" x14ac:dyDescent="0.25">
      <c r="A1904" s="24" t="s">
        <v>19</v>
      </c>
      <c r="B1904" s="16" t="s">
        <v>61</v>
      </c>
      <c r="C1904" s="55"/>
      <c r="D1904" s="45"/>
      <c r="E1904" s="55"/>
      <c r="F1904" s="45"/>
      <c r="G1904" s="18"/>
      <c r="H1904" s="18"/>
      <c r="I1904" s="18"/>
      <c r="J1904" s="18"/>
      <c r="K1904" s="18"/>
    </row>
    <row r="1905" spans="1:11" ht="15" x14ac:dyDescent="0.2">
      <c r="A1905" s="24"/>
      <c r="B1905" s="17" t="s">
        <v>12</v>
      </c>
      <c r="C1905" s="45">
        <v>271</v>
      </c>
      <c r="D1905" s="45">
        <f>2558+1</f>
        <v>2559</v>
      </c>
      <c r="E1905" s="45">
        <v>228</v>
      </c>
      <c r="F1905" s="45">
        <f>2281+7</f>
        <v>2288</v>
      </c>
      <c r="G1905" s="18"/>
      <c r="H1905" s="18"/>
      <c r="I1905" s="18"/>
      <c r="J1905" s="18"/>
      <c r="K1905" s="18"/>
    </row>
    <row r="1906" spans="1:11" ht="15" x14ac:dyDescent="0.2">
      <c r="A1906" s="24"/>
      <c r="B1906" s="17" t="s">
        <v>13</v>
      </c>
      <c r="C1906" s="45">
        <v>288</v>
      </c>
      <c r="D1906" s="45">
        <f>2900+3</f>
        <v>2903</v>
      </c>
      <c r="E1906" s="45">
        <v>273</v>
      </c>
      <c r="F1906" s="45">
        <f>2593+4</f>
        <v>2597</v>
      </c>
      <c r="G1906" s="18"/>
      <c r="H1906" s="18"/>
      <c r="I1906" s="18"/>
      <c r="J1906" s="18"/>
      <c r="K1906" s="18"/>
    </row>
    <row r="1907" spans="1:11" ht="15" x14ac:dyDescent="0.2">
      <c r="A1907" s="24"/>
      <c r="B1907" s="17" t="s">
        <v>14</v>
      </c>
      <c r="C1907" s="45">
        <v>366</v>
      </c>
      <c r="D1907" s="45">
        <f>3091+4</f>
        <v>3095</v>
      </c>
      <c r="E1907" s="45">
        <v>357</v>
      </c>
      <c r="F1907" s="45">
        <f>2549+5</f>
        <v>2554</v>
      </c>
      <c r="G1907" s="18"/>
      <c r="H1907" s="18"/>
      <c r="I1907" s="18"/>
      <c r="J1907" s="18"/>
      <c r="K1907" s="18"/>
    </row>
    <row r="1908" spans="1:11" ht="15" x14ac:dyDescent="0.2">
      <c r="A1908" s="24"/>
      <c r="B1908" s="17"/>
      <c r="C1908" s="18"/>
      <c r="D1908" s="18"/>
      <c r="E1908" s="18"/>
      <c r="F1908" s="18"/>
      <c r="G1908" s="18"/>
      <c r="H1908" s="18"/>
      <c r="I1908" s="18"/>
      <c r="J1908" s="18"/>
      <c r="K1908" s="18"/>
    </row>
    <row r="1909" spans="1:11" ht="15.75" x14ac:dyDescent="0.25">
      <c r="A1909" s="24" t="s">
        <v>19</v>
      </c>
      <c r="B1909" s="16" t="s">
        <v>62</v>
      </c>
      <c r="C1909" s="55"/>
      <c r="D1909" s="45"/>
      <c r="E1909" s="55"/>
      <c r="F1909" s="45"/>
      <c r="G1909" s="18"/>
      <c r="H1909" s="18"/>
      <c r="I1909" s="18"/>
      <c r="J1909" s="18"/>
      <c r="K1909" s="18"/>
    </row>
    <row r="1910" spans="1:11" ht="15" x14ac:dyDescent="0.2">
      <c r="A1910" s="24">
        <v>2010</v>
      </c>
      <c r="B1910" s="17" t="s">
        <v>15</v>
      </c>
      <c r="C1910" s="45">
        <v>374</v>
      </c>
      <c r="D1910" s="45">
        <f>2812+1</f>
        <v>2813</v>
      </c>
      <c r="E1910" s="45">
        <v>335</v>
      </c>
      <c r="F1910" s="45">
        <f>2366+5</f>
        <v>2371</v>
      </c>
      <c r="G1910" s="18"/>
      <c r="H1910" s="18"/>
      <c r="I1910" s="18"/>
      <c r="J1910" s="18"/>
      <c r="K1910" s="18"/>
    </row>
    <row r="1911" spans="1:11" ht="15" x14ac:dyDescent="0.2">
      <c r="A1911" s="24"/>
      <c r="B1911" s="17" t="s">
        <v>16</v>
      </c>
      <c r="C1911" s="45">
        <v>348</v>
      </c>
      <c r="D1911" s="45">
        <f>2802</f>
        <v>2802</v>
      </c>
      <c r="E1911" s="45">
        <v>342</v>
      </c>
      <c r="F1911" s="45">
        <f>2614+6</f>
        <v>2620</v>
      </c>
      <c r="G1911" s="18"/>
      <c r="H1911" s="18"/>
      <c r="I1911" s="18"/>
      <c r="J1911" s="18"/>
      <c r="K1911" s="18"/>
    </row>
    <row r="1912" spans="1:11" ht="15" x14ac:dyDescent="0.2">
      <c r="A1912" s="24"/>
      <c r="B1912" s="17" t="s">
        <v>17</v>
      </c>
      <c r="C1912" s="45">
        <v>365</v>
      </c>
      <c r="D1912" s="45">
        <f>2947+4</f>
        <v>2951</v>
      </c>
      <c r="E1912" s="45">
        <v>402</v>
      </c>
      <c r="F1912" s="45">
        <f>2899+9</f>
        <v>2908</v>
      </c>
      <c r="G1912" s="18"/>
      <c r="H1912" s="18"/>
      <c r="I1912" s="18"/>
      <c r="J1912" s="18"/>
      <c r="K1912" s="18"/>
    </row>
    <row r="1913" spans="1:11" ht="15" x14ac:dyDescent="0.2">
      <c r="A1913" s="24"/>
      <c r="B1913" s="17"/>
      <c r="C1913" s="18"/>
      <c r="D1913" s="18"/>
      <c r="E1913" s="18"/>
      <c r="F1913" s="18"/>
      <c r="G1913" s="18"/>
      <c r="H1913" s="18"/>
      <c r="I1913" s="18"/>
      <c r="J1913" s="18"/>
      <c r="K1913" s="18"/>
    </row>
    <row r="1914" spans="1:11" ht="15.75" x14ac:dyDescent="0.25">
      <c r="A1914" s="24" t="s">
        <v>19</v>
      </c>
      <c r="B1914" s="16" t="s">
        <v>63</v>
      </c>
      <c r="C1914" s="55"/>
      <c r="D1914" s="45"/>
      <c r="E1914" s="55"/>
      <c r="F1914" s="45"/>
      <c r="G1914" s="18"/>
      <c r="H1914" s="18"/>
      <c r="I1914" s="18"/>
      <c r="J1914" s="18"/>
      <c r="K1914" s="18"/>
    </row>
    <row r="1915" spans="1:11" ht="15" x14ac:dyDescent="0.2">
      <c r="A1915" s="24" t="s">
        <v>19</v>
      </c>
      <c r="B1915" s="17" t="s">
        <v>20</v>
      </c>
      <c r="C1915" s="45">
        <v>334</v>
      </c>
      <c r="D1915" s="45">
        <v>2807</v>
      </c>
      <c r="E1915" s="45">
        <v>356</v>
      </c>
      <c r="F1915" s="45">
        <v>2659</v>
      </c>
      <c r="G1915" s="18"/>
      <c r="H1915" s="18"/>
      <c r="I1915" s="18"/>
      <c r="J1915" s="18"/>
      <c r="K1915" s="18"/>
    </row>
    <row r="1916" spans="1:11" ht="15" x14ac:dyDescent="0.2">
      <c r="A1916" s="24"/>
      <c r="B1916" s="17" t="s">
        <v>21</v>
      </c>
      <c r="C1916" s="45">
        <v>257</v>
      </c>
      <c r="D1916" s="45">
        <v>2731</v>
      </c>
      <c r="E1916" s="45">
        <v>270</v>
      </c>
      <c r="F1916" s="45">
        <v>2441</v>
      </c>
      <c r="G1916" s="18"/>
      <c r="H1916" s="18"/>
      <c r="I1916" s="18"/>
      <c r="J1916" s="18"/>
      <c r="K1916" s="18"/>
    </row>
    <row r="1917" spans="1:11" ht="15" x14ac:dyDescent="0.2">
      <c r="A1917" s="24"/>
      <c r="B1917" s="17" t="s">
        <v>22</v>
      </c>
      <c r="C1917" s="45">
        <v>248</v>
      </c>
      <c r="D1917" s="45">
        <v>2558</v>
      </c>
      <c r="E1917" s="45">
        <v>274</v>
      </c>
      <c r="F1917" s="45">
        <v>2482</v>
      </c>
      <c r="G1917" s="18"/>
      <c r="H1917" s="18"/>
      <c r="I1917" s="18"/>
      <c r="J1917" s="18"/>
      <c r="K1917" s="18"/>
    </row>
    <row r="1918" spans="1:11" ht="15.75" x14ac:dyDescent="0.25">
      <c r="A1918" s="24" t="s">
        <v>19</v>
      </c>
      <c r="B1918" s="16" t="s">
        <v>64</v>
      </c>
      <c r="C1918" s="55"/>
      <c r="D1918" s="45"/>
      <c r="E1918" s="55"/>
      <c r="F1918" s="45"/>
      <c r="G1918" s="18"/>
      <c r="H1918" s="18"/>
      <c r="I1918" s="18"/>
      <c r="J1918" s="18"/>
      <c r="K1918" s="18"/>
    </row>
    <row r="1919" spans="1:11" ht="15" x14ac:dyDescent="0.2">
      <c r="A1919" s="24"/>
      <c r="B1919" s="17" t="s">
        <v>24</v>
      </c>
      <c r="C1919" s="45">
        <v>217</v>
      </c>
      <c r="D1919" s="45">
        <v>2425</v>
      </c>
      <c r="E1919" s="45">
        <v>237</v>
      </c>
      <c r="F1919" s="45">
        <v>2357</v>
      </c>
      <c r="G1919" s="18"/>
      <c r="H1919" s="18"/>
      <c r="I1919" s="18"/>
      <c r="J1919" s="18"/>
      <c r="K1919" s="18"/>
    </row>
    <row r="1920" spans="1:11" ht="15" x14ac:dyDescent="0.2">
      <c r="A1920" s="24"/>
      <c r="B1920" s="17" t="s">
        <v>25</v>
      </c>
      <c r="C1920" s="45">
        <v>248</v>
      </c>
      <c r="D1920" s="45">
        <v>2725</v>
      </c>
      <c r="E1920" s="45">
        <v>248</v>
      </c>
      <c r="F1920" s="45">
        <v>2395</v>
      </c>
      <c r="G1920" s="18"/>
      <c r="H1920" s="18"/>
      <c r="I1920" s="18"/>
      <c r="J1920" s="18"/>
      <c r="K1920" s="18"/>
    </row>
    <row r="1921" spans="1:11" ht="15" x14ac:dyDescent="0.2">
      <c r="A1921" s="24"/>
      <c r="B1921" s="17" t="s">
        <v>11</v>
      </c>
      <c r="C1921" s="45">
        <v>267</v>
      </c>
      <c r="D1921" s="45">
        <v>2516</v>
      </c>
      <c r="E1921" s="45">
        <v>284</v>
      </c>
      <c r="F1921" s="45">
        <v>2567</v>
      </c>
      <c r="G1921" s="18"/>
      <c r="H1921" s="18"/>
      <c r="I1921" s="18"/>
      <c r="J1921" s="18"/>
      <c r="K1921" s="18"/>
    </row>
    <row r="1922" spans="1:11" ht="15" x14ac:dyDescent="0.2">
      <c r="A1922" s="24"/>
      <c r="B1922" s="17"/>
      <c r="C1922" s="18"/>
      <c r="D1922" s="18"/>
      <c r="E1922" s="18"/>
      <c r="F1922" s="18"/>
      <c r="G1922" s="18"/>
      <c r="H1922" s="18"/>
      <c r="I1922" s="18"/>
      <c r="J1922" s="18"/>
      <c r="K1922" s="18"/>
    </row>
    <row r="1923" spans="1:11" ht="15.75" x14ac:dyDescent="0.25">
      <c r="A1923" s="24" t="s">
        <v>19</v>
      </c>
      <c r="B1923" s="16" t="s">
        <v>65</v>
      </c>
      <c r="C1923" s="55"/>
      <c r="D1923" s="45"/>
      <c r="E1923" s="55"/>
      <c r="F1923" s="45"/>
      <c r="G1923" s="18"/>
      <c r="H1923" s="18"/>
      <c r="I1923" s="18"/>
      <c r="J1923" s="18"/>
      <c r="K1923" s="18"/>
    </row>
    <row r="1924" spans="1:11" ht="15" x14ac:dyDescent="0.2">
      <c r="A1924" s="24"/>
      <c r="B1924" s="17" t="s">
        <v>12</v>
      </c>
      <c r="C1924" s="45">
        <v>287</v>
      </c>
      <c r="D1924" s="45">
        <v>2379</v>
      </c>
      <c r="E1924" s="45">
        <v>262</v>
      </c>
      <c r="F1924" s="45">
        <v>2255</v>
      </c>
      <c r="G1924" s="18"/>
      <c r="H1924" s="18"/>
      <c r="I1924" s="18"/>
      <c r="J1924" s="18"/>
      <c r="K1924" s="18"/>
    </row>
    <row r="1925" spans="1:11" ht="15" x14ac:dyDescent="0.2">
      <c r="A1925" s="24"/>
      <c r="B1925" s="17" t="s">
        <v>13</v>
      </c>
      <c r="C1925" s="45">
        <v>364</v>
      </c>
      <c r="D1925" s="45">
        <v>2514</v>
      </c>
      <c r="E1925" s="45">
        <v>356</v>
      </c>
      <c r="F1925" s="45">
        <v>2502</v>
      </c>
      <c r="G1925" s="18"/>
      <c r="H1925" s="18"/>
      <c r="I1925" s="18"/>
      <c r="J1925" s="18"/>
      <c r="K1925" s="18"/>
    </row>
    <row r="1926" spans="1:11" ht="15" x14ac:dyDescent="0.2">
      <c r="A1926" s="24"/>
      <c r="B1926" s="17" t="s">
        <v>14</v>
      </c>
      <c r="C1926" s="45">
        <v>403</v>
      </c>
      <c r="D1926" s="45">
        <v>2683</v>
      </c>
      <c r="E1926" s="45">
        <v>318</v>
      </c>
      <c r="F1926" s="45">
        <v>2500</v>
      </c>
      <c r="G1926" s="18"/>
      <c r="H1926" s="18"/>
      <c r="I1926" s="18"/>
      <c r="J1926" s="18"/>
      <c r="K1926" s="18"/>
    </row>
    <row r="1927" spans="1:11" ht="15" x14ac:dyDescent="0.2">
      <c r="A1927" s="24"/>
      <c r="B1927" s="17"/>
      <c r="C1927" s="45"/>
      <c r="D1927" s="45"/>
      <c r="E1927" s="45"/>
      <c r="F1927" s="45"/>
      <c r="G1927" s="18"/>
      <c r="H1927" s="18"/>
      <c r="I1927" s="18"/>
      <c r="J1927" s="18"/>
      <c r="K1927" s="18"/>
    </row>
    <row r="1928" spans="1:11" ht="15.75" x14ac:dyDescent="0.25">
      <c r="A1928" s="24" t="s">
        <v>19</v>
      </c>
      <c r="B1928" s="16" t="s">
        <v>66</v>
      </c>
      <c r="C1928" s="55"/>
      <c r="D1928" s="45"/>
      <c r="E1928" s="55"/>
      <c r="F1928" s="45"/>
      <c r="G1928" s="18"/>
      <c r="H1928" s="18"/>
      <c r="I1928" s="18"/>
      <c r="J1928" s="18"/>
      <c r="K1928" s="18"/>
    </row>
    <row r="1929" spans="1:11" ht="15" x14ac:dyDescent="0.2">
      <c r="A1929" s="24">
        <v>2011</v>
      </c>
      <c r="B1929" s="17" t="s">
        <v>15</v>
      </c>
      <c r="C1929" s="45">
        <v>426</v>
      </c>
      <c r="D1929" s="45">
        <v>2538</v>
      </c>
      <c r="E1929" s="45">
        <v>344</v>
      </c>
      <c r="F1929" s="45">
        <v>2206</v>
      </c>
      <c r="G1929" s="18"/>
      <c r="H1929" s="18"/>
      <c r="I1929" s="18"/>
      <c r="J1929" s="18"/>
      <c r="K1929" s="18"/>
    </row>
    <row r="1930" spans="1:11" ht="15" x14ac:dyDescent="0.2">
      <c r="A1930" s="24"/>
      <c r="B1930" s="17" t="s">
        <v>16</v>
      </c>
      <c r="C1930" s="45">
        <v>467</v>
      </c>
      <c r="D1930" s="45">
        <v>2697</v>
      </c>
      <c r="E1930" s="45">
        <v>437</v>
      </c>
      <c r="F1930" s="45">
        <v>2548</v>
      </c>
      <c r="G1930" s="18"/>
      <c r="H1930" s="18"/>
      <c r="I1930" s="18"/>
      <c r="J1930" s="18"/>
      <c r="K1930" s="18"/>
    </row>
    <row r="1931" spans="1:11" ht="15" x14ac:dyDescent="0.2">
      <c r="A1931" s="24"/>
      <c r="B1931" s="17" t="s">
        <v>17</v>
      </c>
      <c r="C1931" s="45">
        <v>391</v>
      </c>
      <c r="D1931" s="45">
        <v>2581</v>
      </c>
      <c r="E1931" s="45">
        <v>424</v>
      </c>
      <c r="F1931" s="45">
        <v>2742</v>
      </c>
      <c r="G1931" s="18"/>
      <c r="H1931" s="18"/>
      <c r="I1931" s="18"/>
      <c r="J1931" s="18"/>
      <c r="K1931" s="18"/>
    </row>
    <row r="1932" spans="1:11" ht="15" x14ac:dyDescent="0.2">
      <c r="A1932" s="24"/>
      <c r="B1932" s="17"/>
      <c r="C1932" s="18"/>
      <c r="D1932" s="18"/>
      <c r="E1932" s="18"/>
      <c r="F1932" s="18"/>
      <c r="G1932" s="18"/>
      <c r="H1932" s="18"/>
      <c r="I1932" s="18"/>
      <c r="J1932" s="18"/>
      <c r="K1932" s="18"/>
    </row>
    <row r="1933" spans="1:11" ht="15.75" x14ac:dyDescent="0.25">
      <c r="A1933" s="24" t="s">
        <v>19</v>
      </c>
      <c r="B1933" s="16" t="s">
        <v>67</v>
      </c>
      <c r="C1933" s="55"/>
      <c r="D1933" s="45"/>
      <c r="E1933" s="55"/>
      <c r="F1933" s="45"/>
      <c r="G1933" s="18"/>
      <c r="H1933" s="18"/>
      <c r="I1933" s="18"/>
      <c r="J1933" s="18"/>
      <c r="K1933" s="18"/>
    </row>
    <row r="1934" spans="1:11" ht="15" x14ac:dyDescent="0.2">
      <c r="A1934" s="24" t="s">
        <v>19</v>
      </c>
      <c r="B1934" s="17" t="s">
        <v>20</v>
      </c>
      <c r="C1934" s="45">
        <v>423</v>
      </c>
      <c r="D1934" s="45">
        <v>2545</v>
      </c>
      <c r="E1934" s="45">
        <v>406</v>
      </c>
      <c r="F1934" s="45">
        <v>2522</v>
      </c>
      <c r="G1934" s="18"/>
      <c r="H1934" s="18"/>
      <c r="I1934" s="18"/>
      <c r="J1934" s="18"/>
      <c r="K1934" s="18"/>
    </row>
    <row r="1935" spans="1:11" ht="15" x14ac:dyDescent="0.2">
      <c r="A1935" s="24"/>
      <c r="B1935" s="17" t="s">
        <v>21</v>
      </c>
      <c r="C1935" s="45">
        <v>360</v>
      </c>
      <c r="D1935" s="45">
        <v>2561</v>
      </c>
      <c r="E1935" s="45">
        <v>393</v>
      </c>
      <c r="F1935" s="45">
        <v>2636</v>
      </c>
      <c r="G1935" s="18"/>
      <c r="H1935" s="18"/>
      <c r="I1935" s="18"/>
      <c r="J1935" s="18"/>
      <c r="K1935" s="18"/>
    </row>
    <row r="1936" spans="1:11" ht="15" x14ac:dyDescent="0.2">
      <c r="A1936" s="24"/>
      <c r="B1936" s="17" t="s">
        <v>22</v>
      </c>
      <c r="C1936" s="45">
        <v>298</v>
      </c>
      <c r="D1936" s="45">
        <v>2097</v>
      </c>
      <c r="E1936" s="45">
        <v>319</v>
      </c>
      <c r="F1936" s="45">
        <v>2138</v>
      </c>
      <c r="G1936" s="18"/>
      <c r="H1936" s="18"/>
      <c r="I1936" s="18"/>
      <c r="J1936" s="18"/>
      <c r="K1936" s="18"/>
    </row>
    <row r="1937" spans="1:11" ht="15" x14ac:dyDescent="0.2">
      <c r="A1937" s="24"/>
      <c r="B1937" s="17"/>
      <c r="C1937" s="18"/>
      <c r="D1937" s="18"/>
      <c r="E1937" s="18"/>
      <c r="F1937" s="18"/>
      <c r="G1937" s="18"/>
      <c r="H1937" s="18"/>
      <c r="I1937" s="18"/>
      <c r="J1937" s="18"/>
      <c r="K1937" s="18"/>
    </row>
    <row r="1938" spans="1:11" ht="15.75" x14ac:dyDescent="0.25">
      <c r="A1938" s="24" t="s">
        <v>19</v>
      </c>
      <c r="B1938" s="16" t="s">
        <v>68</v>
      </c>
      <c r="C1938" s="55"/>
      <c r="D1938" s="45"/>
      <c r="E1938" s="55"/>
      <c r="F1938" s="45"/>
      <c r="G1938" s="18"/>
      <c r="H1938" s="18"/>
      <c r="I1938" s="18"/>
      <c r="J1938" s="18"/>
      <c r="K1938" s="18"/>
    </row>
    <row r="1939" spans="1:11" ht="15" x14ac:dyDescent="0.2">
      <c r="A1939" s="24"/>
      <c r="B1939" s="17" t="s">
        <v>24</v>
      </c>
      <c r="C1939" s="45">
        <v>298</v>
      </c>
      <c r="D1939" s="45">
        <f>2096+4</f>
        <v>2100</v>
      </c>
      <c r="E1939" s="45">
        <v>325</v>
      </c>
      <c r="F1939" s="45">
        <v>2200</v>
      </c>
      <c r="G1939" s="18"/>
      <c r="H1939" s="18"/>
      <c r="I1939" s="18"/>
      <c r="J1939" s="18"/>
      <c r="K1939" s="18"/>
    </row>
    <row r="1940" spans="1:11" ht="15" x14ac:dyDescent="0.2">
      <c r="A1940" s="24"/>
      <c r="B1940" s="17" t="s">
        <v>25</v>
      </c>
      <c r="C1940" s="45">
        <v>268</v>
      </c>
      <c r="D1940" s="45">
        <f>2395+4</f>
        <v>2399</v>
      </c>
      <c r="E1940" s="45">
        <v>311</v>
      </c>
      <c r="F1940" s="45">
        <v>2241</v>
      </c>
      <c r="G1940" s="18"/>
      <c r="H1940" s="18"/>
      <c r="I1940" s="18"/>
      <c r="J1940" s="18"/>
      <c r="K1940" s="18"/>
    </row>
    <row r="1941" spans="1:11" ht="15" x14ac:dyDescent="0.2">
      <c r="A1941" s="24"/>
      <c r="B1941" s="17" t="s">
        <v>11</v>
      </c>
      <c r="C1941" s="45">
        <v>287</v>
      </c>
      <c r="D1941" s="45">
        <f>2434+5</f>
        <v>2439</v>
      </c>
      <c r="E1941" s="45">
        <v>342</v>
      </c>
      <c r="F1941" s="45">
        <v>2434</v>
      </c>
      <c r="G1941" s="18"/>
      <c r="H1941" s="18"/>
      <c r="I1941" s="18"/>
      <c r="J1941" s="18"/>
      <c r="K1941" s="18"/>
    </row>
    <row r="1942" spans="1:11" ht="15" x14ac:dyDescent="0.2">
      <c r="A1942" s="24"/>
      <c r="B1942" s="17"/>
      <c r="C1942" s="18"/>
      <c r="D1942" s="18"/>
      <c r="E1942" s="18"/>
      <c r="F1942" s="18"/>
      <c r="G1942" s="18"/>
      <c r="H1942" s="18"/>
      <c r="I1942" s="18"/>
      <c r="J1942" s="18"/>
      <c r="K1942" s="18"/>
    </row>
    <row r="1943" spans="1:11" ht="15.75" x14ac:dyDescent="0.25">
      <c r="A1943" s="24" t="s">
        <v>19</v>
      </c>
      <c r="B1943" s="16" t="s">
        <v>69</v>
      </c>
      <c r="C1943" s="55"/>
      <c r="D1943" s="45"/>
      <c r="E1943" s="55"/>
      <c r="F1943" s="45"/>
      <c r="G1943" s="18"/>
      <c r="H1943" s="18"/>
      <c r="I1943" s="18"/>
      <c r="J1943" s="18"/>
      <c r="K1943" s="18"/>
    </row>
    <row r="1944" spans="1:11" ht="15" x14ac:dyDescent="0.2">
      <c r="A1944" s="24" t="s">
        <v>19</v>
      </c>
      <c r="B1944" s="17" t="s">
        <v>12</v>
      </c>
      <c r="C1944" s="45">
        <v>327</v>
      </c>
      <c r="D1944" s="45">
        <f>2199+7</f>
        <v>2206</v>
      </c>
      <c r="E1944" s="45">
        <v>312</v>
      </c>
      <c r="F1944" s="45">
        <f>2195+9</f>
        <v>2204</v>
      </c>
      <c r="G1944" s="18"/>
      <c r="H1944" s="18"/>
      <c r="I1944" s="18"/>
      <c r="J1944" s="18"/>
      <c r="K1944" s="18"/>
    </row>
    <row r="1945" spans="1:11" ht="15" x14ac:dyDescent="0.2">
      <c r="A1945" s="24"/>
      <c r="B1945" s="17" t="s">
        <v>13</v>
      </c>
      <c r="C1945" s="45">
        <v>465</v>
      </c>
      <c r="D1945" s="45">
        <f>2488+2</f>
        <v>2490</v>
      </c>
      <c r="E1945" s="45">
        <v>370</v>
      </c>
      <c r="F1945" s="45">
        <f>2317+3</f>
        <v>2320</v>
      </c>
      <c r="G1945" s="18"/>
      <c r="H1945" s="18"/>
      <c r="I1945" s="18"/>
      <c r="J1945" s="18"/>
      <c r="K1945" s="18"/>
    </row>
    <row r="1946" spans="1:11" ht="15" x14ac:dyDescent="0.2">
      <c r="A1946" s="24"/>
      <c r="B1946" s="17" t="s">
        <v>14</v>
      </c>
      <c r="C1946" s="45">
        <v>496</v>
      </c>
      <c r="D1946" s="45">
        <f>2627+7</f>
        <v>2634</v>
      </c>
      <c r="E1946" s="45">
        <v>377</v>
      </c>
      <c r="F1946" s="45">
        <f>2334+7</f>
        <v>2341</v>
      </c>
      <c r="G1946" s="18"/>
      <c r="H1946" s="18"/>
      <c r="I1946" s="18"/>
      <c r="J1946" s="18"/>
      <c r="K1946" s="18"/>
    </row>
    <row r="1947" spans="1:11" ht="15" x14ac:dyDescent="0.2">
      <c r="A1947" s="24"/>
      <c r="B1947" s="17"/>
      <c r="C1947" s="45"/>
      <c r="D1947" s="45"/>
      <c r="E1947" s="45"/>
      <c r="F1947" s="45"/>
      <c r="G1947" s="18"/>
      <c r="H1947" s="18"/>
      <c r="I1947" s="18"/>
      <c r="J1947" s="18"/>
      <c r="K1947" s="18"/>
    </row>
    <row r="1948" spans="1:11" ht="15.75" x14ac:dyDescent="0.25">
      <c r="A1948" s="24" t="s">
        <v>19</v>
      </c>
      <c r="B1948" s="16" t="s">
        <v>70</v>
      </c>
      <c r="C1948" s="55"/>
      <c r="D1948" s="45"/>
      <c r="E1948" s="55"/>
      <c r="F1948" s="45"/>
      <c r="G1948" s="18"/>
      <c r="H1948" s="18"/>
      <c r="I1948" s="18"/>
      <c r="J1948" s="18"/>
      <c r="K1948" s="18"/>
    </row>
    <row r="1949" spans="1:11" ht="15" x14ac:dyDescent="0.2">
      <c r="A1949" s="24">
        <v>2012</v>
      </c>
      <c r="B1949" s="17" t="s">
        <v>15</v>
      </c>
      <c r="C1949" s="45">
        <v>493</v>
      </c>
      <c r="D1949" s="45">
        <v>2350</v>
      </c>
      <c r="E1949" s="45">
        <v>391</v>
      </c>
      <c r="F1949" s="45">
        <v>2315</v>
      </c>
      <c r="G1949" s="18"/>
      <c r="H1949" s="18"/>
      <c r="I1949" s="18"/>
      <c r="J1949" s="18"/>
      <c r="K1949" s="18"/>
    </row>
    <row r="1950" spans="1:11" ht="15" x14ac:dyDescent="0.2">
      <c r="A1950" s="24"/>
      <c r="B1950" s="17" t="s">
        <v>16</v>
      </c>
      <c r="C1950" s="45">
        <v>449</v>
      </c>
      <c r="D1950" s="45">
        <v>2628</v>
      </c>
      <c r="E1950" s="45">
        <v>473</v>
      </c>
      <c r="F1950" s="45">
        <v>2511</v>
      </c>
      <c r="G1950" s="18"/>
      <c r="H1950" s="18"/>
      <c r="I1950" s="18"/>
      <c r="J1950" s="18"/>
      <c r="K1950" s="18"/>
    </row>
    <row r="1951" spans="1:11" ht="15" x14ac:dyDescent="0.2">
      <c r="A1951" s="24"/>
      <c r="B1951" s="17" t="s">
        <v>17</v>
      </c>
      <c r="C1951" s="45">
        <v>469</v>
      </c>
      <c r="D1951" s="45">
        <v>2567</v>
      </c>
      <c r="E1951" s="45">
        <v>452</v>
      </c>
      <c r="F1951" s="45">
        <v>2677</v>
      </c>
      <c r="G1951" s="18"/>
      <c r="H1951" s="18"/>
      <c r="I1951" s="18"/>
      <c r="J1951" s="18"/>
      <c r="K1951" s="18"/>
    </row>
    <row r="1952" spans="1:11" ht="15" x14ac:dyDescent="0.2">
      <c r="A1952" s="24"/>
      <c r="B1952" s="17"/>
      <c r="C1952" s="45"/>
      <c r="D1952" s="45"/>
      <c r="E1952" s="45"/>
      <c r="F1952" s="45"/>
      <c r="G1952" s="18"/>
      <c r="H1952" s="18"/>
      <c r="I1952" s="18"/>
      <c r="J1952" s="18"/>
      <c r="K1952" s="18"/>
    </row>
    <row r="1953" spans="1:11" ht="15.75" x14ac:dyDescent="0.25">
      <c r="A1953" s="24" t="s">
        <v>19</v>
      </c>
      <c r="B1953" s="16" t="s">
        <v>71</v>
      </c>
      <c r="C1953" s="55"/>
      <c r="D1953" s="45"/>
      <c r="E1953" s="55"/>
      <c r="F1953" s="45"/>
      <c r="G1953" s="18"/>
      <c r="H1953" s="18"/>
      <c r="I1953" s="18"/>
      <c r="J1953" s="18"/>
      <c r="K1953" s="18"/>
    </row>
    <row r="1954" spans="1:11" ht="15" x14ac:dyDescent="0.2">
      <c r="A1954" s="24" t="s">
        <v>19</v>
      </c>
      <c r="B1954" s="17" t="s">
        <v>20</v>
      </c>
      <c r="C1954" s="45">
        <v>461</v>
      </c>
      <c r="D1954" s="45">
        <v>2471</v>
      </c>
      <c r="E1954" s="45">
        <v>471</v>
      </c>
      <c r="F1954" s="45">
        <v>2544</v>
      </c>
      <c r="G1954" s="18"/>
      <c r="H1954" s="18"/>
      <c r="I1954" s="18"/>
      <c r="J1954" s="18"/>
      <c r="K1954" s="18"/>
    </row>
    <row r="1955" spans="1:11" ht="15" x14ac:dyDescent="0.2">
      <c r="A1955" s="24"/>
      <c r="B1955" s="17" t="s">
        <v>21</v>
      </c>
      <c r="C1955" s="45">
        <v>366</v>
      </c>
      <c r="D1955" s="45">
        <v>2439</v>
      </c>
      <c r="E1955" s="45">
        <v>404</v>
      </c>
      <c r="F1955" s="45">
        <v>2477</v>
      </c>
      <c r="G1955" s="18"/>
      <c r="H1955" s="18"/>
      <c r="I1955" s="18"/>
      <c r="J1955" s="18"/>
      <c r="K1955" s="18"/>
    </row>
    <row r="1956" spans="1:11" ht="15" x14ac:dyDescent="0.2">
      <c r="A1956" s="24"/>
      <c r="B1956" s="17" t="s">
        <v>22</v>
      </c>
      <c r="C1956" s="45">
        <v>353</v>
      </c>
      <c r="D1956" s="45">
        <v>2248</v>
      </c>
      <c r="E1956" s="45">
        <v>431</v>
      </c>
      <c r="F1956" s="45">
        <v>2860</v>
      </c>
      <c r="G1956" s="18"/>
      <c r="H1956" s="18"/>
      <c r="I1956" s="18"/>
      <c r="J1956" s="18"/>
      <c r="K1956" s="18"/>
    </row>
    <row r="1957" spans="1:11" ht="15" x14ac:dyDescent="0.2">
      <c r="A1957" s="24"/>
      <c r="B1957" s="17"/>
      <c r="C1957" s="45"/>
      <c r="D1957" s="45"/>
      <c r="E1957" s="45"/>
      <c r="F1957" s="45"/>
      <c r="G1957" s="18"/>
      <c r="H1957" s="18"/>
      <c r="I1957" s="18"/>
      <c r="J1957" s="18"/>
      <c r="K1957" s="18"/>
    </row>
    <row r="1958" spans="1:11" ht="15.75" x14ac:dyDescent="0.25">
      <c r="A1958" s="89" t="s">
        <v>114</v>
      </c>
      <c r="B1958" s="17"/>
      <c r="C1958" s="18"/>
      <c r="D1958" s="18"/>
      <c r="E1958" s="18"/>
      <c r="F1958" s="18"/>
      <c r="G1958" s="18"/>
      <c r="H1958" s="18"/>
      <c r="I1958" s="18"/>
      <c r="J1958" s="18"/>
      <c r="K1958" s="18"/>
    </row>
    <row r="1959" spans="1:11" ht="27.75" x14ac:dyDescent="0.55000000000000004">
      <c r="A1959" s="24"/>
      <c r="B1959" s="17"/>
      <c r="C1959" s="105" t="s">
        <v>163</v>
      </c>
      <c r="D1959" s="105"/>
      <c r="E1959" s="105" t="s">
        <v>164</v>
      </c>
      <c r="F1959" s="105"/>
      <c r="G1959" s="45"/>
      <c r="H1959" s="45"/>
      <c r="I1959" s="45"/>
      <c r="J1959" s="45"/>
      <c r="K1959" s="18"/>
    </row>
    <row r="1960" spans="1:11" ht="15.75" x14ac:dyDescent="0.25">
      <c r="A1960" s="21" t="s">
        <v>8</v>
      </c>
      <c r="B1960" s="16" t="s">
        <v>32</v>
      </c>
      <c r="C1960" s="40" t="s">
        <v>108</v>
      </c>
      <c r="D1960" s="40" t="s">
        <v>117</v>
      </c>
      <c r="E1960" s="40" t="s">
        <v>108</v>
      </c>
      <c r="F1960" s="40" t="s">
        <v>117</v>
      </c>
      <c r="G1960" s="45"/>
      <c r="H1960" s="45"/>
      <c r="I1960" s="45"/>
      <c r="J1960" s="45"/>
      <c r="K1960" s="18"/>
    </row>
    <row r="1961" spans="1:11" ht="15" x14ac:dyDescent="0.2">
      <c r="A1961" s="24"/>
      <c r="B1961" s="17"/>
      <c r="C1961" s="45"/>
      <c r="D1961" s="45"/>
      <c r="E1961" s="45"/>
      <c r="F1961" s="45"/>
      <c r="G1961" s="18"/>
      <c r="H1961" s="18"/>
      <c r="I1961" s="18"/>
      <c r="J1961" s="18"/>
      <c r="K1961" s="18"/>
    </row>
    <row r="1962" spans="1:11" ht="15.75" x14ac:dyDescent="0.25">
      <c r="A1962" s="24" t="s">
        <v>19</v>
      </c>
      <c r="B1962" s="16" t="s">
        <v>72</v>
      </c>
      <c r="C1962" s="55"/>
      <c r="D1962" s="45"/>
      <c r="E1962" s="55"/>
      <c r="F1962" s="45"/>
      <c r="G1962" s="18"/>
      <c r="H1962" s="18"/>
      <c r="I1962" s="18"/>
      <c r="J1962" s="18"/>
      <c r="K1962" s="18"/>
    </row>
    <row r="1963" spans="1:11" ht="15" x14ac:dyDescent="0.2">
      <c r="A1963" s="24">
        <v>2012</v>
      </c>
      <c r="B1963" s="17" t="s">
        <v>24</v>
      </c>
      <c r="C1963" s="45">
        <v>303</v>
      </c>
      <c r="D1963" s="45">
        <v>2052</v>
      </c>
      <c r="E1963" s="45">
        <v>369</v>
      </c>
      <c r="F1963" s="45">
        <v>2594</v>
      </c>
      <c r="G1963" s="18"/>
      <c r="H1963" s="18"/>
      <c r="I1963" s="18"/>
      <c r="J1963" s="18"/>
      <c r="K1963" s="18"/>
    </row>
    <row r="1964" spans="1:11" ht="15" x14ac:dyDescent="0.2">
      <c r="A1964" s="24"/>
      <c r="B1964" s="17" t="s">
        <v>25</v>
      </c>
      <c r="C1964" s="45">
        <v>356</v>
      </c>
      <c r="D1964" s="45">
        <v>2287</v>
      </c>
      <c r="E1964" s="45">
        <v>353</v>
      </c>
      <c r="F1964" s="45">
        <v>2508</v>
      </c>
      <c r="G1964" s="18"/>
      <c r="H1964" s="18"/>
      <c r="I1964" s="18"/>
      <c r="J1964" s="18"/>
      <c r="K1964" s="18"/>
    </row>
    <row r="1965" spans="1:11" ht="15" x14ac:dyDescent="0.2">
      <c r="A1965" s="24"/>
      <c r="B1965" s="17" t="s">
        <v>11</v>
      </c>
      <c r="C1965" s="45">
        <v>401</v>
      </c>
      <c r="D1965" s="45">
        <v>2243</v>
      </c>
      <c r="E1965" s="45">
        <v>392</v>
      </c>
      <c r="F1965" s="45">
        <v>2484</v>
      </c>
      <c r="G1965" s="18"/>
      <c r="H1965" s="18"/>
      <c r="I1965" s="18"/>
      <c r="J1965" s="18"/>
      <c r="K1965" s="18"/>
    </row>
    <row r="1966" spans="1:11" ht="15" x14ac:dyDescent="0.2">
      <c r="A1966" s="24"/>
      <c r="B1966" s="17"/>
      <c r="C1966" s="45"/>
      <c r="D1966" s="45"/>
      <c r="E1966" s="45"/>
      <c r="F1966" s="45"/>
      <c r="G1966" s="18"/>
      <c r="H1966" s="18"/>
      <c r="I1966" s="18"/>
      <c r="J1966" s="18"/>
      <c r="K1966" s="18"/>
    </row>
    <row r="1967" spans="1:11" ht="15.75" x14ac:dyDescent="0.25">
      <c r="A1967" s="24" t="s">
        <v>19</v>
      </c>
      <c r="B1967" s="16" t="s">
        <v>73</v>
      </c>
      <c r="C1967" s="55"/>
      <c r="D1967" s="45"/>
      <c r="E1967" s="55"/>
      <c r="F1967" s="45"/>
      <c r="G1967" s="18"/>
      <c r="H1967" s="18"/>
      <c r="I1967" s="18"/>
      <c r="J1967" s="18"/>
      <c r="K1967" s="18"/>
    </row>
    <row r="1968" spans="1:11" ht="15" x14ac:dyDescent="0.2">
      <c r="A1968" s="24" t="s">
        <v>19</v>
      </c>
      <c r="B1968" s="17" t="s">
        <v>12</v>
      </c>
      <c r="C1968" s="45">
        <v>420</v>
      </c>
      <c r="D1968" s="45">
        <v>2170</v>
      </c>
      <c r="E1968" s="45">
        <v>396</v>
      </c>
      <c r="F1968" s="45">
        <v>2303</v>
      </c>
      <c r="G1968" s="18"/>
      <c r="H1968" s="18"/>
      <c r="I1968" s="18"/>
      <c r="J1968" s="18"/>
      <c r="K1968" s="18"/>
    </row>
    <row r="1969" spans="1:11" ht="15" x14ac:dyDescent="0.2">
      <c r="A1969" s="24"/>
      <c r="B1969" s="17" t="s">
        <v>13</v>
      </c>
      <c r="C1969" s="45">
        <v>402</v>
      </c>
      <c r="D1969" s="45">
        <v>2294</v>
      </c>
      <c r="E1969" s="45">
        <v>360</v>
      </c>
      <c r="F1969" s="45">
        <v>2294</v>
      </c>
      <c r="G1969" s="18"/>
      <c r="H1969" s="18"/>
      <c r="I1969" s="18"/>
      <c r="J1969" s="18"/>
      <c r="K1969" s="18"/>
    </row>
    <row r="1970" spans="1:11" ht="15" x14ac:dyDescent="0.2">
      <c r="A1970" s="24"/>
      <c r="B1970" s="17" t="s">
        <v>14</v>
      </c>
      <c r="C1970" s="45">
        <v>436</v>
      </c>
      <c r="D1970" s="45">
        <v>2390</v>
      </c>
      <c r="E1970" s="45">
        <v>394</v>
      </c>
      <c r="F1970" s="45">
        <v>2374</v>
      </c>
      <c r="G1970" s="18"/>
      <c r="H1970" s="18"/>
      <c r="I1970" s="18"/>
      <c r="J1970" s="18"/>
      <c r="K1970" s="18"/>
    </row>
    <row r="1971" spans="1:11" ht="15" x14ac:dyDescent="0.2">
      <c r="A1971" s="24"/>
      <c r="B1971" s="17"/>
      <c r="C1971" s="45"/>
      <c r="D1971" s="45"/>
      <c r="E1971" s="45"/>
      <c r="F1971" s="45"/>
      <c r="G1971" s="18"/>
      <c r="H1971" s="18"/>
      <c r="I1971" s="18"/>
      <c r="J1971" s="18"/>
      <c r="K1971" s="18"/>
    </row>
    <row r="1972" spans="1:11" ht="15.75" x14ac:dyDescent="0.25">
      <c r="A1972" s="24" t="s">
        <v>19</v>
      </c>
      <c r="B1972" s="16" t="s">
        <v>74</v>
      </c>
      <c r="C1972" s="55"/>
      <c r="D1972" s="45"/>
      <c r="E1972" s="55"/>
      <c r="F1972" s="45"/>
      <c r="G1972" s="18"/>
      <c r="H1972" s="18"/>
      <c r="I1972" s="18"/>
      <c r="J1972" s="18"/>
      <c r="K1972" s="18"/>
    </row>
    <row r="1973" spans="1:11" ht="15" x14ac:dyDescent="0.2">
      <c r="A1973" s="24">
        <v>2013</v>
      </c>
      <c r="B1973" s="17" t="s">
        <v>15</v>
      </c>
      <c r="C1973" s="45">
        <v>463</v>
      </c>
      <c r="D1973" s="45">
        <v>2434</v>
      </c>
      <c r="E1973" s="45">
        <v>397</v>
      </c>
      <c r="F1973" s="45">
        <v>2145</v>
      </c>
      <c r="G1973" s="18"/>
      <c r="H1973" s="18"/>
      <c r="I1973" s="18"/>
      <c r="J1973" s="18"/>
      <c r="K1973" s="18"/>
    </row>
    <row r="1974" spans="1:11" ht="15" x14ac:dyDescent="0.2">
      <c r="A1974" s="24"/>
      <c r="B1974" s="17" t="s">
        <v>16</v>
      </c>
      <c r="C1974" s="45">
        <v>446</v>
      </c>
      <c r="D1974" s="45">
        <v>2616</v>
      </c>
      <c r="E1974" s="45">
        <v>453</v>
      </c>
      <c r="F1974" s="45">
        <v>2536</v>
      </c>
      <c r="G1974" s="18"/>
      <c r="H1974" s="18"/>
      <c r="I1974" s="18"/>
      <c r="J1974" s="18"/>
      <c r="K1974" s="18"/>
    </row>
    <row r="1975" spans="1:11" ht="15" x14ac:dyDescent="0.2">
      <c r="A1975" s="24"/>
      <c r="B1975" s="17" t="s">
        <v>17</v>
      </c>
      <c r="C1975" s="45">
        <v>469</v>
      </c>
      <c r="D1975" s="45">
        <v>2555</v>
      </c>
      <c r="E1975" s="45">
        <v>510</v>
      </c>
      <c r="F1975" s="45">
        <v>2868</v>
      </c>
      <c r="G1975" s="18"/>
      <c r="H1975" s="18"/>
      <c r="I1975" s="18"/>
      <c r="J1975" s="18"/>
      <c r="K1975" s="18"/>
    </row>
    <row r="1976" spans="1:11" ht="15" x14ac:dyDescent="0.2">
      <c r="A1976" s="24"/>
      <c r="B1976" s="17"/>
      <c r="C1976" s="45"/>
      <c r="D1976" s="45"/>
      <c r="E1976" s="45"/>
      <c r="F1976" s="45"/>
      <c r="G1976" s="18"/>
      <c r="H1976" s="18"/>
      <c r="I1976" s="18"/>
      <c r="J1976" s="18"/>
      <c r="K1976" s="18"/>
    </row>
    <row r="1977" spans="1:11" ht="15.75" x14ac:dyDescent="0.25">
      <c r="A1977" s="24" t="s">
        <v>19</v>
      </c>
      <c r="B1977" s="16" t="s">
        <v>75</v>
      </c>
      <c r="C1977" s="55"/>
      <c r="D1977" s="45"/>
      <c r="E1977" s="55"/>
      <c r="F1977" s="45"/>
      <c r="G1977" s="18"/>
      <c r="H1977" s="18"/>
      <c r="I1977" s="18"/>
      <c r="J1977" s="18"/>
      <c r="K1977" s="18"/>
    </row>
    <row r="1978" spans="1:11" ht="15" x14ac:dyDescent="0.2">
      <c r="A1978" s="24" t="s">
        <v>19</v>
      </c>
      <c r="B1978" s="17" t="s">
        <v>20</v>
      </c>
      <c r="C1978" s="45">
        <v>454</v>
      </c>
      <c r="D1978" s="45">
        <v>2642</v>
      </c>
      <c r="E1978" s="45">
        <v>487</v>
      </c>
      <c r="F1978" s="45">
        <v>2626</v>
      </c>
      <c r="G1978" s="18"/>
      <c r="H1978" s="18"/>
      <c r="I1978" s="18"/>
      <c r="J1978" s="18"/>
      <c r="K1978" s="18"/>
    </row>
    <row r="1979" spans="1:11" ht="15" x14ac:dyDescent="0.2">
      <c r="A1979" s="24"/>
      <c r="B1979" s="17" t="s">
        <v>21</v>
      </c>
      <c r="C1979" s="45">
        <v>329</v>
      </c>
      <c r="D1979" s="45">
        <v>2217</v>
      </c>
      <c r="E1979" s="45">
        <v>404</v>
      </c>
      <c r="F1979" s="45">
        <v>2385</v>
      </c>
      <c r="G1979" s="18"/>
      <c r="H1979" s="18"/>
      <c r="I1979" s="18"/>
      <c r="J1979" s="18"/>
      <c r="K1979" s="18"/>
    </row>
    <row r="1980" spans="1:11" ht="15" x14ac:dyDescent="0.2">
      <c r="A1980" s="24"/>
      <c r="B1980" s="17" t="s">
        <v>22</v>
      </c>
      <c r="C1980" s="45">
        <v>274</v>
      </c>
      <c r="D1980" s="45">
        <v>2191</v>
      </c>
      <c r="E1980" s="45">
        <v>298</v>
      </c>
      <c r="F1980" s="45">
        <v>2014</v>
      </c>
      <c r="G1980" s="18"/>
      <c r="H1980" s="18"/>
      <c r="I1980" s="18"/>
      <c r="J1980" s="18"/>
      <c r="K1980" s="18"/>
    </row>
    <row r="1981" spans="1:11" ht="15" x14ac:dyDescent="0.2">
      <c r="A1981" s="24"/>
      <c r="B1981" s="17"/>
      <c r="C1981" s="45"/>
      <c r="D1981" s="45"/>
      <c r="E1981" s="45"/>
      <c r="F1981" s="45"/>
      <c r="G1981" s="18"/>
      <c r="H1981" s="18"/>
      <c r="I1981" s="18"/>
      <c r="J1981" s="18"/>
      <c r="K1981" s="18"/>
    </row>
    <row r="1982" spans="1:11" ht="15.75" x14ac:dyDescent="0.25">
      <c r="A1982" s="24" t="s">
        <v>19</v>
      </c>
      <c r="B1982" s="16" t="s">
        <v>76</v>
      </c>
      <c r="C1982" s="55"/>
      <c r="D1982" s="45"/>
      <c r="E1982" s="55"/>
      <c r="F1982" s="45"/>
      <c r="G1982" s="18"/>
      <c r="H1982" s="18"/>
      <c r="I1982" s="18"/>
      <c r="J1982" s="18"/>
      <c r="K1982" s="18"/>
    </row>
    <row r="1983" spans="1:11" ht="15" x14ac:dyDescent="0.2">
      <c r="A1983" s="24" t="s">
        <v>19</v>
      </c>
      <c r="B1983" s="17" t="s">
        <v>24</v>
      </c>
      <c r="C1983" s="45">
        <v>240</v>
      </c>
      <c r="D1983" s="45">
        <v>2071</v>
      </c>
      <c r="E1983" s="45">
        <v>310</v>
      </c>
      <c r="F1983" s="45">
        <v>2322</v>
      </c>
      <c r="G1983" s="18"/>
      <c r="H1983" s="18"/>
      <c r="I1983" s="18"/>
      <c r="J1983" s="18"/>
      <c r="K1983" s="18"/>
    </row>
    <row r="1984" spans="1:11" ht="15" x14ac:dyDescent="0.2">
      <c r="A1984" s="24"/>
      <c r="B1984" s="17" t="s">
        <v>25</v>
      </c>
      <c r="C1984" s="45">
        <v>249</v>
      </c>
      <c r="D1984" s="45">
        <v>2216</v>
      </c>
      <c r="E1984" s="45">
        <v>328</v>
      </c>
      <c r="F1984" s="45">
        <v>2465</v>
      </c>
      <c r="G1984" s="18"/>
      <c r="H1984" s="18"/>
      <c r="I1984" s="18"/>
      <c r="J1984" s="18"/>
      <c r="K1984" s="18"/>
    </row>
    <row r="1985" spans="1:11" ht="15" x14ac:dyDescent="0.2">
      <c r="A1985" s="24"/>
      <c r="B1985" s="17" t="s">
        <v>11</v>
      </c>
      <c r="C1985" s="45">
        <v>335</v>
      </c>
      <c r="D1985" s="45">
        <v>2166</v>
      </c>
      <c r="E1985" s="45">
        <v>344</v>
      </c>
      <c r="F1985" s="45">
        <v>2091</v>
      </c>
      <c r="G1985" s="18"/>
      <c r="H1985" s="18"/>
      <c r="I1985" s="18"/>
      <c r="J1985" s="18"/>
      <c r="K1985" s="18"/>
    </row>
    <row r="1986" spans="1:11" ht="15" x14ac:dyDescent="0.2">
      <c r="A1986" s="24"/>
      <c r="B1986" s="17"/>
      <c r="C1986" s="18"/>
      <c r="D1986" s="18"/>
      <c r="E1986" s="18"/>
      <c r="F1986" s="18"/>
      <c r="G1986" s="18"/>
      <c r="H1986" s="18"/>
      <c r="I1986" s="18"/>
      <c r="J1986" s="18"/>
      <c r="K1986" s="18"/>
    </row>
    <row r="1987" spans="1:11" ht="15.75" x14ac:dyDescent="0.25">
      <c r="A1987" s="24" t="s">
        <v>19</v>
      </c>
      <c r="B1987" s="16" t="s">
        <v>77</v>
      </c>
      <c r="C1987" s="55"/>
      <c r="D1987" s="45"/>
      <c r="E1987" s="55"/>
      <c r="F1987" s="45"/>
      <c r="G1987" s="18"/>
      <c r="H1987" s="18"/>
      <c r="I1987" s="18"/>
      <c r="J1987" s="18"/>
      <c r="K1987" s="18"/>
    </row>
    <row r="1988" spans="1:11" ht="15" x14ac:dyDescent="0.2">
      <c r="A1988" s="24" t="s">
        <v>19</v>
      </c>
      <c r="B1988" s="17" t="s">
        <v>12</v>
      </c>
      <c r="C1988" s="45">
        <v>351</v>
      </c>
      <c r="D1988" s="45">
        <v>2297</v>
      </c>
      <c r="E1988" s="45">
        <v>388</v>
      </c>
      <c r="F1988" s="45">
        <v>2597</v>
      </c>
      <c r="G1988" s="18"/>
      <c r="H1988" s="18"/>
      <c r="I1988" s="18"/>
      <c r="J1988" s="18"/>
      <c r="K1988" s="18"/>
    </row>
    <row r="1989" spans="1:11" ht="15" x14ac:dyDescent="0.2">
      <c r="A1989" s="24"/>
      <c r="B1989" s="17" t="s">
        <v>13</v>
      </c>
      <c r="C1989" s="45">
        <v>348</v>
      </c>
      <c r="D1989" s="45">
        <v>2276</v>
      </c>
      <c r="E1989" s="45">
        <v>378</v>
      </c>
      <c r="F1989" s="45">
        <v>2413</v>
      </c>
      <c r="G1989" s="18"/>
      <c r="H1989" s="18"/>
      <c r="I1989" s="18"/>
      <c r="J1989" s="18"/>
      <c r="K1989" s="18"/>
    </row>
    <row r="1990" spans="1:11" ht="15" x14ac:dyDescent="0.2">
      <c r="A1990" s="24"/>
      <c r="B1990" s="17" t="s">
        <v>14</v>
      </c>
      <c r="C1990" s="45">
        <v>363</v>
      </c>
      <c r="D1990" s="45">
        <v>2094</v>
      </c>
      <c r="E1990" s="45">
        <v>321</v>
      </c>
      <c r="F1990" s="45">
        <v>1897</v>
      </c>
      <c r="G1990" s="18"/>
      <c r="H1990" s="18"/>
      <c r="I1990" s="18"/>
      <c r="J1990" s="18"/>
      <c r="K1990" s="18"/>
    </row>
    <row r="1991" spans="1:11" ht="15" x14ac:dyDescent="0.2">
      <c r="A1991" s="24"/>
      <c r="B1991" s="17"/>
      <c r="C1991" s="18"/>
      <c r="D1991" s="18"/>
      <c r="E1991" s="18"/>
      <c r="F1991" s="18"/>
      <c r="G1991" s="18"/>
      <c r="H1991" s="18"/>
      <c r="I1991" s="18"/>
      <c r="J1991" s="18"/>
      <c r="K1991" s="18"/>
    </row>
    <row r="1992" spans="1:11" ht="15.75" x14ac:dyDescent="0.25">
      <c r="A1992" s="24" t="s">
        <v>19</v>
      </c>
      <c r="B1992" s="16" t="s">
        <v>78</v>
      </c>
      <c r="C1992" s="55"/>
      <c r="D1992" s="45"/>
      <c r="E1992" s="55"/>
      <c r="F1992" s="45"/>
      <c r="G1992" s="18"/>
      <c r="H1992" s="18"/>
      <c r="I1992" s="18"/>
      <c r="J1992" s="18"/>
      <c r="K1992" s="18"/>
    </row>
    <row r="1993" spans="1:11" ht="15" x14ac:dyDescent="0.2">
      <c r="A1993" s="24">
        <v>2014</v>
      </c>
      <c r="B1993" s="17" t="s">
        <v>15</v>
      </c>
      <c r="C1993" s="45">
        <v>423</v>
      </c>
      <c r="D1993" s="45">
        <v>2627</v>
      </c>
      <c r="E1993" s="45">
        <v>412</v>
      </c>
      <c r="F1993" s="45">
        <v>2381</v>
      </c>
      <c r="G1993" s="18"/>
      <c r="H1993" s="18"/>
      <c r="I1993" s="18"/>
      <c r="J1993" s="18"/>
      <c r="K1993" s="18"/>
    </row>
    <row r="1994" spans="1:11" ht="15" x14ac:dyDescent="0.2">
      <c r="A1994" s="24"/>
      <c r="B1994" s="17" t="s">
        <v>16</v>
      </c>
      <c r="C1994" s="45">
        <v>406</v>
      </c>
      <c r="D1994" s="45">
        <v>2526</v>
      </c>
      <c r="E1994" s="45">
        <v>432</v>
      </c>
      <c r="F1994" s="45">
        <v>2608</v>
      </c>
      <c r="G1994" s="18"/>
      <c r="H1994" s="18"/>
      <c r="I1994" s="18"/>
      <c r="J1994" s="18"/>
      <c r="K1994" s="18"/>
    </row>
    <row r="1995" spans="1:11" ht="15" x14ac:dyDescent="0.2">
      <c r="A1995" s="24"/>
      <c r="B1995" s="17" t="s">
        <v>17</v>
      </c>
      <c r="C1995" s="45">
        <v>433</v>
      </c>
      <c r="D1995" s="45">
        <v>2492</v>
      </c>
      <c r="E1995" s="45">
        <v>485</v>
      </c>
      <c r="F1995" s="45">
        <v>2868</v>
      </c>
      <c r="G1995" s="18"/>
      <c r="H1995" s="18"/>
      <c r="I1995" s="18"/>
      <c r="J1995" s="18"/>
      <c r="K1995" s="18"/>
    </row>
    <row r="1996" spans="1:11" ht="15" x14ac:dyDescent="0.2">
      <c r="A1996" s="24"/>
      <c r="B1996" s="17"/>
      <c r="C1996" s="18"/>
      <c r="D1996" s="18"/>
      <c r="E1996" s="18"/>
      <c r="F1996" s="18"/>
      <c r="G1996" s="18"/>
      <c r="H1996" s="18"/>
      <c r="I1996" s="18"/>
      <c r="J1996" s="18"/>
      <c r="K1996" s="18"/>
    </row>
    <row r="1997" spans="1:11" ht="15.75" x14ac:dyDescent="0.25">
      <c r="A1997" s="24" t="s">
        <v>19</v>
      </c>
      <c r="B1997" s="16" t="s">
        <v>79</v>
      </c>
      <c r="C1997" s="55"/>
      <c r="D1997" s="45"/>
      <c r="E1997" s="55"/>
      <c r="F1997" s="45"/>
      <c r="G1997" s="18"/>
      <c r="H1997" s="18"/>
      <c r="I1997" s="18"/>
      <c r="J1997" s="18"/>
      <c r="K1997" s="18"/>
    </row>
    <row r="1998" spans="1:11" ht="15" x14ac:dyDescent="0.2">
      <c r="A1998" s="24" t="s">
        <v>19</v>
      </c>
      <c r="B1998" s="17" t="s">
        <v>20</v>
      </c>
      <c r="C1998" s="45">
        <v>392</v>
      </c>
      <c r="D1998" s="45">
        <v>2618</v>
      </c>
      <c r="E1998" s="45">
        <v>439</v>
      </c>
      <c r="F1998" s="45">
        <v>2796</v>
      </c>
      <c r="G1998" s="18"/>
      <c r="H1998" s="18"/>
      <c r="I1998" s="18"/>
      <c r="J1998" s="18"/>
      <c r="K1998" s="18"/>
    </row>
    <row r="1999" spans="1:11" ht="15" x14ac:dyDescent="0.2">
      <c r="A1999" s="24"/>
      <c r="B1999" s="17" t="s">
        <v>21</v>
      </c>
      <c r="C1999" s="45">
        <v>317</v>
      </c>
      <c r="D1999" s="45">
        <v>2197</v>
      </c>
      <c r="E1999" s="45">
        <v>389</v>
      </c>
      <c r="F1999" s="45">
        <v>2666</v>
      </c>
      <c r="G1999" s="18"/>
      <c r="H1999" s="18"/>
      <c r="I1999" s="18"/>
      <c r="J1999" s="18"/>
      <c r="K1999" s="18"/>
    </row>
    <row r="2000" spans="1:11" ht="15" x14ac:dyDescent="0.2">
      <c r="A2000" s="24"/>
      <c r="B2000" s="17" t="s">
        <v>22</v>
      </c>
      <c r="C2000" s="45">
        <v>221</v>
      </c>
      <c r="D2000" s="45">
        <v>1798</v>
      </c>
      <c r="E2000" s="45">
        <v>290</v>
      </c>
      <c r="F2000" s="45">
        <v>2096</v>
      </c>
      <c r="G2000" s="18"/>
      <c r="H2000" s="18"/>
      <c r="I2000" s="18"/>
      <c r="J2000" s="18"/>
      <c r="K2000" s="18"/>
    </row>
    <row r="2001" spans="1:11" ht="15" x14ac:dyDescent="0.2">
      <c r="A2001" s="24"/>
      <c r="B2001" s="17"/>
      <c r="C2001" s="18"/>
      <c r="D2001" s="18"/>
      <c r="E2001" s="18"/>
      <c r="F2001" s="18"/>
      <c r="G2001" s="18"/>
      <c r="H2001" s="18"/>
      <c r="I2001" s="18"/>
      <c r="J2001" s="18"/>
      <c r="K2001" s="18"/>
    </row>
    <row r="2002" spans="1:11" ht="15.75" x14ac:dyDescent="0.25">
      <c r="A2002" s="24" t="s">
        <v>19</v>
      </c>
      <c r="B2002" s="16" t="s">
        <v>80</v>
      </c>
      <c r="C2002" s="55"/>
      <c r="D2002" s="45"/>
      <c r="E2002" s="55"/>
      <c r="F2002" s="45"/>
      <c r="G2002" s="18"/>
      <c r="H2002" s="18"/>
      <c r="I2002" s="18"/>
      <c r="J2002" s="18"/>
      <c r="K2002" s="18"/>
    </row>
    <row r="2003" spans="1:11" ht="15" x14ac:dyDescent="0.2">
      <c r="A2003" s="24" t="s">
        <v>19</v>
      </c>
      <c r="B2003" s="17" t="s">
        <v>24</v>
      </c>
      <c r="C2003" s="45">
        <v>237</v>
      </c>
      <c r="D2003" s="45">
        <v>1921</v>
      </c>
      <c r="E2003" s="45">
        <v>343</v>
      </c>
      <c r="F2003" s="45">
        <v>2354</v>
      </c>
      <c r="G2003" s="18"/>
      <c r="H2003" s="18"/>
      <c r="I2003" s="18"/>
      <c r="J2003" s="18"/>
      <c r="K2003" s="18"/>
    </row>
    <row r="2004" spans="1:11" ht="15" x14ac:dyDescent="0.2">
      <c r="A2004" s="24"/>
      <c r="B2004" s="17" t="s">
        <v>25</v>
      </c>
      <c r="C2004" s="45">
        <v>301</v>
      </c>
      <c r="D2004" s="45">
        <v>2274</v>
      </c>
      <c r="E2004" s="45">
        <v>371</v>
      </c>
      <c r="F2004" s="45">
        <v>2554</v>
      </c>
      <c r="G2004" s="18"/>
      <c r="H2004" s="18"/>
      <c r="I2004" s="18"/>
      <c r="J2004" s="18"/>
      <c r="K2004" s="18"/>
    </row>
    <row r="2005" spans="1:11" ht="15" x14ac:dyDescent="0.2">
      <c r="A2005" s="24"/>
      <c r="B2005" s="17" t="s">
        <v>11</v>
      </c>
      <c r="C2005" s="45">
        <v>307</v>
      </c>
      <c r="D2005" s="45">
        <v>2029</v>
      </c>
      <c r="E2005" s="45">
        <v>336</v>
      </c>
      <c r="F2005" s="45">
        <v>2168</v>
      </c>
      <c r="G2005" s="18"/>
      <c r="H2005" s="18"/>
      <c r="I2005" s="18"/>
      <c r="J2005" s="18"/>
      <c r="K2005" s="18"/>
    </row>
    <row r="2006" spans="1:11" ht="15" x14ac:dyDescent="0.2">
      <c r="A2006" s="24"/>
      <c r="B2006" s="17"/>
      <c r="C2006" s="18"/>
      <c r="D2006" s="18"/>
      <c r="E2006" s="18"/>
      <c r="F2006" s="18"/>
      <c r="G2006" s="18"/>
      <c r="H2006" s="18"/>
      <c r="I2006" s="18"/>
      <c r="J2006" s="18"/>
      <c r="K2006" s="18"/>
    </row>
    <row r="2007" spans="1:11" ht="15.75" x14ac:dyDescent="0.25">
      <c r="A2007" s="24" t="s">
        <v>19</v>
      </c>
      <c r="B2007" s="16" t="s">
        <v>81</v>
      </c>
      <c r="C2007" s="55"/>
      <c r="D2007" s="45"/>
      <c r="E2007" s="55"/>
      <c r="F2007" s="45"/>
      <c r="G2007" s="18"/>
      <c r="H2007" s="18"/>
      <c r="I2007" s="18"/>
      <c r="J2007" s="18"/>
      <c r="K2007" s="18"/>
    </row>
    <row r="2008" spans="1:11" ht="15" x14ac:dyDescent="0.2">
      <c r="A2008" s="24" t="s">
        <v>19</v>
      </c>
      <c r="B2008" s="17" t="s">
        <v>12</v>
      </c>
      <c r="C2008" s="45">
        <v>310</v>
      </c>
      <c r="D2008" s="45">
        <v>1976</v>
      </c>
      <c r="E2008" s="45">
        <v>322</v>
      </c>
      <c r="F2008" s="45">
        <v>2220</v>
      </c>
      <c r="G2008" s="18"/>
      <c r="H2008" s="18"/>
      <c r="I2008" s="18"/>
      <c r="J2008" s="18"/>
      <c r="K2008" s="18"/>
    </row>
    <row r="2009" spans="1:11" ht="15" x14ac:dyDescent="0.2">
      <c r="A2009" s="24"/>
      <c r="B2009" s="17" t="s">
        <v>13</v>
      </c>
      <c r="C2009" s="45">
        <v>363</v>
      </c>
      <c r="D2009" s="45">
        <v>2001</v>
      </c>
      <c r="E2009" s="45">
        <v>393</v>
      </c>
      <c r="F2009" s="45">
        <v>2239</v>
      </c>
      <c r="G2009" s="18"/>
      <c r="H2009" s="18"/>
      <c r="I2009" s="18"/>
      <c r="J2009" s="18"/>
      <c r="K2009" s="18"/>
    </row>
    <row r="2010" spans="1:11" ht="15" x14ac:dyDescent="0.2">
      <c r="A2010" s="24"/>
      <c r="B2010" s="17" t="s">
        <v>14</v>
      </c>
      <c r="C2010" s="45">
        <v>391</v>
      </c>
      <c r="D2010" s="45">
        <v>2339</v>
      </c>
      <c r="E2010" s="45">
        <v>379</v>
      </c>
      <c r="F2010" s="45">
        <v>2346</v>
      </c>
      <c r="G2010" s="18"/>
      <c r="H2010" s="18"/>
      <c r="I2010" s="18"/>
      <c r="J2010" s="18"/>
      <c r="K2010" s="18"/>
    </row>
    <row r="2011" spans="1:11" ht="15" x14ac:dyDescent="0.2">
      <c r="A2011" s="24"/>
      <c r="B2011" s="17"/>
      <c r="C2011" s="18"/>
      <c r="D2011" s="18"/>
      <c r="E2011" s="18"/>
      <c r="F2011" s="18"/>
      <c r="G2011" s="18"/>
      <c r="H2011" s="18"/>
      <c r="I2011" s="18"/>
      <c r="J2011" s="18"/>
      <c r="K2011" s="18"/>
    </row>
    <row r="2012" spans="1:11" ht="15.75" x14ac:dyDescent="0.25">
      <c r="A2012" s="24" t="s">
        <v>19</v>
      </c>
      <c r="B2012" s="16" t="s">
        <v>82</v>
      </c>
      <c r="C2012" s="55"/>
      <c r="D2012" s="45"/>
      <c r="E2012" s="55"/>
      <c r="F2012" s="45"/>
      <c r="G2012" s="18"/>
      <c r="H2012" s="18"/>
      <c r="I2012" s="18"/>
      <c r="J2012" s="18"/>
      <c r="K2012" s="18"/>
    </row>
    <row r="2013" spans="1:11" ht="15" x14ac:dyDescent="0.2">
      <c r="A2013" s="24">
        <v>2015</v>
      </c>
      <c r="B2013" s="17" t="s">
        <v>15</v>
      </c>
      <c r="C2013" s="45">
        <v>393</v>
      </c>
      <c r="D2013" s="45">
        <v>2277</v>
      </c>
      <c r="E2013" s="45">
        <v>425</v>
      </c>
      <c r="F2013" s="45">
        <v>2340</v>
      </c>
      <c r="G2013" s="18"/>
      <c r="H2013" s="18"/>
      <c r="I2013" s="18"/>
      <c r="J2013" s="18"/>
      <c r="K2013" s="18"/>
    </row>
    <row r="2014" spans="1:11" ht="15" x14ac:dyDescent="0.2">
      <c r="A2014" s="24"/>
      <c r="B2014" s="17" t="s">
        <v>16</v>
      </c>
      <c r="C2014" s="45">
        <v>335</v>
      </c>
      <c r="D2014" s="45">
        <v>2209</v>
      </c>
      <c r="E2014" s="45">
        <v>368</v>
      </c>
      <c r="F2014" s="45">
        <v>2239</v>
      </c>
      <c r="G2014" s="18"/>
      <c r="H2014" s="18"/>
      <c r="I2014" s="18"/>
      <c r="J2014" s="18"/>
      <c r="K2014" s="18"/>
    </row>
    <row r="2015" spans="1:11" ht="15" x14ac:dyDescent="0.2">
      <c r="A2015" s="24"/>
      <c r="B2015" s="17" t="s">
        <v>17</v>
      </c>
      <c r="C2015" s="45">
        <v>353</v>
      </c>
      <c r="D2015" s="45">
        <v>2343</v>
      </c>
      <c r="E2015" s="45">
        <v>427</v>
      </c>
      <c r="F2015" s="45">
        <v>2346</v>
      </c>
      <c r="G2015" s="18"/>
      <c r="H2015" s="18"/>
      <c r="I2015" s="18"/>
      <c r="J2015" s="18"/>
      <c r="K2015" s="18"/>
    </row>
    <row r="2016" spans="1:11" ht="15" x14ac:dyDescent="0.2">
      <c r="A2016" s="24"/>
      <c r="B2016" s="17"/>
      <c r="C2016" s="18"/>
      <c r="D2016" s="18"/>
      <c r="E2016" s="18"/>
      <c r="F2016" s="18"/>
      <c r="G2016" s="18"/>
      <c r="H2016" s="18"/>
      <c r="I2016" s="18"/>
      <c r="J2016" s="18"/>
      <c r="K2016" s="18"/>
    </row>
    <row r="2017" spans="1:11" ht="15.75" x14ac:dyDescent="0.25">
      <c r="A2017" s="24" t="s">
        <v>19</v>
      </c>
      <c r="B2017" s="16" t="s">
        <v>83</v>
      </c>
      <c r="C2017" s="55"/>
      <c r="D2017" s="45"/>
      <c r="E2017" s="55"/>
      <c r="F2017" s="45"/>
      <c r="G2017" s="18"/>
      <c r="H2017" s="18"/>
      <c r="I2017" s="18"/>
      <c r="J2017" s="18"/>
      <c r="K2017" s="18"/>
    </row>
    <row r="2018" spans="1:11" ht="15" x14ac:dyDescent="0.2">
      <c r="A2018" s="24" t="s">
        <v>19</v>
      </c>
      <c r="B2018" s="17" t="s">
        <v>20</v>
      </c>
      <c r="C2018" s="45">
        <f>307</f>
        <v>307</v>
      </c>
      <c r="D2018" s="45">
        <v>1914</v>
      </c>
      <c r="E2018" s="45">
        <v>330</v>
      </c>
      <c r="F2018" s="45">
        <v>2145</v>
      </c>
      <c r="G2018" s="18"/>
      <c r="H2018" s="18"/>
      <c r="I2018" s="18"/>
      <c r="J2018" s="18"/>
      <c r="K2018" s="18"/>
    </row>
    <row r="2019" spans="1:11" ht="15" x14ac:dyDescent="0.2">
      <c r="A2019" s="24"/>
      <c r="B2019" s="17" t="s">
        <v>21</v>
      </c>
      <c r="C2019" s="45">
        <v>291</v>
      </c>
      <c r="D2019" s="45">
        <v>2090</v>
      </c>
      <c r="E2019" s="45">
        <v>393</v>
      </c>
      <c r="F2019" s="45">
        <v>2574</v>
      </c>
      <c r="G2019" s="18"/>
      <c r="H2019" s="18"/>
      <c r="I2019" s="18"/>
      <c r="J2019" s="18"/>
      <c r="K2019" s="18"/>
    </row>
    <row r="2020" spans="1:11" ht="15" x14ac:dyDescent="0.2">
      <c r="A2020" s="24"/>
      <c r="B2020" s="17" t="s">
        <v>22</v>
      </c>
      <c r="C2020" s="45">
        <v>248</v>
      </c>
      <c r="D2020" s="45">
        <v>1863</v>
      </c>
      <c r="E2020" s="45">
        <v>365</v>
      </c>
      <c r="F2020" s="45">
        <v>2399</v>
      </c>
      <c r="G2020" s="18"/>
      <c r="H2020" s="18"/>
      <c r="I2020" s="18"/>
      <c r="J2020" s="18"/>
      <c r="K2020" s="18"/>
    </row>
    <row r="2021" spans="1:11" ht="15.75" x14ac:dyDescent="0.25">
      <c r="A2021" s="82" t="s">
        <v>114</v>
      </c>
      <c r="B2021" s="17"/>
      <c r="C2021" s="18"/>
      <c r="D2021" s="18"/>
      <c r="E2021" s="18"/>
      <c r="F2021" s="18"/>
      <c r="G2021" s="18"/>
      <c r="H2021" s="18"/>
      <c r="I2021" s="18"/>
      <c r="J2021" s="18"/>
      <c r="K2021" s="18"/>
    </row>
    <row r="2022" spans="1:11" ht="27.75" x14ac:dyDescent="0.55000000000000004">
      <c r="A2022" s="24"/>
      <c r="B2022" s="17"/>
      <c r="C2022" s="105" t="s">
        <v>163</v>
      </c>
      <c r="D2022" s="105"/>
      <c r="E2022" s="105" t="s">
        <v>164</v>
      </c>
      <c r="F2022" s="105"/>
      <c r="G2022" s="45"/>
      <c r="H2022" s="45"/>
      <c r="I2022" s="45"/>
      <c r="J2022" s="45"/>
      <c r="K2022" s="18"/>
    </row>
    <row r="2023" spans="1:11" ht="15.75" x14ac:dyDescent="0.25">
      <c r="A2023" s="21" t="s">
        <v>8</v>
      </c>
      <c r="B2023" s="16" t="s">
        <v>32</v>
      </c>
      <c r="C2023" s="40" t="s">
        <v>108</v>
      </c>
      <c r="D2023" s="40" t="s">
        <v>117</v>
      </c>
      <c r="E2023" s="40" t="s">
        <v>108</v>
      </c>
      <c r="F2023" s="40" t="s">
        <v>117</v>
      </c>
      <c r="G2023" s="45"/>
      <c r="H2023" s="45"/>
      <c r="I2023" s="45"/>
      <c r="J2023" s="45"/>
      <c r="K2023" s="18"/>
    </row>
    <row r="2024" spans="1:11" ht="15" x14ac:dyDescent="0.2">
      <c r="A2024" s="24"/>
      <c r="B2024" s="17"/>
      <c r="C2024" s="45"/>
      <c r="D2024" s="45"/>
      <c r="E2024" s="45"/>
      <c r="F2024" s="45"/>
      <c r="G2024" s="18"/>
      <c r="H2024" s="18"/>
      <c r="I2024" s="18"/>
      <c r="J2024" s="18"/>
      <c r="K2024" s="18"/>
    </row>
    <row r="2025" spans="1:11" ht="15.75" x14ac:dyDescent="0.25">
      <c r="A2025" s="24" t="s">
        <v>19</v>
      </c>
      <c r="B2025" s="16" t="s">
        <v>84</v>
      </c>
      <c r="C2025" s="55"/>
      <c r="D2025" s="45"/>
      <c r="E2025" s="55"/>
      <c r="F2025" s="45"/>
      <c r="G2025" s="18"/>
      <c r="H2025" s="18"/>
      <c r="I2025" s="18"/>
      <c r="J2025" s="18"/>
      <c r="K2025" s="18"/>
    </row>
    <row r="2026" spans="1:11" ht="15" x14ac:dyDescent="0.2">
      <c r="A2026" s="24">
        <v>2015</v>
      </c>
      <c r="B2026" s="17" t="s">
        <v>24</v>
      </c>
      <c r="C2026" s="45">
        <v>261</v>
      </c>
      <c r="D2026" s="45">
        <v>1856</v>
      </c>
      <c r="E2026" s="45">
        <v>331</v>
      </c>
      <c r="F2026" s="45">
        <v>2247</v>
      </c>
      <c r="G2026" s="18"/>
      <c r="H2026" s="18"/>
      <c r="I2026" s="18"/>
      <c r="J2026" s="18"/>
      <c r="K2026" s="18"/>
    </row>
    <row r="2027" spans="1:11" ht="15" x14ac:dyDescent="0.2">
      <c r="A2027" s="24"/>
      <c r="B2027" s="17" t="s">
        <v>25</v>
      </c>
      <c r="C2027" s="45">
        <v>249</v>
      </c>
      <c r="D2027" s="45">
        <v>2076</v>
      </c>
      <c r="E2027" s="45">
        <v>254</v>
      </c>
      <c r="F2027" s="45">
        <v>2366</v>
      </c>
      <c r="G2027" s="18"/>
      <c r="H2027" s="18"/>
      <c r="I2027" s="18"/>
      <c r="J2027" s="18"/>
      <c r="K2027" s="18"/>
    </row>
    <row r="2028" spans="1:11" ht="15" x14ac:dyDescent="0.2">
      <c r="A2028" s="24"/>
      <c r="B2028" s="17" t="s">
        <v>11</v>
      </c>
      <c r="C2028" s="45">
        <v>280</v>
      </c>
      <c r="D2028" s="45">
        <v>2103</v>
      </c>
      <c r="E2028" s="45">
        <v>345</v>
      </c>
      <c r="F2028" s="45">
        <v>2742</v>
      </c>
      <c r="G2028" s="18"/>
      <c r="H2028" s="18"/>
      <c r="I2028" s="18"/>
      <c r="J2028" s="18"/>
      <c r="K2028" s="18"/>
    </row>
    <row r="2029" spans="1:11" ht="15" x14ac:dyDescent="0.2">
      <c r="A2029" s="24"/>
      <c r="B2029" s="17"/>
      <c r="C2029" s="18"/>
      <c r="D2029" s="18"/>
      <c r="E2029" s="18"/>
      <c r="F2029" s="18"/>
      <c r="G2029" s="18"/>
      <c r="H2029" s="18"/>
      <c r="I2029" s="18"/>
      <c r="J2029" s="18"/>
      <c r="K2029" s="18"/>
    </row>
    <row r="2030" spans="1:11" ht="15.75" x14ac:dyDescent="0.25">
      <c r="A2030" s="24" t="s">
        <v>19</v>
      </c>
      <c r="B2030" s="16" t="s">
        <v>85</v>
      </c>
      <c r="C2030" s="55"/>
      <c r="D2030" s="45"/>
      <c r="E2030" s="55"/>
      <c r="F2030" s="45"/>
      <c r="G2030" s="18"/>
      <c r="H2030" s="18"/>
      <c r="I2030" s="18"/>
      <c r="J2030" s="18"/>
      <c r="K2030" s="18"/>
    </row>
    <row r="2031" spans="1:11" ht="15" x14ac:dyDescent="0.2">
      <c r="A2031" s="24" t="s">
        <v>19</v>
      </c>
      <c r="B2031" s="17" t="s">
        <v>12</v>
      </c>
      <c r="C2031" s="45">
        <v>275</v>
      </c>
      <c r="D2031" s="45">
        <f>2136+9</f>
        <v>2145</v>
      </c>
      <c r="E2031" s="45">
        <v>337</v>
      </c>
      <c r="F2031" s="45">
        <f>2483+9</f>
        <v>2492</v>
      </c>
      <c r="G2031" s="18"/>
      <c r="H2031" s="18"/>
      <c r="I2031" s="18"/>
      <c r="J2031" s="18"/>
      <c r="K2031" s="18"/>
    </row>
    <row r="2032" spans="1:11" ht="15" x14ac:dyDescent="0.2">
      <c r="A2032" s="24"/>
      <c r="B2032" s="17" t="s">
        <v>13</v>
      </c>
      <c r="C2032" s="45">
        <v>294</v>
      </c>
      <c r="D2032" s="45">
        <f>2083+7</f>
        <v>2090</v>
      </c>
      <c r="E2032" s="45">
        <v>292</v>
      </c>
      <c r="F2032" s="45">
        <f>2202+12</f>
        <v>2214</v>
      </c>
      <c r="G2032" s="18"/>
      <c r="H2032" s="18"/>
      <c r="I2032" s="18"/>
      <c r="J2032" s="18"/>
      <c r="K2032" s="18"/>
    </row>
    <row r="2033" spans="1:11" ht="15" x14ac:dyDescent="0.2">
      <c r="A2033" s="24"/>
      <c r="B2033" s="17" t="s">
        <v>14</v>
      </c>
      <c r="C2033" s="45">
        <v>296</v>
      </c>
      <c r="D2033" s="45">
        <f>2034+5</f>
        <v>2039</v>
      </c>
      <c r="E2033" s="45">
        <v>305</v>
      </c>
      <c r="F2033" s="45">
        <f>2229+3</f>
        <v>2232</v>
      </c>
      <c r="G2033" s="18"/>
      <c r="H2033" s="18"/>
      <c r="I2033" s="18"/>
      <c r="J2033" s="18"/>
      <c r="K2033" s="18"/>
    </row>
    <row r="2034" spans="1:11" ht="15" x14ac:dyDescent="0.2">
      <c r="A2034" s="24"/>
      <c r="B2034" s="17"/>
      <c r="C2034" s="18"/>
      <c r="D2034" s="18"/>
      <c r="E2034" s="18"/>
      <c r="F2034" s="18"/>
      <c r="G2034" s="18"/>
      <c r="H2034" s="18"/>
      <c r="I2034" s="18"/>
      <c r="J2034" s="18"/>
      <c r="K2034" s="18"/>
    </row>
    <row r="2035" spans="1:11" ht="15.75" x14ac:dyDescent="0.25">
      <c r="A2035" s="24" t="s">
        <v>19</v>
      </c>
      <c r="B2035" s="16" t="s">
        <v>86</v>
      </c>
      <c r="C2035" s="55"/>
      <c r="D2035" s="45"/>
      <c r="E2035" s="55"/>
      <c r="F2035" s="45"/>
      <c r="G2035" s="18"/>
      <c r="H2035" s="18"/>
      <c r="I2035" s="18"/>
      <c r="J2035" s="18"/>
      <c r="K2035" s="18"/>
    </row>
    <row r="2036" spans="1:11" ht="15" x14ac:dyDescent="0.2">
      <c r="A2036" s="24">
        <v>2016</v>
      </c>
      <c r="B2036" s="17" t="s">
        <v>15</v>
      </c>
      <c r="C2036" s="45">
        <v>318</v>
      </c>
      <c r="D2036" s="45">
        <f>2104+4</f>
        <v>2108</v>
      </c>
      <c r="E2036" s="45">
        <v>322</v>
      </c>
      <c r="F2036" s="45">
        <f>1986+4</f>
        <v>1990</v>
      </c>
      <c r="G2036" s="18"/>
      <c r="H2036" s="18"/>
      <c r="I2036" s="18"/>
      <c r="J2036" s="18"/>
      <c r="K2036" s="18"/>
    </row>
    <row r="2037" spans="1:11" ht="15" x14ac:dyDescent="0.2">
      <c r="A2037" s="24"/>
      <c r="B2037" s="17" t="s">
        <v>16</v>
      </c>
      <c r="C2037" s="45">
        <v>289</v>
      </c>
      <c r="D2037" s="45">
        <f>2047+5</f>
        <v>2052</v>
      </c>
      <c r="E2037" s="45">
        <v>351</v>
      </c>
      <c r="F2037" s="45">
        <f>2331+7</f>
        <v>2338</v>
      </c>
      <c r="G2037" s="18"/>
      <c r="H2037" s="18"/>
      <c r="I2037" s="18"/>
      <c r="J2037" s="18"/>
      <c r="K2037" s="18"/>
    </row>
    <row r="2038" spans="1:11" ht="15" x14ac:dyDescent="0.2">
      <c r="A2038" s="24"/>
      <c r="B2038" s="17" t="s">
        <v>17</v>
      </c>
      <c r="C2038" s="45">
        <v>329</v>
      </c>
      <c r="D2038" s="45">
        <f>2256+3</f>
        <v>2259</v>
      </c>
      <c r="E2038" s="45">
        <v>370</v>
      </c>
      <c r="F2038" s="45">
        <f>2553+4</f>
        <v>2557</v>
      </c>
      <c r="G2038" s="18"/>
      <c r="H2038" s="18"/>
      <c r="I2038" s="18"/>
      <c r="J2038" s="18"/>
      <c r="K2038" s="18"/>
    </row>
    <row r="2039" spans="1:11" ht="15" x14ac:dyDescent="0.2">
      <c r="A2039" s="24"/>
      <c r="B2039" s="17"/>
      <c r="C2039" s="18"/>
      <c r="D2039" s="18"/>
      <c r="E2039" s="18"/>
      <c r="F2039" s="18"/>
      <c r="G2039" s="18"/>
      <c r="H2039" s="18"/>
      <c r="I2039" s="18"/>
      <c r="J2039" s="18"/>
      <c r="K2039" s="18"/>
    </row>
    <row r="2040" spans="1:11" ht="15.75" x14ac:dyDescent="0.25">
      <c r="A2040" s="24" t="s">
        <v>19</v>
      </c>
      <c r="B2040" s="16" t="s">
        <v>87</v>
      </c>
      <c r="C2040" s="55"/>
      <c r="D2040" s="45"/>
      <c r="E2040" s="55"/>
      <c r="F2040" s="45"/>
      <c r="G2040" s="18"/>
      <c r="H2040" s="18"/>
      <c r="I2040" s="18"/>
      <c r="J2040" s="18"/>
      <c r="K2040" s="18"/>
    </row>
    <row r="2041" spans="1:11" ht="15" x14ac:dyDescent="0.2">
      <c r="A2041" s="24" t="s">
        <v>19</v>
      </c>
      <c r="B2041" s="17" t="s">
        <v>20</v>
      </c>
      <c r="C2041" s="45">
        <v>306</v>
      </c>
      <c r="D2041" s="45">
        <f>6+2260+2</f>
        <v>2268</v>
      </c>
      <c r="E2041" s="45">
        <v>367</v>
      </c>
      <c r="F2041" s="45">
        <f>6+2585+4</f>
        <v>2595</v>
      </c>
      <c r="G2041" s="18"/>
      <c r="H2041" s="18"/>
      <c r="I2041" s="18"/>
      <c r="J2041" s="18"/>
      <c r="K2041" s="18"/>
    </row>
    <row r="2042" spans="1:11" ht="15" x14ac:dyDescent="0.2">
      <c r="A2042" s="24"/>
      <c r="B2042" s="17" t="s">
        <v>21</v>
      </c>
      <c r="C2042" s="45">
        <v>283</v>
      </c>
      <c r="D2042" s="45">
        <f>2+2064+3</f>
        <v>2069</v>
      </c>
      <c r="E2042" s="45">
        <v>355</v>
      </c>
      <c r="F2042" s="45">
        <f>3+2352+3</f>
        <v>2358</v>
      </c>
      <c r="G2042" s="18"/>
      <c r="H2042" s="18"/>
      <c r="I2042" s="18"/>
      <c r="J2042" s="18"/>
      <c r="K2042" s="18"/>
    </row>
    <row r="2043" spans="1:11" ht="15" x14ac:dyDescent="0.2">
      <c r="A2043" s="24"/>
      <c r="B2043" s="17" t="s">
        <v>22</v>
      </c>
      <c r="C2043" s="45">
        <v>234</v>
      </c>
      <c r="D2043" s="45">
        <f>5+1895</f>
        <v>1900</v>
      </c>
      <c r="E2043" s="45">
        <v>310</v>
      </c>
      <c r="F2043" s="45">
        <f>3+2240</f>
        <v>2243</v>
      </c>
      <c r="G2043" s="18"/>
      <c r="H2043" s="18"/>
      <c r="I2043" s="18"/>
      <c r="J2043" s="18"/>
      <c r="K2043" s="18"/>
    </row>
    <row r="2044" spans="1:11" ht="15" x14ac:dyDescent="0.2">
      <c r="A2044" s="24"/>
      <c r="B2044" s="17"/>
      <c r="C2044" s="18"/>
      <c r="D2044" s="18"/>
      <c r="E2044" s="18"/>
      <c r="F2044" s="18"/>
      <c r="G2044" s="18"/>
      <c r="H2044" s="18"/>
      <c r="I2044" s="18"/>
      <c r="J2044" s="18"/>
      <c r="K2044" s="18"/>
    </row>
    <row r="2045" spans="1:11" ht="15.75" x14ac:dyDescent="0.25">
      <c r="A2045" s="24" t="s">
        <v>19</v>
      </c>
      <c r="B2045" s="16" t="s">
        <v>88</v>
      </c>
      <c r="C2045" s="55"/>
      <c r="D2045" s="45"/>
      <c r="E2045" s="55"/>
      <c r="F2045" s="45"/>
      <c r="G2045" s="18"/>
      <c r="H2045" s="18"/>
      <c r="I2045" s="18"/>
      <c r="J2045" s="18"/>
      <c r="K2045" s="18"/>
    </row>
    <row r="2046" spans="1:11" ht="15" x14ac:dyDescent="0.2">
      <c r="A2046" s="24" t="s">
        <v>19</v>
      </c>
      <c r="B2046" s="17" t="s">
        <v>24</v>
      </c>
      <c r="C2046" s="45">
        <v>221</v>
      </c>
      <c r="D2046" s="45">
        <f>1865+2+3</f>
        <v>1870</v>
      </c>
      <c r="E2046" s="45">
        <v>300</v>
      </c>
      <c r="F2046" s="45">
        <f>2150+4+2</f>
        <v>2156</v>
      </c>
      <c r="G2046" s="18"/>
      <c r="H2046" s="18"/>
      <c r="I2046" s="18"/>
      <c r="J2046" s="18"/>
      <c r="K2046" s="18"/>
    </row>
    <row r="2047" spans="1:11" ht="15" x14ac:dyDescent="0.2">
      <c r="A2047" s="24"/>
      <c r="B2047" s="17" t="s">
        <v>25</v>
      </c>
      <c r="C2047" s="45">
        <v>218</v>
      </c>
      <c r="D2047" s="45">
        <f>2079+1+7</f>
        <v>2087</v>
      </c>
      <c r="E2047" s="45">
        <v>300</v>
      </c>
      <c r="F2047" s="45">
        <f>2210+1+3</f>
        <v>2214</v>
      </c>
      <c r="G2047" s="18"/>
      <c r="H2047" s="18"/>
      <c r="I2047" s="18"/>
      <c r="J2047" s="18"/>
      <c r="K2047" s="18"/>
    </row>
    <row r="2048" spans="1:11" ht="15" x14ac:dyDescent="0.2">
      <c r="A2048" s="24"/>
      <c r="B2048" s="17" t="s">
        <v>11</v>
      </c>
      <c r="C2048" s="45">
        <v>244</v>
      </c>
      <c r="D2048" s="45">
        <f>1995+1+4</f>
        <v>2000</v>
      </c>
      <c r="E2048" s="45">
        <v>282</v>
      </c>
      <c r="F2048" s="45">
        <f>2155+1+5</f>
        <v>2161</v>
      </c>
      <c r="G2048" s="18"/>
      <c r="H2048" s="18"/>
      <c r="I2048" s="18"/>
      <c r="J2048" s="18"/>
      <c r="K2048" s="18"/>
    </row>
    <row r="2049" spans="1:11" ht="15" x14ac:dyDescent="0.2">
      <c r="A2049" s="24"/>
      <c r="B2049" s="17"/>
      <c r="C2049" s="18"/>
      <c r="D2049" s="18"/>
      <c r="E2049" s="18"/>
      <c r="F2049" s="18"/>
      <c r="G2049" s="18"/>
      <c r="H2049" s="18"/>
      <c r="I2049" s="18"/>
      <c r="J2049" s="18"/>
      <c r="K2049" s="18"/>
    </row>
    <row r="2050" spans="1:11" ht="15.75" x14ac:dyDescent="0.25">
      <c r="A2050" s="24" t="s">
        <v>19</v>
      </c>
      <c r="B2050" s="16" t="s">
        <v>89</v>
      </c>
      <c r="C2050" s="55"/>
      <c r="D2050" s="45"/>
      <c r="E2050" s="55"/>
      <c r="F2050" s="45"/>
      <c r="G2050" s="18"/>
      <c r="H2050" s="18"/>
      <c r="I2050" s="18"/>
      <c r="J2050" s="18"/>
      <c r="K2050" s="18"/>
    </row>
    <row r="2051" spans="1:11" ht="15" x14ac:dyDescent="0.2">
      <c r="A2051" s="24" t="s">
        <v>19</v>
      </c>
      <c r="B2051" s="17" t="s">
        <v>12</v>
      </c>
      <c r="C2051" s="45">
        <v>307</v>
      </c>
      <c r="D2051" s="45">
        <f>12+2148+2</f>
        <v>2162</v>
      </c>
      <c r="E2051" s="45">
        <v>334</v>
      </c>
      <c r="F2051" s="45">
        <f>10+2349+3</f>
        <v>2362</v>
      </c>
      <c r="G2051" s="18"/>
      <c r="H2051" s="18"/>
      <c r="I2051" s="18"/>
      <c r="J2051" s="18"/>
      <c r="K2051" s="18"/>
    </row>
    <row r="2052" spans="1:11" ht="15" x14ac:dyDescent="0.2">
      <c r="A2052" s="24"/>
      <c r="B2052" s="17" t="s">
        <v>13</v>
      </c>
      <c r="C2052" s="45">
        <v>250</v>
      </c>
      <c r="D2052" s="45">
        <f>8+2007+3</f>
        <v>2018</v>
      </c>
      <c r="E2052" s="45">
        <v>301</v>
      </c>
      <c r="F2052" s="45">
        <f>5+2158+4</f>
        <v>2167</v>
      </c>
      <c r="G2052" s="18"/>
      <c r="H2052" s="18"/>
      <c r="I2052" s="18"/>
      <c r="J2052" s="18"/>
      <c r="K2052" s="18"/>
    </row>
    <row r="2053" spans="1:11" ht="15" x14ac:dyDescent="0.2">
      <c r="A2053" s="24"/>
      <c r="B2053" s="17" t="s">
        <v>14</v>
      </c>
      <c r="C2053" s="45">
        <v>271</v>
      </c>
      <c r="D2053" s="45">
        <f>9+2174+2</f>
        <v>2185</v>
      </c>
      <c r="E2053" s="45">
        <v>308</v>
      </c>
      <c r="F2053" s="45">
        <f>5+2115+5</f>
        <v>2125</v>
      </c>
      <c r="G2053" s="18"/>
      <c r="H2053" s="18"/>
      <c r="I2053" s="18"/>
      <c r="J2053" s="18"/>
      <c r="K2053" s="18"/>
    </row>
    <row r="2054" spans="1:11" ht="15" x14ac:dyDescent="0.2">
      <c r="A2054" s="24"/>
      <c r="B2054" s="17"/>
      <c r="C2054" s="18"/>
      <c r="D2054" s="18"/>
      <c r="E2054" s="18"/>
      <c r="F2054" s="18"/>
      <c r="G2054" s="18"/>
      <c r="H2054" s="18"/>
      <c r="I2054" s="18"/>
      <c r="J2054" s="18"/>
      <c r="K2054" s="18"/>
    </row>
    <row r="2055" spans="1:11" ht="15.75" x14ac:dyDescent="0.25">
      <c r="A2055" s="24" t="s">
        <v>19</v>
      </c>
      <c r="B2055" s="16" t="s">
        <v>90</v>
      </c>
      <c r="C2055" s="55"/>
      <c r="D2055" s="45"/>
      <c r="E2055" s="55"/>
      <c r="F2055" s="45"/>
      <c r="G2055" s="18"/>
      <c r="H2055" s="18"/>
      <c r="I2055" s="18"/>
      <c r="J2055" s="18"/>
      <c r="K2055" s="18"/>
    </row>
    <row r="2056" spans="1:11" ht="15" x14ac:dyDescent="0.2">
      <c r="A2056" s="24">
        <v>2017</v>
      </c>
      <c r="B2056" s="17" t="s">
        <v>15</v>
      </c>
      <c r="C2056" s="45">
        <v>290</v>
      </c>
      <c r="D2056" s="45">
        <f>10+2151+1</f>
        <v>2162</v>
      </c>
      <c r="E2056" s="45">
        <v>300</v>
      </c>
      <c r="F2056" s="45">
        <f>7+2165+1</f>
        <v>2173</v>
      </c>
      <c r="G2056" s="18"/>
      <c r="H2056" s="18"/>
      <c r="I2056" s="18"/>
      <c r="J2056" s="18"/>
      <c r="K2056" s="18"/>
    </row>
    <row r="2057" spans="1:11" ht="15" x14ac:dyDescent="0.2">
      <c r="A2057" s="24"/>
      <c r="B2057" s="17" t="s">
        <v>16</v>
      </c>
      <c r="C2057" s="45">
        <v>303</v>
      </c>
      <c r="D2057" s="45">
        <f>6+2427+3</f>
        <v>2436</v>
      </c>
      <c r="E2057" s="45">
        <v>331</v>
      </c>
      <c r="F2057" s="45">
        <f>8+2301+3</f>
        <v>2312</v>
      </c>
      <c r="G2057" s="18"/>
      <c r="H2057" s="18"/>
      <c r="I2057" s="18"/>
      <c r="J2057" s="18"/>
      <c r="K2057" s="18"/>
    </row>
    <row r="2058" spans="1:11" ht="15" x14ac:dyDescent="0.2">
      <c r="A2058" s="24"/>
      <c r="B2058" s="17" t="s">
        <v>17</v>
      </c>
      <c r="C2058" s="45">
        <v>293</v>
      </c>
      <c r="D2058" s="45">
        <f>12+2400+7</f>
        <v>2419</v>
      </c>
      <c r="E2058" s="45">
        <v>373</v>
      </c>
      <c r="F2058" s="45">
        <f>11+2685+7</f>
        <v>2703</v>
      </c>
      <c r="G2058" s="18"/>
      <c r="H2058" s="18"/>
      <c r="I2058" s="18"/>
      <c r="J2058" s="18"/>
      <c r="K2058" s="18"/>
    </row>
    <row r="2059" spans="1:11" ht="15" x14ac:dyDescent="0.2">
      <c r="A2059" s="24"/>
      <c r="B2059" s="17"/>
      <c r="C2059" s="18"/>
      <c r="D2059" s="18"/>
      <c r="E2059" s="18"/>
      <c r="F2059" s="18"/>
      <c r="G2059" s="18"/>
      <c r="H2059" s="18"/>
      <c r="I2059" s="18"/>
      <c r="J2059" s="18"/>
      <c r="K2059" s="18"/>
    </row>
    <row r="2060" spans="1:11" ht="15.75" x14ac:dyDescent="0.25">
      <c r="A2060" s="24" t="s">
        <v>19</v>
      </c>
      <c r="B2060" s="16" t="s">
        <v>91</v>
      </c>
      <c r="C2060" s="55"/>
      <c r="D2060" s="45"/>
      <c r="E2060" s="55"/>
      <c r="F2060" s="45"/>
      <c r="G2060" s="18"/>
      <c r="H2060" s="18"/>
      <c r="I2060" s="18"/>
      <c r="J2060" s="18"/>
      <c r="K2060" s="18"/>
    </row>
    <row r="2061" spans="1:11" ht="15" x14ac:dyDescent="0.2">
      <c r="A2061" s="24" t="s">
        <v>19</v>
      </c>
      <c r="B2061" s="17" t="s">
        <v>20</v>
      </c>
      <c r="C2061" s="45">
        <v>312</v>
      </c>
      <c r="D2061" s="45">
        <f>9+2228+1</f>
        <v>2238</v>
      </c>
      <c r="E2061" s="45">
        <v>360</v>
      </c>
      <c r="F2061" s="45">
        <f>7+2468+1</f>
        <v>2476</v>
      </c>
      <c r="G2061" s="18"/>
      <c r="H2061" s="18"/>
      <c r="I2061" s="18"/>
      <c r="J2061" s="18"/>
      <c r="K2061" s="18"/>
    </row>
    <row r="2062" spans="1:11" ht="15" x14ac:dyDescent="0.2">
      <c r="A2062" s="24"/>
      <c r="B2062" s="17" t="s">
        <v>21</v>
      </c>
      <c r="C2062" s="45">
        <v>290</v>
      </c>
      <c r="D2062" s="45">
        <f>15+2179+3</f>
        <v>2197</v>
      </c>
      <c r="E2062" s="45">
        <v>327</v>
      </c>
      <c r="F2062" s="45">
        <f>5+2375+4</f>
        <v>2384</v>
      </c>
      <c r="G2062" s="18"/>
      <c r="H2062" s="18"/>
      <c r="I2062" s="18"/>
      <c r="J2062" s="18"/>
      <c r="K2062" s="18"/>
    </row>
    <row r="2063" spans="1:11" ht="15" x14ac:dyDescent="0.2">
      <c r="A2063" s="24"/>
      <c r="B2063" s="17" t="s">
        <v>22</v>
      </c>
      <c r="C2063" s="45">
        <v>272</v>
      </c>
      <c r="D2063" s="45">
        <f>18+2019+1</f>
        <v>2038</v>
      </c>
      <c r="E2063" s="45">
        <v>303</v>
      </c>
      <c r="F2063" s="45">
        <f>14+2343+1</f>
        <v>2358</v>
      </c>
      <c r="G2063" s="18"/>
      <c r="H2063" s="18"/>
      <c r="I2063" s="18"/>
      <c r="J2063" s="18"/>
      <c r="K2063" s="18"/>
    </row>
    <row r="2064" spans="1:11" ht="15" x14ac:dyDescent="0.2">
      <c r="A2064" s="24"/>
      <c r="B2064" s="17"/>
      <c r="C2064" s="18"/>
      <c r="D2064" s="18"/>
      <c r="E2064" s="18"/>
      <c r="F2064" s="18"/>
      <c r="G2064" s="18"/>
      <c r="H2064" s="18"/>
      <c r="I2064" s="18"/>
      <c r="J2064" s="18"/>
      <c r="K2064" s="18"/>
    </row>
    <row r="2065" spans="1:11" ht="15.75" x14ac:dyDescent="0.25">
      <c r="A2065" s="24" t="s">
        <v>19</v>
      </c>
      <c r="B2065" s="16" t="s">
        <v>92</v>
      </c>
      <c r="C2065" s="55"/>
      <c r="D2065" s="45"/>
      <c r="E2065" s="55"/>
      <c r="F2065" s="45"/>
      <c r="G2065" s="18"/>
      <c r="H2065" s="18"/>
      <c r="I2065" s="18"/>
      <c r="J2065" s="18"/>
      <c r="K2065" s="18"/>
    </row>
    <row r="2066" spans="1:11" ht="15" x14ac:dyDescent="0.2">
      <c r="A2066" s="24" t="s">
        <v>19</v>
      </c>
      <c r="B2066" s="17" t="s">
        <v>24</v>
      </c>
      <c r="C2066" s="45">
        <v>215</v>
      </c>
      <c r="D2066" s="45">
        <f>5+1792+1</f>
        <v>1798</v>
      </c>
      <c r="E2066" s="45">
        <v>286</v>
      </c>
      <c r="F2066" s="45">
        <f>1+2055+1</f>
        <v>2057</v>
      </c>
      <c r="G2066" s="18"/>
      <c r="H2066" s="18"/>
      <c r="I2066" s="18"/>
      <c r="J2066" s="18"/>
      <c r="K2066" s="18"/>
    </row>
    <row r="2067" spans="1:11" ht="15" x14ac:dyDescent="0.2">
      <c r="A2067" s="24"/>
      <c r="B2067" s="17" t="s">
        <v>25</v>
      </c>
      <c r="C2067" s="45">
        <v>184</v>
      </c>
      <c r="D2067" s="45">
        <f>12+1895+1</f>
        <v>1908</v>
      </c>
      <c r="E2067" s="45">
        <v>231</v>
      </c>
      <c r="F2067" s="45">
        <f>11+2090+1+1</f>
        <v>2103</v>
      </c>
      <c r="G2067" s="18"/>
      <c r="H2067" s="18"/>
      <c r="I2067" s="18"/>
      <c r="J2067" s="18"/>
      <c r="K2067" s="18"/>
    </row>
    <row r="2068" spans="1:11" ht="15" x14ac:dyDescent="0.2">
      <c r="A2068" s="24"/>
      <c r="B2068" s="17" t="s">
        <v>11</v>
      </c>
      <c r="C2068" s="45">
        <f>1+273</f>
        <v>274</v>
      </c>
      <c r="D2068" s="45">
        <f>14+2195+3</f>
        <v>2212</v>
      </c>
      <c r="E2068" s="45">
        <v>318</v>
      </c>
      <c r="F2068" s="45">
        <f>7+2374+4</f>
        <v>2385</v>
      </c>
      <c r="G2068" s="18"/>
      <c r="H2068" s="18"/>
      <c r="I2068" s="18"/>
      <c r="J2068" s="18"/>
      <c r="K2068" s="18"/>
    </row>
    <row r="2069" spans="1:11" ht="15" x14ac:dyDescent="0.2">
      <c r="A2069" s="24"/>
      <c r="B2069" s="17"/>
      <c r="C2069" s="18"/>
      <c r="D2069" s="18"/>
      <c r="E2069" s="18"/>
      <c r="F2069" s="18"/>
      <c r="G2069" s="18"/>
      <c r="H2069" s="18"/>
      <c r="I2069" s="18"/>
      <c r="J2069" s="18"/>
      <c r="K2069" s="18"/>
    </row>
    <row r="2070" spans="1:11" ht="15.75" x14ac:dyDescent="0.25">
      <c r="A2070" s="24" t="s">
        <v>19</v>
      </c>
      <c r="B2070" s="16" t="s">
        <v>93</v>
      </c>
      <c r="C2070" s="55"/>
      <c r="D2070" s="45"/>
      <c r="E2070" s="55"/>
      <c r="F2070" s="45"/>
      <c r="G2070" s="18"/>
      <c r="H2070" s="18"/>
      <c r="I2070" s="18"/>
      <c r="J2070" s="18"/>
      <c r="K2070" s="18"/>
    </row>
    <row r="2071" spans="1:11" ht="15" x14ac:dyDescent="0.2">
      <c r="A2071" s="24" t="s">
        <v>19</v>
      </c>
      <c r="B2071" s="17" t="s">
        <v>12</v>
      </c>
      <c r="C2071" s="45">
        <f>2+236</f>
        <v>238</v>
      </c>
      <c r="D2071" s="45">
        <f>17+1900+4</f>
        <v>1921</v>
      </c>
      <c r="E2071" s="45">
        <f>1+232</f>
        <v>233</v>
      </c>
      <c r="F2071" s="45">
        <f>9+1653+4</f>
        <v>1666</v>
      </c>
      <c r="G2071" s="18"/>
      <c r="H2071" s="18"/>
      <c r="I2071" s="18"/>
      <c r="J2071" s="18"/>
      <c r="K2071" s="18"/>
    </row>
    <row r="2072" spans="1:11" ht="15" x14ac:dyDescent="0.2">
      <c r="A2072" s="24"/>
      <c r="B2072" s="17" t="s">
        <v>13</v>
      </c>
      <c r="C2072" s="45">
        <v>222</v>
      </c>
      <c r="D2072" s="45">
        <f>4+1834+2</f>
        <v>1840</v>
      </c>
      <c r="E2072" s="45">
        <v>285</v>
      </c>
      <c r="F2072" s="45">
        <f>7+2174+2</f>
        <v>2183</v>
      </c>
      <c r="G2072" s="18"/>
      <c r="H2072" s="18"/>
      <c r="I2072" s="18"/>
      <c r="J2072" s="18"/>
      <c r="K2072" s="18"/>
    </row>
    <row r="2073" spans="1:11" ht="15" x14ac:dyDescent="0.2">
      <c r="A2073" s="24"/>
      <c r="B2073" s="17" t="s">
        <v>14</v>
      </c>
      <c r="C2073" s="45">
        <f>1+217</f>
        <v>218</v>
      </c>
      <c r="D2073" s="45">
        <f>13+2153+4</f>
        <v>2170</v>
      </c>
      <c r="E2073" s="45">
        <v>248</v>
      </c>
      <c r="F2073" s="45">
        <f>15+2092+4</f>
        <v>2111</v>
      </c>
      <c r="G2073" s="18"/>
      <c r="H2073" s="18"/>
      <c r="I2073" s="18"/>
      <c r="J2073" s="18"/>
      <c r="K2073" s="18"/>
    </row>
    <row r="2074" spans="1:11" ht="15" x14ac:dyDescent="0.2">
      <c r="A2074" s="24"/>
      <c r="B2074" s="17"/>
      <c r="C2074" s="45"/>
      <c r="D2074" s="45"/>
      <c r="E2074" s="45"/>
      <c r="F2074" s="45"/>
      <c r="G2074" s="18"/>
      <c r="H2074" s="18"/>
      <c r="I2074" s="18"/>
      <c r="J2074" s="18"/>
      <c r="K2074" s="18"/>
    </row>
    <row r="2075" spans="1:11" ht="15.75" x14ac:dyDescent="0.25">
      <c r="A2075" s="24" t="s">
        <v>19</v>
      </c>
      <c r="B2075" s="16" t="s">
        <v>94</v>
      </c>
      <c r="C2075" s="55"/>
      <c r="D2075" s="45"/>
      <c r="E2075" s="55"/>
      <c r="F2075" s="45"/>
      <c r="G2075" s="18"/>
      <c r="H2075" s="18"/>
      <c r="I2075" s="18"/>
      <c r="J2075" s="18"/>
      <c r="K2075" s="18"/>
    </row>
    <row r="2076" spans="1:11" ht="15" x14ac:dyDescent="0.2">
      <c r="A2076" s="24">
        <v>2018</v>
      </c>
      <c r="B2076" s="17" t="s">
        <v>15</v>
      </c>
      <c r="C2076" s="45">
        <v>250</v>
      </c>
      <c r="D2076" s="45">
        <f>7+2120+1</f>
        <v>2128</v>
      </c>
      <c r="E2076" s="45">
        <v>245</v>
      </c>
      <c r="F2076" s="45">
        <f>6+1800+1</f>
        <v>1807</v>
      </c>
      <c r="G2076" s="18"/>
      <c r="H2076" s="18"/>
      <c r="I2076" s="18"/>
      <c r="J2076" s="18"/>
      <c r="K2076" s="18"/>
    </row>
    <row r="2077" spans="1:11" ht="15" x14ac:dyDescent="0.2">
      <c r="A2077" s="24"/>
      <c r="B2077" s="17" t="s">
        <v>16</v>
      </c>
      <c r="C2077" s="45">
        <v>247</v>
      </c>
      <c r="D2077" s="45">
        <f>4+2248+2</f>
        <v>2254</v>
      </c>
      <c r="E2077" s="45">
        <v>336</v>
      </c>
      <c r="F2077" s="45">
        <f>8+2547+3</f>
        <v>2558</v>
      </c>
      <c r="G2077" s="18"/>
      <c r="H2077" s="18"/>
      <c r="I2077" s="18"/>
      <c r="J2077" s="18"/>
      <c r="K2077" s="18"/>
    </row>
    <row r="2078" spans="1:11" ht="15" x14ac:dyDescent="0.2">
      <c r="A2078" s="24"/>
      <c r="B2078" s="17" t="s">
        <v>17</v>
      </c>
      <c r="C2078" s="45">
        <v>238</v>
      </c>
      <c r="D2078" s="45">
        <f>10+2239+2</f>
        <v>2251</v>
      </c>
      <c r="E2078" s="45">
        <v>297</v>
      </c>
      <c r="F2078" s="45">
        <f>9+2214+5</f>
        <v>2228</v>
      </c>
      <c r="G2078" s="18"/>
      <c r="H2078" s="18"/>
      <c r="I2078" s="18"/>
      <c r="J2078" s="18"/>
      <c r="K2078" s="18"/>
    </row>
    <row r="2079" spans="1:11" ht="15" x14ac:dyDescent="0.2">
      <c r="A2079" s="24"/>
      <c r="B2079" s="17"/>
      <c r="C2079" s="18"/>
      <c r="D2079" s="18"/>
      <c r="E2079" s="18"/>
      <c r="F2079" s="18"/>
      <c r="G2079" s="18"/>
      <c r="H2079" s="18"/>
      <c r="I2079" s="18"/>
      <c r="J2079" s="18"/>
      <c r="K2079" s="18"/>
    </row>
    <row r="2080" spans="1:11" ht="15.75" x14ac:dyDescent="0.25">
      <c r="A2080" s="89" t="s">
        <v>114</v>
      </c>
      <c r="B2080" s="17"/>
      <c r="C2080" s="18"/>
      <c r="D2080" s="18"/>
      <c r="E2080" s="18"/>
      <c r="F2080" s="18"/>
      <c r="G2080" s="18"/>
      <c r="H2080" s="18"/>
      <c r="I2080" s="18"/>
      <c r="J2080" s="18"/>
      <c r="K2080" s="18"/>
    </row>
    <row r="2081" spans="1:11" ht="27.75" x14ac:dyDescent="0.55000000000000004">
      <c r="A2081" s="24"/>
      <c r="B2081" s="17"/>
      <c r="C2081" s="105" t="s">
        <v>163</v>
      </c>
      <c r="D2081" s="105"/>
      <c r="E2081" s="105" t="s">
        <v>164</v>
      </c>
      <c r="F2081" s="105"/>
      <c r="G2081" s="45"/>
      <c r="H2081" s="45"/>
      <c r="I2081" s="45"/>
      <c r="J2081" s="45"/>
      <c r="K2081" s="18"/>
    </row>
    <row r="2082" spans="1:11" ht="16.5" customHeight="1" x14ac:dyDescent="0.25">
      <c r="A2082" s="21" t="s">
        <v>8</v>
      </c>
      <c r="B2082" s="16" t="s">
        <v>32</v>
      </c>
      <c r="C2082" s="40" t="s">
        <v>108</v>
      </c>
      <c r="D2082" s="40" t="s">
        <v>117</v>
      </c>
      <c r="E2082" s="40" t="s">
        <v>108</v>
      </c>
      <c r="F2082" s="40" t="s">
        <v>117</v>
      </c>
      <c r="G2082" s="45"/>
      <c r="H2082" s="45"/>
      <c r="I2082" s="45"/>
      <c r="J2082" s="45"/>
      <c r="K2082" s="18"/>
    </row>
    <row r="2083" spans="1:11" ht="16.5" customHeight="1" x14ac:dyDescent="0.2">
      <c r="A2083" s="24"/>
      <c r="B2083" s="17"/>
      <c r="C2083" s="45"/>
      <c r="D2083" s="45"/>
      <c r="E2083" s="45"/>
      <c r="F2083" s="45"/>
      <c r="G2083" s="18"/>
      <c r="H2083" s="18"/>
      <c r="I2083" s="18"/>
      <c r="J2083" s="18"/>
      <c r="K2083" s="18"/>
    </row>
    <row r="2084" spans="1:11" ht="16.5" hidden="1" customHeight="1" x14ac:dyDescent="0.25">
      <c r="A2084" s="24" t="s">
        <v>19</v>
      </c>
      <c r="B2084" s="16" t="s">
        <v>95</v>
      </c>
      <c r="C2084" s="55"/>
      <c r="D2084" s="45"/>
      <c r="E2084" s="55"/>
      <c r="F2084" s="45"/>
      <c r="G2084" s="18"/>
      <c r="H2084" s="18"/>
      <c r="I2084" s="18"/>
      <c r="J2084" s="18"/>
      <c r="K2084" s="18"/>
    </row>
    <row r="2085" spans="1:11" ht="16.5" hidden="1" customHeight="1" x14ac:dyDescent="0.2">
      <c r="A2085" s="24" t="s">
        <v>19</v>
      </c>
      <c r="B2085" s="17" t="s">
        <v>20</v>
      </c>
      <c r="C2085" s="45">
        <f>1+227</f>
        <v>228</v>
      </c>
      <c r="D2085" s="45">
        <f>9+2029+2</f>
        <v>2040</v>
      </c>
      <c r="E2085" s="45">
        <f>1+299</f>
        <v>300</v>
      </c>
      <c r="F2085" s="45">
        <f>11+2518+3</f>
        <v>2532</v>
      </c>
      <c r="G2085" s="18"/>
      <c r="H2085" s="18"/>
      <c r="I2085" s="18"/>
      <c r="J2085" s="18"/>
      <c r="K2085" s="18"/>
    </row>
    <row r="2086" spans="1:11" ht="16.5" hidden="1" customHeight="1" x14ac:dyDescent="0.2">
      <c r="A2086" s="24"/>
      <c r="B2086" s="17" t="s">
        <v>21</v>
      </c>
      <c r="C2086" s="45">
        <f>2+222</f>
        <v>224</v>
      </c>
      <c r="D2086" s="45">
        <f>9+1919+2</f>
        <v>1930</v>
      </c>
      <c r="E2086" s="45">
        <f>1+274</f>
        <v>275</v>
      </c>
      <c r="F2086" s="45">
        <f>6+2119+4</f>
        <v>2129</v>
      </c>
      <c r="G2086" s="18"/>
      <c r="H2086" s="18"/>
      <c r="I2086" s="18"/>
      <c r="J2086" s="18"/>
      <c r="K2086" s="18"/>
    </row>
    <row r="2087" spans="1:11" ht="16.5" hidden="1" customHeight="1" x14ac:dyDescent="0.2">
      <c r="A2087" s="24"/>
      <c r="B2087" s="17" t="s">
        <v>22</v>
      </c>
      <c r="C2087" s="45">
        <f>207</f>
        <v>207</v>
      </c>
      <c r="D2087" s="45">
        <f>9+1868+1</f>
        <v>1878</v>
      </c>
      <c r="E2087" s="45">
        <f>207</f>
        <v>207</v>
      </c>
      <c r="F2087" s="45">
        <f>9+1498+1</f>
        <v>1508</v>
      </c>
      <c r="G2087" s="18"/>
      <c r="H2087" s="18"/>
      <c r="I2087" s="18"/>
      <c r="J2087" s="18"/>
      <c r="K2087" s="18"/>
    </row>
    <row r="2088" spans="1:11" ht="16.5" hidden="1" customHeight="1" x14ac:dyDescent="0.2">
      <c r="A2088" s="24"/>
      <c r="B2088" s="17"/>
      <c r="C2088" s="18"/>
      <c r="D2088" s="18"/>
      <c r="E2088" s="18"/>
      <c r="F2088" s="18"/>
      <c r="G2088" s="18"/>
      <c r="H2088" s="18"/>
      <c r="I2088" s="18"/>
      <c r="J2088" s="18"/>
      <c r="K2088" s="18"/>
    </row>
    <row r="2089" spans="1:11" ht="16.5" hidden="1" customHeight="1" x14ac:dyDescent="0.25">
      <c r="A2089" s="24" t="s">
        <v>19</v>
      </c>
      <c r="B2089" s="16" t="s">
        <v>96</v>
      </c>
      <c r="C2089" s="55"/>
      <c r="D2089" s="45"/>
      <c r="E2089" s="55"/>
      <c r="F2089" s="45"/>
      <c r="G2089" s="18"/>
      <c r="H2089" s="18"/>
      <c r="I2089" s="18"/>
      <c r="J2089" s="18"/>
      <c r="K2089" s="18"/>
    </row>
    <row r="2090" spans="1:11" ht="16.5" hidden="1" customHeight="1" x14ac:dyDescent="0.2">
      <c r="A2090" s="24" t="s">
        <v>19</v>
      </c>
      <c r="B2090" s="17" t="s">
        <v>24</v>
      </c>
      <c r="C2090" s="45">
        <f>157</f>
        <v>157</v>
      </c>
      <c r="D2090" s="45">
        <f>12+1609</f>
        <v>1621</v>
      </c>
      <c r="E2090" s="45">
        <f>244</f>
        <v>244</v>
      </c>
      <c r="F2090" s="45">
        <f>8+2066+4</f>
        <v>2078</v>
      </c>
      <c r="G2090" s="18"/>
      <c r="H2090" s="18"/>
      <c r="I2090" s="18"/>
      <c r="J2090" s="18"/>
      <c r="K2090" s="18"/>
    </row>
    <row r="2091" spans="1:11" ht="16.5" hidden="1" customHeight="1" x14ac:dyDescent="0.2">
      <c r="A2091" s="24"/>
      <c r="B2091" s="17" t="s">
        <v>25</v>
      </c>
      <c r="C2091" s="45">
        <f>177</f>
        <v>177</v>
      </c>
      <c r="D2091" s="45">
        <f>9+1848+1</f>
        <v>1858</v>
      </c>
      <c r="E2091" s="45">
        <f>253</f>
        <v>253</v>
      </c>
      <c r="F2091" s="45">
        <f>6+1958+2</f>
        <v>1966</v>
      </c>
      <c r="G2091" s="18"/>
      <c r="H2091" s="18"/>
      <c r="I2091" s="18"/>
      <c r="J2091" s="18"/>
      <c r="K2091" s="18"/>
    </row>
    <row r="2092" spans="1:11" ht="16.5" hidden="1" customHeight="1" x14ac:dyDescent="0.2">
      <c r="A2092" s="24"/>
      <c r="B2092" s="17" t="s">
        <v>11</v>
      </c>
      <c r="C2092" s="45">
        <f>213</f>
        <v>213</v>
      </c>
      <c r="D2092" s="45">
        <f>15+1944+1</f>
        <v>1960</v>
      </c>
      <c r="E2092" s="45">
        <f>253</f>
        <v>253</v>
      </c>
      <c r="F2092" s="45">
        <f>10+2133+2</f>
        <v>2145</v>
      </c>
      <c r="G2092" s="18"/>
      <c r="H2092" s="18"/>
      <c r="I2092" s="18"/>
      <c r="J2092" s="18"/>
      <c r="K2092" s="18"/>
    </row>
    <row r="2093" spans="1:11" ht="16.5" hidden="1" customHeight="1" x14ac:dyDescent="0.2">
      <c r="A2093" s="24"/>
      <c r="B2093" s="17"/>
      <c r="C2093" s="18"/>
      <c r="D2093" s="18"/>
      <c r="E2093" s="18"/>
      <c r="F2093" s="18"/>
      <c r="G2093" s="18"/>
      <c r="H2093" s="18"/>
      <c r="I2093" s="18"/>
      <c r="J2093" s="18"/>
      <c r="K2093" s="18"/>
    </row>
    <row r="2094" spans="1:11" ht="16.5" hidden="1" customHeight="1" x14ac:dyDescent="0.25">
      <c r="A2094" s="24" t="s">
        <v>19</v>
      </c>
      <c r="B2094" s="16" t="s">
        <v>97</v>
      </c>
      <c r="C2094" s="55"/>
      <c r="D2094" s="45"/>
      <c r="E2094" s="55"/>
      <c r="F2094" s="45"/>
      <c r="G2094" s="18"/>
      <c r="H2094" s="18"/>
      <c r="I2094" s="18"/>
      <c r="J2094" s="18"/>
      <c r="K2094" s="18"/>
    </row>
    <row r="2095" spans="1:11" ht="16.5" hidden="1" customHeight="1" x14ac:dyDescent="0.2">
      <c r="A2095" s="24" t="s">
        <v>19</v>
      </c>
      <c r="B2095" s="17" t="s">
        <v>12</v>
      </c>
      <c r="C2095" s="45">
        <v>207</v>
      </c>
      <c r="D2095" s="45">
        <v>1941</v>
      </c>
      <c r="E2095" s="45">
        <v>262</v>
      </c>
      <c r="F2095" s="45">
        <v>2055</v>
      </c>
      <c r="G2095" s="18"/>
      <c r="H2095" s="18"/>
      <c r="I2095" s="18"/>
      <c r="J2095" s="18"/>
      <c r="K2095" s="18"/>
    </row>
    <row r="2096" spans="1:11" ht="16.5" hidden="1" customHeight="1" x14ac:dyDescent="0.2">
      <c r="A2096" s="24"/>
      <c r="B2096" s="17" t="s">
        <v>13</v>
      </c>
      <c r="C2096" s="45">
        <v>232</v>
      </c>
      <c r="D2096" s="45">
        <v>1917</v>
      </c>
      <c r="E2096" s="45">
        <v>255</v>
      </c>
      <c r="F2096" s="45">
        <v>1934</v>
      </c>
      <c r="G2096" s="18"/>
      <c r="H2096" s="18"/>
      <c r="I2096" s="18"/>
      <c r="J2096" s="18"/>
      <c r="K2096" s="18"/>
    </row>
    <row r="2097" spans="1:11" ht="16.5" hidden="1" customHeight="1" x14ac:dyDescent="0.2">
      <c r="A2097" s="24"/>
      <c r="B2097" s="17" t="s">
        <v>14</v>
      </c>
      <c r="C2097" s="45">
        <v>228</v>
      </c>
      <c r="D2097" s="45">
        <v>1991</v>
      </c>
      <c r="E2097" s="45">
        <v>260</v>
      </c>
      <c r="F2097" s="45">
        <v>1993</v>
      </c>
      <c r="G2097" s="18"/>
      <c r="H2097" s="18"/>
      <c r="I2097" s="18"/>
      <c r="J2097" s="18"/>
      <c r="K2097" s="18"/>
    </row>
    <row r="2098" spans="1:11" ht="16.5" hidden="1" customHeight="1" x14ac:dyDescent="0.2">
      <c r="A2098" s="24"/>
      <c r="B2098" s="17"/>
      <c r="C2098" s="18"/>
      <c r="D2098" s="18"/>
      <c r="E2098" s="18"/>
      <c r="F2098" s="18"/>
      <c r="G2098" s="18"/>
      <c r="H2098" s="18"/>
      <c r="I2098" s="18"/>
      <c r="J2098" s="18"/>
      <c r="K2098" s="18"/>
    </row>
    <row r="2099" spans="1:11" ht="16.5" hidden="1" customHeight="1" x14ac:dyDescent="0.25">
      <c r="A2099" s="24" t="s">
        <v>19</v>
      </c>
      <c r="B2099" s="16" t="s">
        <v>98</v>
      </c>
      <c r="C2099" s="55"/>
      <c r="D2099" s="45"/>
      <c r="E2099" s="55"/>
      <c r="F2099" s="45"/>
      <c r="G2099" s="18"/>
      <c r="H2099" s="18"/>
      <c r="I2099" s="18"/>
      <c r="J2099" s="18"/>
      <c r="K2099" s="18"/>
    </row>
    <row r="2100" spans="1:11" ht="16.5" hidden="1" customHeight="1" x14ac:dyDescent="0.2">
      <c r="A2100" s="24" t="s">
        <v>19</v>
      </c>
      <c r="B2100" s="17" t="s">
        <v>15</v>
      </c>
      <c r="C2100" s="45">
        <f>1+235</f>
        <v>236</v>
      </c>
      <c r="D2100" s="45">
        <f>19+2275+1+2</f>
        <v>2297</v>
      </c>
      <c r="E2100" s="45">
        <f>10+211</f>
        <v>221</v>
      </c>
      <c r="F2100" s="45">
        <f>10+1746+1</f>
        <v>1757</v>
      </c>
      <c r="G2100" s="18"/>
      <c r="H2100" s="18"/>
      <c r="I2100" s="18"/>
      <c r="J2100" s="18"/>
      <c r="K2100" s="18"/>
    </row>
    <row r="2101" spans="1:11" ht="16.5" hidden="1" customHeight="1" x14ac:dyDescent="0.2">
      <c r="A2101" s="24"/>
      <c r="B2101" s="17" t="s">
        <v>16</v>
      </c>
      <c r="C2101" s="45">
        <f>4+258</f>
        <v>262</v>
      </c>
      <c r="D2101" s="45">
        <f>14+2165+1+1</f>
        <v>2181</v>
      </c>
      <c r="E2101" s="45">
        <f>1+282</f>
        <v>283</v>
      </c>
      <c r="F2101" s="45">
        <f>11+1999+1+1</f>
        <v>2012</v>
      </c>
      <c r="G2101" s="18"/>
      <c r="H2101" s="18"/>
      <c r="I2101" s="18"/>
      <c r="J2101" s="18"/>
      <c r="K2101" s="18"/>
    </row>
    <row r="2102" spans="1:11" ht="16.5" hidden="1" customHeight="1" x14ac:dyDescent="0.2">
      <c r="A2102" s="24"/>
      <c r="B2102" s="17" t="s">
        <v>17</v>
      </c>
      <c r="C2102" s="45">
        <f>1+245</f>
        <v>246</v>
      </c>
      <c r="D2102" s="45">
        <f>12+2093+1</f>
        <v>2106</v>
      </c>
      <c r="E2102" s="45">
        <f>1+288</f>
        <v>289</v>
      </c>
      <c r="F2102" s="45">
        <f>17+2539+1</f>
        <v>2557</v>
      </c>
      <c r="G2102" s="18"/>
      <c r="H2102" s="18"/>
      <c r="I2102" s="18"/>
      <c r="J2102" s="18"/>
      <c r="K2102" s="18"/>
    </row>
    <row r="2103" spans="1:11" ht="16.5" hidden="1" customHeight="1" x14ac:dyDescent="0.2">
      <c r="A2103" s="24"/>
      <c r="B2103" s="17"/>
      <c r="C2103" s="18"/>
      <c r="D2103" s="18"/>
      <c r="E2103" s="18"/>
      <c r="F2103" s="18"/>
      <c r="G2103" s="18"/>
      <c r="H2103" s="18"/>
      <c r="I2103" s="18"/>
      <c r="J2103" s="18"/>
      <c r="K2103" s="18"/>
    </row>
    <row r="2104" spans="1:11" ht="16.5" hidden="1" customHeight="1" x14ac:dyDescent="0.25">
      <c r="A2104" s="24" t="s">
        <v>19</v>
      </c>
      <c r="B2104" s="16" t="s">
        <v>99</v>
      </c>
      <c r="C2104" s="55"/>
      <c r="D2104" s="45"/>
      <c r="E2104" s="55"/>
      <c r="F2104" s="45"/>
      <c r="G2104" s="18"/>
      <c r="H2104" s="18"/>
      <c r="I2104" s="18"/>
      <c r="J2104" s="18"/>
      <c r="K2104" s="18"/>
    </row>
    <row r="2105" spans="1:11" ht="16.5" hidden="1" customHeight="1" x14ac:dyDescent="0.2">
      <c r="A2105" s="24" t="s">
        <v>19</v>
      </c>
      <c r="B2105" s="17" t="s">
        <v>20</v>
      </c>
      <c r="C2105" s="45">
        <f>3+227</f>
        <v>230</v>
      </c>
      <c r="D2105" s="45">
        <f>15+1981+3+1</f>
        <v>2000</v>
      </c>
      <c r="E2105" s="45">
        <f>2+257</f>
        <v>259</v>
      </c>
      <c r="F2105" s="45">
        <f>15+2178+2+2</f>
        <v>2197</v>
      </c>
      <c r="G2105" s="18"/>
      <c r="H2105" s="18"/>
      <c r="I2105" s="18"/>
      <c r="J2105" s="18"/>
      <c r="K2105" s="18"/>
    </row>
    <row r="2106" spans="1:11" ht="16.5" hidden="1" customHeight="1" x14ac:dyDescent="0.2">
      <c r="A2106" s="24"/>
      <c r="B2106" s="17" t="s">
        <v>21</v>
      </c>
      <c r="C2106" s="45">
        <f>201</f>
        <v>201</v>
      </c>
      <c r="D2106" s="45">
        <f>10+1856+3+2</f>
        <v>1871</v>
      </c>
      <c r="E2106" s="45">
        <f>265</f>
        <v>265</v>
      </c>
      <c r="F2106" s="45">
        <f>11+2041+3+2</f>
        <v>2057</v>
      </c>
      <c r="G2106" s="18"/>
      <c r="H2106" s="18"/>
      <c r="I2106" s="18"/>
      <c r="J2106" s="18"/>
      <c r="K2106" s="18"/>
    </row>
    <row r="2107" spans="1:11" ht="16.5" hidden="1" customHeight="1" x14ac:dyDescent="0.2">
      <c r="A2107" s="24"/>
      <c r="B2107" s="17" t="s">
        <v>22</v>
      </c>
      <c r="C2107" s="45">
        <f>1+209</f>
        <v>210</v>
      </c>
      <c r="D2107" s="45">
        <f>12+1881+1</f>
        <v>1894</v>
      </c>
      <c r="E2107" s="45">
        <f>2+257</f>
        <v>259</v>
      </c>
      <c r="F2107" s="45">
        <f>13+1865</f>
        <v>1878</v>
      </c>
      <c r="G2107" s="18"/>
      <c r="H2107" s="18"/>
      <c r="I2107" s="18"/>
      <c r="J2107" s="18"/>
      <c r="K2107" s="18"/>
    </row>
    <row r="2108" spans="1:11" ht="16.5" hidden="1" customHeight="1" x14ac:dyDescent="0.2">
      <c r="A2108" s="24"/>
      <c r="B2108" s="17"/>
      <c r="C2108" s="18"/>
      <c r="D2108" s="18"/>
      <c r="E2108" s="18"/>
      <c r="F2108" s="18"/>
      <c r="G2108" s="18"/>
      <c r="H2108" s="18"/>
      <c r="I2108" s="18"/>
      <c r="J2108" s="18"/>
      <c r="K2108" s="18"/>
    </row>
    <row r="2109" spans="1:11" ht="16.5" hidden="1" customHeight="1" x14ac:dyDescent="0.25">
      <c r="A2109" s="24" t="s">
        <v>19</v>
      </c>
      <c r="B2109" s="16" t="s">
        <v>100</v>
      </c>
      <c r="C2109" s="55"/>
      <c r="D2109" s="45"/>
      <c r="E2109" s="55"/>
      <c r="F2109" s="45"/>
      <c r="G2109" s="18"/>
      <c r="H2109" s="18"/>
      <c r="I2109" s="18"/>
      <c r="J2109" s="18"/>
      <c r="K2109" s="18"/>
    </row>
    <row r="2110" spans="1:11" ht="16.5" hidden="1" customHeight="1" x14ac:dyDescent="0.2">
      <c r="A2110" s="24" t="s">
        <v>19</v>
      </c>
      <c r="B2110" s="17" t="s">
        <v>24</v>
      </c>
      <c r="C2110" s="45">
        <f>152</f>
        <v>152</v>
      </c>
      <c r="D2110" s="45">
        <f>19+1537+1+1</f>
        <v>1558</v>
      </c>
      <c r="E2110" s="45">
        <f>212</f>
        <v>212</v>
      </c>
      <c r="F2110" s="45">
        <f>13+1868+1+2</f>
        <v>1884</v>
      </c>
      <c r="G2110" s="18"/>
      <c r="H2110" s="18"/>
      <c r="I2110" s="18"/>
      <c r="J2110" s="18"/>
      <c r="K2110" s="18"/>
    </row>
    <row r="2111" spans="1:11" ht="16.5" hidden="1" customHeight="1" x14ac:dyDescent="0.2">
      <c r="A2111" s="24"/>
      <c r="B2111" s="17" t="s">
        <v>25</v>
      </c>
      <c r="C2111" s="45">
        <f>167</f>
        <v>167</v>
      </c>
      <c r="D2111" s="45">
        <f>14+1775+2</f>
        <v>1791</v>
      </c>
      <c r="E2111" s="45">
        <f>200</f>
        <v>200</v>
      </c>
      <c r="F2111" s="45">
        <f>16+2306+1+3</f>
        <v>2326</v>
      </c>
      <c r="G2111" s="18"/>
      <c r="H2111" s="18"/>
      <c r="I2111" s="18"/>
      <c r="J2111" s="18"/>
      <c r="K2111" s="18"/>
    </row>
    <row r="2112" spans="1:11" ht="16.5" hidden="1" customHeight="1" x14ac:dyDescent="0.2">
      <c r="A2112" s="24"/>
      <c r="B2112" s="17" t="s">
        <v>11</v>
      </c>
      <c r="C2112" s="45">
        <f>2+207</f>
        <v>209</v>
      </c>
      <c r="D2112" s="45">
        <f>25+2114+2+4</f>
        <v>2145</v>
      </c>
      <c r="E2112" s="45">
        <f>1+232</f>
        <v>233</v>
      </c>
      <c r="F2112" s="45">
        <f>17+2523+3+4</f>
        <v>2547</v>
      </c>
      <c r="G2112" s="18"/>
      <c r="H2112" s="18"/>
      <c r="I2112" s="18"/>
      <c r="J2112" s="18"/>
      <c r="K2112" s="18"/>
    </row>
    <row r="2113" spans="1:11" ht="16.5" hidden="1" customHeight="1" x14ac:dyDescent="0.2">
      <c r="A2113" s="24"/>
      <c r="B2113" s="17"/>
      <c r="C2113" s="18"/>
      <c r="D2113" s="18"/>
      <c r="E2113" s="18"/>
      <c r="F2113" s="18"/>
      <c r="G2113" s="18"/>
      <c r="H2113" s="18"/>
      <c r="I2113" s="18"/>
      <c r="J2113" s="18"/>
      <c r="K2113" s="18"/>
    </row>
    <row r="2114" spans="1:11" ht="16.5" hidden="1" customHeight="1" x14ac:dyDescent="0.25">
      <c r="A2114" s="24" t="s">
        <v>19</v>
      </c>
      <c r="B2114" s="16" t="s">
        <v>101</v>
      </c>
      <c r="C2114" s="55"/>
      <c r="D2114" s="45"/>
      <c r="E2114" s="55"/>
      <c r="F2114" s="45"/>
      <c r="G2114" s="18"/>
      <c r="H2114" s="18"/>
      <c r="I2114" s="18"/>
      <c r="J2114" s="18"/>
      <c r="K2114" s="18"/>
    </row>
    <row r="2115" spans="1:11" ht="16.5" hidden="1" customHeight="1" x14ac:dyDescent="0.2">
      <c r="A2115" s="24" t="s">
        <v>19</v>
      </c>
      <c r="B2115" s="17" t="s">
        <v>12</v>
      </c>
      <c r="C2115" s="45">
        <f>1+224</f>
        <v>225</v>
      </c>
      <c r="D2115" s="45">
        <f>16+1788+1</f>
        <v>1805</v>
      </c>
      <c r="E2115" s="45">
        <f>1+215</f>
        <v>216</v>
      </c>
      <c r="F2115" s="45">
        <f>13+2113+2+1</f>
        <v>2129</v>
      </c>
      <c r="G2115" s="18"/>
      <c r="H2115" s="18"/>
      <c r="I2115" s="18"/>
      <c r="J2115" s="18"/>
      <c r="K2115" s="18"/>
    </row>
    <row r="2116" spans="1:11" ht="16.5" hidden="1" customHeight="1" x14ac:dyDescent="0.2">
      <c r="A2116" s="24"/>
      <c r="B2116" s="17" t="s">
        <v>13</v>
      </c>
      <c r="C2116" s="45">
        <f>2+181</f>
        <v>183</v>
      </c>
      <c r="D2116" s="45">
        <f>10+1750+1</f>
        <v>1761</v>
      </c>
      <c r="E2116" s="45">
        <f>2+224</f>
        <v>226</v>
      </c>
      <c r="F2116" s="45">
        <f>10+1934+3+1</f>
        <v>1948</v>
      </c>
      <c r="G2116" s="18"/>
      <c r="H2116" s="18"/>
      <c r="I2116" s="18"/>
      <c r="J2116" s="18"/>
      <c r="K2116" s="18"/>
    </row>
    <row r="2117" spans="1:11" ht="16.5" hidden="1" customHeight="1" x14ac:dyDescent="0.2">
      <c r="A2117" s="24"/>
      <c r="B2117" s="17" t="s">
        <v>14</v>
      </c>
      <c r="C2117" s="45">
        <f>1+174</f>
        <v>175</v>
      </c>
      <c r="D2117" s="45">
        <f>15+1906+1</f>
        <v>1922</v>
      </c>
      <c r="E2117" s="45">
        <f>1+215</f>
        <v>216</v>
      </c>
      <c r="F2117" s="45">
        <f>10+2121</f>
        <v>2131</v>
      </c>
      <c r="G2117" s="18"/>
      <c r="H2117" s="18"/>
      <c r="I2117" s="18"/>
      <c r="J2117" s="18"/>
      <c r="K2117" s="18"/>
    </row>
    <row r="2118" spans="1:11" ht="16.5" hidden="1" customHeight="1" x14ac:dyDescent="0.2">
      <c r="A2118" s="24"/>
      <c r="B2118" s="17"/>
      <c r="C2118" s="18"/>
      <c r="D2118" s="18"/>
      <c r="E2118" s="18"/>
      <c r="F2118" s="18"/>
      <c r="G2118" s="18"/>
      <c r="H2118" s="18"/>
      <c r="I2118" s="18"/>
      <c r="J2118" s="18"/>
      <c r="K2118" s="18"/>
    </row>
    <row r="2119" spans="1:11" ht="16.5" hidden="1" customHeight="1" x14ac:dyDescent="0.25">
      <c r="A2119" s="24" t="s">
        <v>19</v>
      </c>
      <c r="B2119" s="16" t="s">
        <v>102</v>
      </c>
      <c r="C2119" s="55"/>
      <c r="D2119" s="45"/>
      <c r="E2119" s="55"/>
      <c r="F2119" s="45"/>
      <c r="G2119" s="18"/>
      <c r="H2119" s="18"/>
      <c r="I2119" s="18"/>
      <c r="J2119" s="18"/>
      <c r="K2119" s="18"/>
    </row>
    <row r="2120" spans="1:11" ht="16.5" hidden="1" customHeight="1" x14ac:dyDescent="0.2">
      <c r="A2120" s="24">
        <v>2020</v>
      </c>
      <c r="B2120" s="17" t="s">
        <v>15</v>
      </c>
      <c r="C2120" s="45">
        <f>3+199</f>
        <v>202</v>
      </c>
      <c r="D2120" s="45">
        <f>23+2019+1</f>
        <v>2043</v>
      </c>
      <c r="E2120" s="45">
        <f>1+248</f>
        <v>249</v>
      </c>
      <c r="F2120" s="45">
        <f>20+2253+1+1</f>
        <v>2275</v>
      </c>
      <c r="G2120" s="18"/>
      <c r="H2120" s="18"/>
      <c r="I2120" s="18"/>
      <c r="J2120" s="18"/>
      <c r="K2120" s="18"/>
    </row>
    <row r="2121" spans="1:11" ht="16.5" hidden="1" customHeight="1" x14ac:dyDescent="0.2">
      <c r="A2121" s="24"/>
      <c r="B2121" s="17" t="s">
        <v>16</v>
      </c>
      <c r="C2121" s="45">
        <f>3+229</f>
        <v>232</v>
      </c>
      <c r="D2121" s="45">
        <f>16+1978+2</f>
        <v>1996</v>
      </c>
      <c r="E2121" s="45">
        <f>2+270</f>
        <v>272</v>
      </c>
      <c r="F2121" s="45">
        <f>18+2244+1+2</f>
        <v>2265</v>
      </c>
      <c r="G2121" s="18"/>
      <c r="H2121" s="18"/>
      <c r="I2121" s="18"/>
      <c r="J2121" s="18"/>
      <c r="K2121" s="18"/>
    </row>
    <row r="2122" spans="1:11" ht="16.5" hidden="1" customHeight="1" x14ac:dyDescent="0.2">
      <c r="A2122" s="24"/>
      <c r="B2122" s="17" t="s">
        <v>17</v>
      </c>
      <c r="C2122" s="45">
        <f>2+199</f>
        <v>201</v>
      </c>
      <c r="D2122" s="45">
        <f>20+2131+3</f>
        <v>2154</v>
      </c>
      <c r="E2122" s="45">
        <f>1+260</f>
        <v>261</v>
      </c>
      <c r="F2122" s="45">
        <f>21+2535+1+3</f>
        <v>2560</v>
      </c>
      <c r="G2122" s="18"/>
      <c r="H2122" s="18"/>
      <c r="I2122" s="18"/>
      <c r="J2122" s="18"/>
      <c r="K2122" s="18"/>
    </row>
    <row r="2123" spans="1:11" ht="16.5" hidden="1" customHeight="1" x14ac:dyDescent="0.2">
      <c r="A2123" s="24"/>
      <c r="B2123" s="17"/>
      <c r="C2123" s="45"/>
      <c r="D2123" s="45"/>
      <c r="E2123" s="45"/>
      <c r="F2123" s="45"/>
      <c r="G2123" s="18"/>
      <c r="H2123" s="18"/>
      <c r="I2123" s="18"/>
      <c r="J2123" s="18"/>
      <c r="K2123" s="18"/>
    </row>
    <row r="2124" spans="1:11" ht="15.75" hidden="1" x14ac:dyDescent="0.25">
      <c r="A2124" s="24" t="s">
        <v>19</v>
      </c>
      <c r="B2124" s="16" t="s">
        <v>124</v>
      </c>
      <c r="C2124" s="55"/>
      <c r="D2124" s="45"/>
      <c r="E2124" s="55"/>
      <c r="F2124" s="45"/>
      <c r="G2124" s="18"/>
      <c r="H2124" s="18"/>
      <c r="I2124" s="18"/>
      <c r="J2124" s="18"/>
      <c r="K2124" s="18"/>
    </row>
    <row r="2125" spans="1:11" ht="15" hidden="1" x14ac:dyDescent="0.2">
      <c r="A2125" s="24">
        <v>2020</v>
      </c>
      <c r="B2125" s="17" t="s">
        <v>20</v>
      </c>
      <c r="C2125" s="45">
        <v>200</v>
      </c>
      <c r="D2125" s="45">
        <v>2103</v>
      </c>
      <c r="E2125" s="45">
        <v>234</v>
      </c>
      <c r="F2125" s="45">
        <v>2145</v>
      </c>
      <c r="G2125" s="18"/>
      <c r="H2125" s="18"/>
      <c r="I2125" s="18"/>
      <c r="J2125" s="18"/>
      <c r="K2125" s="18"/>
    </row>
    <row r="2126" spans="1:11" ht="15" hidden="1" x14ac:dyDescent="0.2">
      <c r="A2126" s="24"/>
      <c r="B2126" s="17" t="s">
        <v>21</v>
      </c>
      <c r="C2126" s="45">
        <v>187</v>
      </c>
      <c r="D2126" s="45">
        <v>1943</v>
      </c>
      <c r="E2126" s="45">
        <v>258</v>
      </c>
      <c r="F2126" s="45">
        <v>2444</v>
      </c>
      <c r="G2126" s="18"/>
      <c r="H2126" s="18"/>
      <c r="I2126" s="18"/>
      <c r="J2126" s="18"/>
      <c r="K2126" s="18"/>
    </row>
    <row r="2127" spans="1:11" ht="15" hidden="1" x14ac:dyDescent="0.2">
      <c r="A2127" s="24"/>
      <c r="B2127" s="17" t="s">
        <v>22</v>
      </c>
      <c r="C2127" s="45">
        <v>183</v>
      </c>
      <c r="D2127" s="45">
        <v>1700</v>
      </c>
      <c r="E2127" s="45">
        <v>218</v>
      </c>
      <c r="F2127" s="45">
        <v>1972</v>
      </c>
      <c r="G2127" s="18"/>
      <c r="H2127" s="18"/>
      <c r="I2127" s="18"/>
      <c r="J2127" s="18"/>
      <c r="K2127" s="18"/>
    </row>
    <row r="2128" spans="1:11" ht="15" hidden="1" x14ac:dyDescent="0.2">
      <c r="A2128" s="24"/>
      <c r="B2128" s="17"/>
      <c r="C2128" s="45"/>
      <c r="D2128" s="45"/>
      <c r="E2128" s="45"/>
      <c r="F2128" s="45"/>
      <c r="G2128" s="18"/>
      <c r="H2128" s="18"/>
      <c r="I2128" s="18"/>
      <c r="J2128" s="18"/>
      <c r="K2128" s="18"/>
    </row>
    <row r="2129" spans="1:11" ht="15.75" hidden="1" x14ac:dyDescent="0.25">
      <c r="A2129" s="24" t="s">
        <v>19</v>
      </c>
      <c r="B2129" s="16" t="s">
        <v>126</v>
      </c>
      <c r="C2129" s="55"/>
      <c r="D2129" s="45"/>
      <c r="E2129" s="55"/>
      <c r="F2129" s="45"/>
      <c r="G2129" s="18"/>
      <c r="H2129" s="18"/>
      <c r="I2129" s="18"/>
      <c r="J2129" s="18"/>
      <c r="K2129" s="18"/>
    </row>
    <row r="2130" spans="1:11" ht="15" hidden="1" x14ac:dyDescent="0.2">
      <c r="A2130" s="24">
        <v>2020</v>
      </c>
      <c r="B2130" s="17" t="s">
        <v>24</v>
      </c>
      <c r="C2130" s="45">
        <v>104</v>
      </c>
      <c r="D2130" s="45">
        <v>1612</v>
      </c>
      <c r="E2130" s="45">
        <v>142</v>
      </c>
      <c r="F2130" s="45">
        <v>1624</v>
      </c>
      <c r="G2130" s="18"/>
      <c r="H2130" s="18"/>
      <c r="I2130" s="18"/>
      <c r="J2130" s="18"/>
      <c r="K2130" s="18"/>
    </row>
    <row r="2131" spans="1:11" ht="15" hidden="1" x14ac:dyDescent="0.2">
      <c r="A2131" s="24"/>
      <c r="B2131" s="17" t="s">
        <v>25</v>
      </c>
      <c r="C2131" s="45">
        <v>124</v>
      </c>
      <c r="D2131" s="45">
        <v>1596</v>
      </c>
      <c r="E2131" s="45">
        <v>92</v>
      </c>
      <c r="F2131" s="45">
        <v>1341</v>
      </c>
      <c r="G2131" s="18"/>
      <c r="H2131" s="18"/>
      <c r="I2131" s="18"/>
      <c r="J2131" s="18"/>
      <c r="K2131" s="18"/>
    </row>
    <row r="2132" spans="1:11" ht="15" hidden="1" x14ac:dyDescent="0.2">
      <c r="A2132" s="24"/>
      <c r="B2132" s="17" t="s">
        <v>11</v>
      </c>
      <c r="C2132" s="45">
        <v>133</v>
      </c>
      <c r="D2132" s="45">
        <v>1401</v>
      </c>
      <c r="E2132" s="45">
        <v>73</v>
      </c>
      <c r="F2132" s="45">
        <v>958</v>
      </c>
      <c r="G2132" s="18"/>
      <c r="H2132" s="18"/>
      <c r="I2132" s="18"/>
      <c r="J2132" s="18"/>
      <c r="K2132" s="18"/>
    </row>
    <row r="2133" spans="1:11" ht="15" hidden="1" x14ac:dyDescent="0.2">
      <c r="A2133" s="24"/>
      <c r="B2133" s="17"/>
      <c r="C2133" s="45"/>
      <c r="D2133" s="45"/>
      <c r="E2133" s="45"/>
      <c r="F2133" s="45"/>
      <c r="G2133" s="18"/>
      <c r="H2133" s="18"/>
      <c r="I2133" s="18"/>
      <c r="J2133" s="18"/>
      <c r="K2133" s="18"/>
    </row>
    <row r="2134" spans="1:11" ht="15.75" hidden="1" x14ac:dyDescent="0.25">
      <c r="A2134" s="24" t="s">
        <v>19</v>
      </c>
      <c r="B2134" s="16" t="s">
        <v>127</v>
      </c>
      <c r="C2134" s="55"/>
      <c r="D2134" s="45"/>
      <c r="E2134" s="55"/>
      <c r="F2134" s="45"/>
      <c r="G2134" s="18"/>
      <c r="H2134" s="18"/>
      <c r="I2134" s="18"/>
      <c r="J2134" s="18"/>
      <c r="K2134" s="18"/>
    </row>
    <row r="2135" spans="1:11" ht="15" hidden="1" x14ac:dyDescent="0.2">
      <c r="A2135" s="24">
        <v>2020</v>
      </c>
      <c r="B2135" s="17" t="s">
        <v>12</v>
      </c>
      <c r="C2135" s="45">
        <v>128</v>
      </c>
      <c r="D2135" s="45">
        <f>1272+9</f>
        <v>1281</v>
      </c>
      <c r="E2135" s="45">
        <v>188</v>
      </c>
      <c r="F2135" s="45">
        <f>11+1699</f>
        <v>1710</v>
      </c>
      <c r="G2135" s="18"/>
      <c r="H2135" s="18"/>
      <c r="I2135" s="18"/>
      <c r="J2135" s="18"/>
      <c r="K2135" s="18"/>
    </row>
    <row r="2136" spans="1:11" ht="15" hidden="1" x14ac:dyDescent="0.2">
      <c r="A2136" s="24"/>
      <c r="B2136" s="17" t="s">
        <v>13</v>
      </c>
      <c r="C2136" s="45">
        <v>109</v>
      </c>
      <c r="D2136" s="45">
        <v>1241</v>
      </c>
      <c r="E2136" s="45">
        <v>152</v>
      </c>
      <c r="F2136" s="45">
        <v>1493</v>
      </c>
      <c r="G2136" s="18"/>
      <c r="H2136" s="18"/>
      <c r="I2136" s="18"/>
      <c r="J2136" s="18"/>
      <c r="K2136" s="18"/>
    </row>
    <row r="2137" spans="1:11" ht="15" hidden="1" x14ac:dyDescent="0.2">
      <c r="A2137" s="24"/>
      <c r="B2137" s="17" t="s">
        <v>14</v>
      </c>
      <c r="C2137" s="45">
        <f>1+96</f>
        <v>97</v>
      </c>
      <c r="D2137" s="45">
        <v>1568</v>
      </c>
      <c r="E2137" s="45">
        <f>14+137</f>
        <v>151</v>
      </c>
      <c r="F2137" s="45">
        <v>1576</v>
      </c>
      <c r="G2137" s="18"/>
      <c r="H2137" s="18"/>
      <c r="I2137" s="18"/>
      <c r="J2137" s="18"/>
      <c r="K2137" s="18"/>
    </row>
    <row r="2138" spans="1:11" ht="15" hidden="1" x14ac:dyDescent="0.2">
      <c r="A2138" s="24"/>
      <c r="B2138" s="17"/>
      <c r="C2138" s="45"/>
      <c r="D2138" s="45"/>
      <c r="E2138" s="45"/>
      <c r="F2138" s="45"/>
      <c r="G2138" s="18"/>
      <c r="H2138" s="18"/>
      <c r="I2138" s="18"/>
      <c r="J2138" s="18"/>
      <c r="K2138" s="18"/>
    </row>
    <row r="2139" spans="1:11" ht="15.75" hidden="1" x14ac:dyDescent="0.25">
      <c r="A2139" s="24" t="s">
        <v>19</v>
      </c>
      <c r="B2139" s="16" t="s">
        <v>129</v>
      </c>
      <c r="C2139" s="55"/>
      <c r="D2139" s="45"/>
      <c r="E2139" s="55"/>
      <c r="F2139" s="45"/>
      <c r="G2139" s="18"/>
      <c r="H2139" s="18"/>
      <c r="I2139" s="18"/>
      <c r="J2139" s="18"/>
      <c r="K2139" s="18"/>
    </row>
    <row r="2140" spans="1:11" ht="15" hidden="1" x14ac:dyDescent="0.2">
      <c r="A2140" s="24">
        <v>2021</v>
      </c>
      <c r="B2140" s="17" t="s">
        <v>15</v>
      </c>
      <c r="C2140" s="45">
        <v>170</v>
      </c>
      <c r="D2140" s="45">
        <v>2244</v>
      </c>
      <c r="E2140" s="45">
        <v>197</v>
      </c>
      <c r="F2140" s="45">
        <v>1894</v>
      </c>
      <c r="G2140" s="18"/>
      <c r="H2140" s="18"/>
      <c r="I2140" s="18"/>
      <c r="J2140" s="18"/>
      <c r="K2140" s="18"/>
    </row>
    <row r="2141" spans="1:11" ht="15" hidden="1" x14ac:dyDescent="0.2">
      <c r="A2141" s="24"/>
      <c r="B2141" s="17" t="s">
        <v>16</v>
      </c>
      <c r="C2141" s="45">
        <v>152</v>
      </c>
      <c r="D2141" s="45">
        <v>2382</v>
      </c>
      <c r="E2141" s="45">
        <v>180</v>
      </c>
      <c r="F2141" s="45">
        <v>1913</v>
      </c>
      <c r="G2141" s="18"/>
      <c r="H2141" s="18"/>
      <c r="I2141" s="18"/>
      <c r="J2141" s="18"/>
      <c r="K2141" s="18"/>
    </row>
    <row r="2142" spans="1:11" ht="15" hidden="1" x14ac:dyDescent="0.2">
      <c r="A2142" s="24"/>
      <c r="B2142" s="17" t="s">
        <v>17</v>
      </c>
      <c r="C2142" s="45">
        <v>158</v>
      </c>
      <c r="D2142" s="45">
        <v>2023</v>
      </c>
      <c r="E2142" s="45">
        <v>222</v>
      </c>
      <c r="F2142" s="45">
        <v>2097</v>
      </c>
      <c r="G2142" s="18"/>
      <c r="H2142" s="18"/>
      <c r="I2142" s="18"/>
      <c r="J2142" s="18"/>
      <c r="K2142" s="18"/>
    </row>
    <row r="2143" spans="1:11" ht="15" hidden="1" x14ac:dyDescent="0.2">
      <c r="A2143" s="24"/>
      <c r="B2143" s="17"/>
      <c r="C2143" s="45"/>
      <c r="D2143" s="45"/>
      <c r="E2143" s="45"/>
      <c r="F2143" s="45"/>
      <c r="G2143" s="18"/>
      <c r="H2143" s="18"/>
      <c r="I2143" s="18"/>
      <c r="J2143" s="18"/>
      <c r="K2143" s="18"/>
    </row>
    <row r="2144" spans="1:11" ht="15.75" hidden="1" x14ac:dyDescent="0.25">
      <c r="A2144" s="24" t="s">
        <v>19</v>
      </c>
      <c r="B2144" s="16" t="s">
        <v>130</v>
      </c>
      <c r="C2144" s="55"/>
      <c r="D2144" s="45"/>
      <c r="E2144" s="55"/>
      <c r="F2144" s="45"/>
      <c r="G2144" s="18"/>
      <c r="H2144" s="18"/>
      <c r="I2144" s="18"/>
      <c r="J2144" s="18"/>
      <c r="K2144" s="18"/>
    </row>
    <row r="2145" spans="1:11" ht="15" hidden="1" x14ac:dyDescent="0.2">
      <c r="A2145" s="24">
        <v>2021</v>
      </c>
      <c r="B2145" s="17" t="s">
        <v>20</v>
      </c>
      <c r="C2145" s="45">
        <v>163</v>
      </c>
      <c r="D2145" s="45">
        <v>1811</v>
      </c>
      <c r="E2145" s="45">
        <v>225</v>
      </c>
      <c r="F2145" s="45">
        <v>2119</v>
      </c>
      <c r="G2145" s="18"/>
      <c r="H2145" s="18"/>
      <c r="I2145" s="18"/>
      <c r="J2145" s="18"/>
      <c r="K2145" s="18"/>
    </row>
    <row r="2146" spans="1:11" ht="15" hidden="1" x14ac:dyDescent="0.2">
      <c r="A2146" s="24"/>
      <c r="B2146" s="17" t="s">
        <v>21</v>
      </c>
      <c r="C2146" s="45">
        <v>128</v>
      </c>
      <c r="D2146" s="45">
        <v>1585</v>
      </c>
      <c r="E2146" s="45">
        <v>174</v>
      </c>
      <c r="F2146" s="45">
        <v>1678</v>
      </c>
      <c r="G2146" s="18"/>
      <c r="H2146" s="18"/>
      <c r="I2146" s="18"/>
      <c r="J2146" s="18"/>
      <c r="K2146" s="18"/>
    </row>
    <row r="2147" spans="1:11" ht="15" hidden="1" x14ac:dyDescent="0.2">
      <c r="A2147" s="24"/>
      <c r="B2147" s="17" t="s">
        <v>22</v>
      </c>
      <c r="C2147" s="45">
        <v>119</v>
      </c>
      <c r="D2147" s="45">
        <v>1436</v>
      </c>
      <c r="E2147" s="45">
        <v>153</v>
      </c>
      <c r="F2147" s="45">
        <v>1668</v>
      </c>
      <c r="G2147" s="18"/>
      <c r="H2147" s="18"/>
      <c r="I2147" s="18"/>
      <c r="J2147" s="18"/>
      <c r="K2147" s="18"/>
    </row>
    <row r="2148" spans="1:11" ht="15" hidden="1" x14ac:dyDescent="0.2">
      <c r="A2148" s="24"/>
      <c r="B2148" s="17"/>
      <c r="C2148" s="45"/>
      <c r="D2148" s="45"/>
      <c r="E2148" s="45"/>
      <c r="F2148" s="45"/>
      <c r="G2148" s="18"/>
      <c r="H2148" s="18"/>
      <c r="I2148" s="18"/>
      <c r="J2148" s="18"/>
      <c r="K2148" s="18"/>
    </row>
    <row r="2149" spans="1:11" ht="15.75" hidden="1" x14ac:dyDescent="0.25">
      <c r="A2149" s="24" t="s">
        <v>19</v>
      </c>
      <c r="B2149" s="16" t="s">
        <v>131</v>
      </c>
      <c r="C2149" s="55"/>
      <c r="D2149" s="45"/>
      <c r="E2149" s="55"/>
      <c r="F2149" s="45"/>
      <c r="G2149" s="18"/>
      <c r="H2149" s="18"/>
      <c r="I2149" s="18"/>
      <c r="J2149" s="18"/>
      <c r="K2149" s="18"/>
    </row>
    <row r="2150" spans="1:11" ht="15" hidden="1" x14ac:dyDescent="0.2">
      <c r="A2150" s="24">
        <v>2021</v>
      </c>
      <c r="B2150" s="17" t="s">
        <v>24</v>
      </c>
      <c r="C2150" s="45">
        <v>134</v>
      </c>
      <c r="D2150" s="45">
        <v>1380</v>
      </c>
      <c r="E2150" s="45">
        <v>164</v>
      </c>
      <c r="F2150" s="45">
        <v>1539</v>
      </c>
      <c r="G2150" s="18"/>
      <c r="H2150" s="18"/>
      <c r="I2150" s="18"/>
      <c r="J2150" s="18"/>
      <c r="K2150" s="18"/>
    </row>
    <row r="2151" spans="1:11" ht="15" hidden="1" x14ac:dyDescent="0.2">
      <c r="A2151" s="24"/>
      <c r="B2151" s="17" t="s">
        <v>25</v>
      </c>
      <c r="C2151" s="45">
        <v>155</v>
      </c>
      <c r="D2151" s="45">
        <v>1528</v>
      </c>
      <c r="E2151" s="45">
        <v>190</v>
      </c>
      <c r="F2151" s="45">
        <v>1576</v>
      </c>
      <c r="G2151" s="18"/>
      <c r="H2151" s="18"/>
      <c r="I2151" s="18"/>
      <c r="J2151" s="18"/>
      <c r="K2151" s="18"/>
    </row>
    <row r="2152" spans="1:11" ht="15" hidden="1" x14ac:dyDescent="0.2">
      <c r="A2152" s="24"/>
      <c r="B2152" s="17" t="s">
        <v>11</v>
      </c>
      <c r="C2152" s="45">
        <v>130</v>
      </c>
      <c r="D2152" s="45">
        <v>1424</v>
      </c>
      <c r="E2152" s="45">
        <v>182</v>
      </c>
      <c r="F2152" s="45">
        <v>1483</v>
      </c>
      <c r="G2152" s="18"/>
      <c r="H2152" s="18"/>
      <c r="I2152" s="18"/>
      <c r="J2152" s="18"/>
      <c r="K2152" s="18"/>
    </row>
    <row r="2153" spans="1:11" ht="15" hidden="1" x14ac:dyDescent="0.2">
      <c r="A2153" s="24"/>
      <c r="B2153" s="17"/>
      <c r="C2153" s="45"/>
      <c r="D2153" s="45"/>
      <c r="E2153" s="45"/>
      <c r="F2153" s="45"/>
      <c r="G2153" s="18"/>
      <c r="H2153" s="18"/>
      <c r="I2153" s="18"/>
      <c r="J2153" s="18"/>
      <c r="K2153" s="18"/>
    </row>
    <row r="2154" spans="1:11" ht="15.75" hidden="1" x14ac:dyDescent="0.25">
      <c r="A2154" s="24" t="s">
        <v>19</v>
      </c>
      <c r="B2154" s="16" t="s">
        <v>133</v>
      </c>
      <c r="C2154" s="55"/>
      <c r="D2154" s="45"/>
      <c r="E2154" s="55"/>
      <c r="F2154" s="45"/>
      <c r="G2154" s="18"/>
      <c r="H2154" s="18"/>
      <c r="I2154" s="18"/>
      <c r="J2154" s="18"/>
      <c r="K2154" s="18"/>
    </row>
    <row r="2155" spans="1:11" ht="15" hidden="1" x14ac:dyDescent="0.2">
      <c r="A2155" s="24">
        <v>2021</v>
      </c>
      <c r="B2155" s="17" t="s">
        <v>12</v>
      </c>
      <c r="C2155" s="45">
        <v>133</v>
      </c>
      <c r="D2155" s="45">
        <v>1506</v>
      </c>
      <c r="E2155" s="45">
        <v>158</v>
      </c>
      <c r="F2155" s="45">
        <v>1507</v>
      </c>
      <c r="G2155" s="18"/>
      <c r="H2155" s="18"/>
      <c r="I2155" s="18"/>
      <c r="J2155" s="18"/>
      <c r="K2155" s="18"/>
    </row>
    <row r="2156" spans="1:11" ht="15" hidden="1" x14ac:dyDescent="0.2">
      <c r="A2156" s="24"/>
      <c r="B2156" s="17" t="s">
        <v>13</v>
      </c>
      <c r="C2156" s="45">
        <v>130</v>
      </c>
      <c r="D2156" s="45">
        <v>1617</v>
      </c>
      <c r="E2156" s="45">
        <v>157</v>
      </c>
      <c r="F2156" s="45">
        <v>1605</v>
      </c>
      <c r="G2156" s="18"/>
      <c r="H2156" s="18"/>
      <c r="I2156" s="18"/>
      <c r="J2156" s="18"/>
      <c r="K2156" s="18"/>
    </row>
    <row r="2157" spans="1:11" ht="15" hidden="1" x14ac:dyDescent="0.2">
      <c r="A2157" s="24"/>
      <c r="B2157" s="17" t="s">
        <v>14</v>
      </c>
      <c r="C2157" s="45">
        <v>149</v>
      </c>
      <c r="D2157" s="45">
        <v>1688</v>
      </c>
      <c r="E2157" s="45">
        <v>173</v>
      </c>
      <c r="F2157" s="45">
        <v>1699</v>
      </c>
      <c r="G2157" s="18"/>
      <c r="H2157" s="18"/>
      <c r="I2157" s="18"/>
      <c r="J2157" s="18"/>
      <c r="K2157" s="18"/>
    </row>
    <row r="2158" spans="1:11" ht="15" hidden="1" x14ac:dyDescent="0.2">
      <c r="A2158" s="24"/>
      <c r="B2158" s="17"/>
      <c r="C2158" s="45"/>
      <c r="D2158" s="45"/>
      <c r="E2158" s="45"/>
      <c r="F2158" s="45"/>
      <c r="G2158" s="18"/>
      <c r="H2158" s="18"/>
      <c r="I2158" s="18"/>
      <c r="J2158" s="18"/>
      <c r="K2158" s="18"/>
    </row>
    <row r="2159" spans="1:11" ht="15.75" hidden="1" x14ac:dyDescent="0.25">
      <c r="A2159" s="24" t="s">
        <v>19</v>
      </c>
      <c r="B2159" s="16" t="s">
        <v>134</v>
      </c>
      <c r="C2159" s="55"/>
      <c r="D2159" s="45"/>
      <c r="E2159" s="55"/>
      <c r="F2159" s="45"/>
      <c r="G2159" s="18"/>
      <c r="H2159" s="18"/>
      <c r="I2159" s="18"/>
      <c r="J2159" s="18"/>
      <c r="K2159" s="18"/>
    </row>
    <row r="2160" spans="1:11" ht="15" hidden="1" x14ac:dyDescent="0.2">
      <c r="A2160" s="24">
        <v>2022</v>
      </c>
      <c r="B2160" s="17" t="s">
        <v>15</v>
      </c>
      <c r="C2160" s="45">
        <v>138</v>
      </c>
      <c r="D2160" s="45">
        <v>1803</v>
      </c>
      <c r="E2160" s="45">
        <v>147</v>
      </c>
      <c r="F2160" s="45">
        <v>1522</v>
      </c>
      <c r="G2160" s="18"/>
      <c r="H2160" s="18"/>
      <c r="I2160" s="18"/>
      <c r="J2160" s="18"/>
      <c r="K2160" s="18"/>
    </row>
    <row r="2161" spans="1:11" ht="15" hidden="1" x14ac:dyDescent="0.2">
      <c r="A2161" s="24"/>
      <c r="B2161" s="17" t="s">
        <v>16</v>
      </c>
      <c r="C2161" s="45">
        <v>174</v>
      </c>
      <c r="D2161" s="45">
        <v>1826</v>
      </c>
      <c r="E2161" s="45">
        <v>170</v>
      </c>
      <c r="F2161" s="45">
        <v>1639</v>
      </c>
      <c r="G2161" s="18"/>
      <c r="H2161" s="18"/>
      <c r="I2161" s="18"/>
      <c r="J2161" s="18"/>
      <c r="K2161" s="18"/>
    </row>
    <row r="2162" spans="1:11" ht="15" hidden="1" x14ac:dyDescent="0.2">
      <c r="A2162" s="24"/>
      <c r="B2162" s="17" t="s">
        <v>17</v>
      </c>
      <c r="C2162" s="45">
        <v>175</v>
      </c>
      <c r="D2162" s="45">
        <v>1850</v>
      </c>
      <c r="E2162" s="45">
        <v>192</v>
      </c>
      <c r="F2162" s="45">
        <v>1910</v>
      </c>
      <c r="G2162" s="18"/>
      <c r="H2162" s="18"/>
      <c r="I2162" s="18"/>
      <c r="J2162" s="18"/>
      <c r="K2162" s="18"/>
    </row>
    <row r="2163" spans="1:11" ht="15" hidden="1" x14ac:dyDescent="0.2">
      <c r="A2163" s="24"/>
      <c r="B2163" s="17"/>
      <c r="C2163" s="45"/>
      <c r="D2163" s="45"/>
      <c r="E2163" s="45"/>
      <c r="F2163" s="45"/>
      <c r="G2163" s="18"/>
      <c r="H2163" s="18"/>
      <c r="I2163" s="18"/>
      <c r="J2163" s="18"/>
      <c r="K2163" s="18"/>
    </row>
    <row r="2164" spans="1:11" ht="15.75" hidden="1" x14ac:dyDescent="0.25">
      <c r="A2164" s="24" t="s">
        <v>19</v>
      </c>
      <c r="B2164" s="16" t="s">
        <v>135</v>
      </c>
      <c r="C2164" s="55"/>
      <c r="D2164" s="45"/>
      <c r="E2164" s="55"/>
      <c r="F2164" s="45"/>
      <c r="G2164" s="18"/>
      <c r="H2164" s="18"/>
      <c r="I2164" s="18"/>
      <c r="J2164" s="18"/>
      <c r="K2164" s="18"/>
    </row>
    <row r="2165" spans="1:11" ht="15" hidden="1" x14ac:dyDescent="0.2">
      <c r="A2165" s="24">
        <v>2022</v>
      </c>
      <c r="B2165" s="17" t="s">
        <v>20</v>
      </c>
      <c r="C2165" s="45">
        <v>155</v>
      </c>
      <c r="D2165" s="45">
        <v>1793</v>
      </c>
      <c r="E2165" s="45">
        <v>198</v>
      </c>
      <c r="F2165" s="45">
        <v>1828</v>
      </c>
      <c r="G2165" s="18"/>
      <c r="H2165" s="18"/>
      <c r="I2165" s="18"/>
      <c r="J2165" s="18"/>
      <c r="K2165" s="18"/>
    </row>
    <row r="2166" spans="1:11" ht="15" hidden="1" x14ac:dyDescent="0.2">
      <c r="A2166" s="24"/>
      <c r="B2166" s="17" t="s">
        <v>21</v>
      </c>
      <c r="C2166" s="45">
        <v>129</v>
      </c>
      <c r="D2166" s="45">
        <v>1568</v>
      </c>
      <c r="E2166" s="45">
        <v>150</v>
      </c>
      <c r="F2166" s="45">
        <v>1582</v>
      </c>
      <c r="G2166" s="18"/>
      <c r="H2166" s="18"/>
      <c r="I2166" s="18"/>
      <c r="J2166" s="18"/>
      <c r="K2166" s="18"/>
    </row>
    <row r="2167" spans="1:11" ht="15" hidden="1" x14ac:dyDescent="0.2">
      <c r="A2167" s="24"/>
      <c r="B2167" s="17" t="s">
        <v>22</v>
      </c>
      <c r="C2167" s="45">
        <v>132</v>
      </c>
      <c r="D2167" s="45">
        <v>1461</v>
      </c>
      <c r="E2167" s="45">
        <v>149</v>
      </c>
      <c r="F2167" s="45">
        <v>1345</v>
      </c>
      <c r="G2167" s="18"/>
      <c r="H2167" s="18"/>
      <c r="I2167" s="18"/>
      <c r="J2167" s="18"/>
      <c r="K2167" s="18"/>
    </row>
    <row r="2168" spans="1:11" ht="15" hidden="1" x14ac:dyDescent="0.2">
      <c r="A2168" s="24"/>
      <c r="B2168" s="17"/>
      <c r="C2168" s="45"/>
      <c r="D2168" s="45"/>
      <c r="E2168" s="45"/>
      <c r="F2168" s="45"/>
      <c r="G2168" s="18"/>
      <c r="H2168" s="18"/>
      <c r="I2168" s="18"/>
      <c r="J2168" s="18"/>
      <c r="K2168" s="18"/>
    </row>
    <row r="2169" spans="1:11" ht="15.75" hidden="1" x14ac:dyDescent="0.25">
      <c r="A2169" s="24" t="s">
        <v>19</v>
      </c>
      <c r="B2169" s="16" t="s">
        <v>136</v>
      </c>
      <c r="C2169" s="55"/>
      <c r="D2169" s="45"/>
      <c r="E2169" s="55"/>
      <c r="F2169" s="45"/>
      <c r="G2169" s="18"/>
      <c r="H2169" s="18"/>
      <c r="I2169" s="18"/>
      <c r="J2169" s="18"/>
      <c r="K2169" s="18"/>
    </row>
    <row r="2170" spans="1:11" ht="15" hidden="1" x14ac:dyDescent="0.2">
      <c r="A2170" s="24">
        <v>2022</v>
      </c>
      <c r="B2170" s="17" t="s">
        <v>24</v>
      </c>
      <c r="C2170" s="45">
        <v>158</v>
      </c>
      <c r="D2170" s="45">
        <v>1525</v>
      </c>
      <c r="E2170" s="45">
        <v>194</v>
      </c>
      <c r="F2170" s="45">
        <v>1671</v>
      </c>
      <c r="G2170" s="18"/>
      <c r="H2170" s="18"/>
      <c r="I2170" s="18"/>
      <c r="J2170" s="18"/>
      <c r="K2170" s="18"/>
    </row>
    <row r="2171" spans="1:11" ht="15" hidden="1" x14ac:dyDescent="0.2">
      <c r="A2171" s="24"/>
      <c r="B2171" s="17" t="s">
        <v>25</v>
      </c>
      <c r="C2171" s="45">
        <v>116</v>
      </c>
      <c r="D2171" s="45">
        <v>1272</v>
      </c>
      <c r="E2171" s="45">
        <v>137</v>
      </c>
      <c r="F2171" s="45">
        <v>1386</v>
      </c>
      <c r="G2171" s="18"/>
      <c r="H2171" s="18"/>
      <c r="I2171" s="18"/>
      <c r="J2171" s="18"/>
      <c r="K2171" s="18"/>
    </row>
    <row r="2172" spans="1:11" ht="15" hidden="1" x14ac:dyDescent="0.2">
      <c r="A2172" s="24"/>
      <c r="B2172" s="17" t="s">
        <v>11</v>
      </c>
      <c r="C2172" s="45">
        <v>146</v>
      </c>
      <c r="D2172" s="45">
        <v>1387</v>
      </c>
      <c r="E2172" s="45">
        <v>145</v>
      </c>
      <c r="F2172" s="45">
        <v>1422</v>
      </c>
      <c r="G2172" s="18"/>
      <c r="H2172" s="18"/>
      <c r="I2172" s="18"/>
      <c r="J2172" s="18"/>
      <c r="K2172" s="18"/>
    </row>
    <row r="2173" spans="1:11" ht="15" hidden="1" x14ac:dyDescent="0.2">
      <c r="A2173" s="24"/>
      <c r="B2173" s="17"/>
      <c r="C2173" s="45"/>
      <c r="D2173" s="45"/>
      <c r="E2173" s="45"/>
      <c r="F2173" s="45"/>
      <c r="G2173" s="18"/>
      <c r="H2173" s="18"/>
      <c r="I2173" s="18"/>
      <c r="J2173" s="18"/>
      <c r="K2173" s="18"/>
    </row>
    <row r="2174" spans="1:11" ht="15.75" hidden="1" x14ac:dyDescent="0.25">
      <c r="A2174" s="24" t="s">
        <v>19</v>
      </c>
      <c r="B2174" s="16" t="s">
        <v>137</v>
      </c>
      <c r="C2174" s="55"/>
      <c r="D2174" s="45"/>
      <c r="E2174" s="55"/>
      <c r="F2174" s="45"/>
      <c r="G2174" s="18"/>
      <c r="H2174" s="18"/>
      <c r="I2174" s="18"/>
      <c r="J2174" s="18"/>
      <c r="K2174" s="18"/>
    </row>
    <row r="2175" spans="1:11" ht="15" hidden="1" x14ac:dyDescent="0.2">
      <c r="A2175" s="24">
        <v>2022</v>
      </c>
      <c r="B2175" s="17" t="s">
        <v>12</v>
      </c>
      <c r="C2175" s="45">
        <v>128</v>
      </c>
      <c r="D2175" s="45">
        <v>1589</v>
      </c>
      <c r="E2175" s="45">
        <v>169</v>
      </c>
      <c r="F2175" s="45">
        <v>1467</v>
      </c>
      <c r="G2175" s="18"/>
      <c r="H2175" s="18"/>
      <c r="I2175" s="18"/>
      <c r="J2175" s="18"/>
      <c r="K2175" s="18"/>
    </row>
    <row r="2176" spans="1:11" ht="15" hidden="1" x14ac:dyDescent="0.2">
      <c r="A2176" s="24"/>
      <c r="B2176" s="17" t="s">
        <v>13</v>
      </c>
      <c r="C2176" s="45">
        <v>124</v>
      </c>
      <c r="D2176" s="45">
        <v>1920</v>
      </c>
      <c r="E2176" s="45">
        <v>145</v>
      </c>
      <c r="F2176" s="45">
        <v>1730</v>
      </c>
      <c r="G2176" s="18"/>
      <c r="H2176" s="18"/>
      <c r="I2176" s="18"/>
      <c r="J2176" s="18"/>
      <c r="K2176" s="18"/>
    </row>
    <row r="2177" spans="1:11" ht="15" hidden="1" x14ac:dyDescent="0.2">
      <c r="A2177" s="24"/>
      <c r="B2177" s="17" t="s">
        <v>14</v>
      </c>
      <c r="C2177" s="45">
        <v>154</v>
      </c>
      <c r="D2177" s="45">
        <v>2039</v>
      </c>
      <c r="E2177" s="45">
        <v>172</v>
      </c>
      <c r="F2177" s="45">
        <v>1657</v>
      </c>
      <c r="G2177" s="18"/>
      <c r="H2177" s="18"/>
      <c r="I2177" s="18"/>
      <c r="J2177" s="18"/>
      <c r="K2177" s="18"/>
    </row>
    <row r="2178" spans="1:11" ht="15" hidden="1" x14ac:dyDescent="0.2">
      <c r="A2178" s="24"/>
      <c r="B2178" s="17"/>
      <c r="C2178" s="45"/>
      <c r="D2178" s="45"/>
      <c r="E2178" s="45"/>
      <c r="F2178" s="45"/>
      <c r="G2178" s="18"/>
      <c r="H2178" s="18"/>
      <c r="I2178" s="18"/>
      <c r="J2178" s="18"/>
      <c r="K2178" s="18"/>
    </row>
    <row r="2179" spans="1:11" ht="15.75" x14ac:dyDescent="0.25">
      <c r="A2179" s="24"/>
      <c r="B2179" s="16" t="s">
        <v>138</v>
      </c>
      <c r="C2179" s="45"/>
      <c r="D2179" s="45"/>
      <c r="E2179" s="45"/>
      <c r="F2179" s="45"/>
      <c r="G2179" s="18"/>
      <c r="H2179" s="18"/>
      <c r="I2179" s="18"/>
      <c r="J2179" s="18"/>
      <c r="K2179" s="18"/>
    </row>
    <row r="2180" spans="1:11" ht="15.75" x14ac:dyDescent="0.25">
      <c r="A2180" s="24">
        <v>2023</v>
      </c>
      <c r="B2180" s="17" t="s">
        <v>15</v>
      </c>
      <c r="C2180" s="57">
        <v>114</v>
      </c>
      <c r="D2180" s="57">
        <v>1955</v>
      </c>
      <c r="E2180" s="57">
        <v>116</v>
      </c>
      <c r="F2180" s="57">
        <v>1502</v>
      </c>
      <c r="G2180" s="18"/>
      <c r="H2180" s="18"/>
      <c r="I2180" s="18"/>
      <c r="J2180" s="18"/>
      <c r="K2180" s="18"/>
    </row>
    <row r="2181" spans="1:11" ht="15.75" x14ac:dyDescent="0.25">
      <c r="A2181" s="24"/>
      <c r="B2181" s="17" t="s">
        <v>16</v>
      </c>
      <c r="C2181" s="57">
        <v>116</v>
      </c>
      <c r="D2181" s="57">
        <v>2038</v>
      </c>
      <c r="E2181" s="57">
        <v>143</v>
      </c>
      <c r="F2181" s="57">
        <v>1781</v>
      </c>
      <c r="G2181" s="18"/>
      <c r="H2181" s="18"/>
      <c r="I2181" s="18"/>
      <c r="J2181" s="18"/>
      <c r="K2181" s="18"/>
    </row>
    <row r="2182" spans="1:11" ht="15.75" x14ac:dyDescent="0.25">
      <c r="A2182" s="24"/>
      <c r="B2182" s="17" t="s">
        <v>17</v>
      </c>
      <c r="C2182" s="57">
        <v>112</v>
      </c>
      <c r="D2182" s="57">
        <v>2160</v>
      </c>
      <c r="E2182" s="57">
        <v>174</v>
      </c>
      <c r="F2182" s="57">
        <v>2368</v>
      </c>
      <c r="G2182" s="18"/>
      <c r="H2182" s="18"/>
      <c r="I2182" s="18"/>
      <c r="J2182" s="18"/>
      <c r="K2182" s="18"/>
    </row>
    <row r="2183" spans="1:11" ht="15.75" x14ac:dyDescent="0.25">
      <c r="A2183" s="24"/>
      <c r="B2183" s="17"/>
      <c r="C2183" s="57"/>
      <c r="D2183" s="57"/>
      <c r="E2183" s="57"/>
      <c r="F2183" s="57"/>
      <c r="G2183" s="18"/>
      <c r="H2183" s="18"/>
      <c r="I2183" s="18"/>
      <c r="J2183" s="18"/>
      <c r="K2183" s="18"/>
    </row>
    <row r="2184" spans="1:11" ht="15.75" x14ac:dyDescent="0.25">
      <c r="A2184" s="24"/>
      <c r="B2184" s="16" t="s">
        <v>139</v>
      </c>
      <c r="C2184" s="57"/>
      <c r="D2184" s="57"/>
      <c r="E2184" s="57"/>
      <c r="F2184" s="57"/>
      <c r="G2184" s="18"/>
      <c r="H2184" s="18"/>
      <c r="I2184" s="18"/>
      <c r="J2184" s="18"/>
      <c r="K2184" s="18"/>
    </row>
    <row r="2185" spans="1:11" ht="15.75" x14ac:dyDescent="0.25">
      <c r="A2185" s="24">
        <v>2023</v>
      </c>
      <c r="B2185" s="17" t="s">
        <v>20</v>
      </c>
      <c r="C2185" s="57">
        <v>107</v>
      </c>
      <c r="D2185" s="57">
        <v>1798</v>
      </c>
      <c r="E2185" s="57">
        <v>157</v>
      </c>
      <c r="F2185" s="57">
        <v>1813</v>
      </c>
      <c r="G2185" s="18"/>
      <c r="H2185" s="18"/>
      <c r="I2185" s="18"/>
      <c r="J2185" s="18"/>
      <c r="K2185" s="18"/>
    </row>
    <row r="2186" spans="1:11" ht="15.75" x14ac:dyDescent="0.25">
      <c r="A2186" s="24"/>
      <c r="B2186" s="17" t="s">
        <v>21</v>
      </c>
      <c r="C2186" s="57">
        <v>86</v>
      </c>
      <c r="D2186" s="57">
        <v>1612</v>
      </c>
      <c r="E2186" s="57">
        <v>123</v>
      </c>
      <c r="F2186" s="57">
        <v>1567</v>
      </c>
      <c r="G2186" s="18"/>
      <c r="H2186" s="18"/>
      <c r="I2186" s="18"/>
      <c r="J2186" s="18"/>
      <c r="K2186" s="18"/>
    </row>
    <row r="2187" spans="1:11" ht="15.75" x14ac:dyDescent="0.25">
      <c r="A2187" s="24"/>
      <c r="B2187" s="17" t="s">
        <v>22</v>
      </c>
      <c r="C2187" s="57">
        <v>91</v>
      </c>
      <c r="D2187" s="57">
        <v>1583</v>
      </c>
      <c r="E2187" s="57">
        <v>129</v>
      </c>
      <c r="F2187" s="57">
        <v>1791</v>
      </c>
      <c r="G2187" s="18"/>
      <c r="H2187" s="18"/>
      <c r="I2187" s="18"/>
      <c r="J2187" s="18"/>
      <c r="K2187" s="18"/>
    </row>
    <row r="2188" spans="1:11" ht="15" x14ac:dyDescent="0.2">
      <c r="A2188" s="24"/>
      <c r="B2188" s="17"/>
      <c r="C2188" s="45"/>
      <c r="D2188" s="45"/>
      <c r="E2188" s="45"/>
      <c r="F2188" s="45"/>
      <c r="G2188" s="18"/>
      <c r="H2188" s="18"/>
      <c r="I2188" s="18"/>
      <c r="J2188" s="18"/>
      <c r="K2188" s="18"/>
    </row>
    <row r="2189" spans="1:11" ht="15.75" x14ac:dyDescent="0.25">
      <c r="A2189" s="24"/>
      <c r="B2189" s="16" t="s">
        <v>140</v>
      </c>
      <c r="C2189" s="45"/>
      <c r="D2189" s="45"/>
      <c r="E2189" s="45"/>
      <c r="F2189" s="45"/>
      <c r="G2189" s="18"/>
      <c r="H2189" s="18"/>
      <c r="I2189" s="18"/>
      <c r="J2189" s="18"/>
      <c r="K2189" s="18"/>
    </row>
    <row r="2190" spans="1:11" ht="15.75" x14ac:dyDescent="0.25">
      <c r="A2190" s="24">
        <v>2023</v>
      </c>
      <c r="B2190" s="17" t="s">
        <v>24</v>
      </c>
      <c r="C2190" s="57">
        <v>86</v>
      </c>
      <c r="D2190" s="57">
        <v>1535</v>
      </c>
      <c r="E2190" s="57">
        <v>113</v>
      </c>
      <c r="F2190" s="57">
        <v>1521</v>
      </c>
      <c r="G2190" s="18"/>
      <c r="H2190" s="18"/>
      <c r="I2190" s="18"/>
      <c r="J2190" s="18"/>
      <c r="K2190" s="18"/>
    </row>
    <row r="2191" spans="1:11" ht="15.75" x14ac:dyDescent="0.25">
      <c r="A2191" s="24"/>
      <c r="B2191" s="17" t="s">
        <v>25</v>
      </c>
      <c r="C2191" s="57">
        <v>106</v>
      </c>
      <c r="D2191" s="57">
        <v>1741</v>
      </c>
      <c r="E2191" s="57">
        <v>127</v>
      </c>
      <c r="F2191" s="57">
        <v>1676</v>
      </c>
      <c r="G2191" s="18"/>
      <c r="H2191" s="18"/>
      <c r="I2191" s="18"/>
      <c r="J2191" s="18"/>
      <c r="K2191" s="18"/>
    </row>
    <row r="2192" spans="1:11" ht="15.75" x14ac:dyDescent="0.25">
      <c r="A2192" s="24"/>
      <c r="B2192" s="17" t="s">
        <v>11</v>
      </c>
      <c r="C2192" s="57">
        <v>119</v>
      </c>
      <c r="D2192" s="57">
        <v>1799</v>
      </c>
      <c r="E2192" s="57">
        <v>128</v>
      </c>
      <c r="F2192" s="57">
        <v>1554</v>
      </c>
      <c r="G2192" s="18"/>
      <c r="H2192" s="18"/>
      <c r="I2192" s="18"/>
      <c r="J2192" s="18"/>
      <c r="K2192" s="18"/>
    </row>
    <row r="2193" spans="1:11" ht="15.75" x14ac:dyDescent="0.25">
      <c r="A2193" s="24"/>
      <c r="B2193" s="17"/>
      <c r="C2193" s="57"/>
      <c r="D2193" s="57"/>
      <c r="E2193" s="57"/>
      <c r="F2193" s="57"/>
      <c r="G2193" s="18"/>
      <c r="H2193" s="18"/>
      <c r="I2193" s="18"/>
      <c r="J2193" s="18"/>
      <c r="K2193" s="18"/>
    </row>
    <row r="2194" spans="1:11" ht="15.75" x14ac:dyDescent="0.25">
      <c r="A2194" s="24"/>
      <c r="B2194" s="16" t="s">
        <v>141</v>
      </c>
      <c r="C2194" s="57"/>
      <c r="D2194" s="57"/>
      <c r="E2194" s="57"/>
      <c r="F2194" s="57"/>
      <c r="G2194" s="18"/>
      <c r="H2194" s="18"/>
      <c r="I2194" s="18"/>
      <c r="J2194" s="18"/>
      <c r="K2194" s="18"/>
    </row>
    <row r="2195" spans="1:11" ht="15.75" x14ac:dyDescent="0.25">
      <c r="A2195" s="24">
        <v>2023</v>
      </c>
      <c r="B2195" s="17" t="s">
        <v>12</v>
      </c>
      <c r="C2195" s="57">
        <v>133</v>
      </c>
      <c r="D2195" s="57">
        <v>2049</v>
      </c>
      <c r="E2195" s="57">
        <v>136</v>
      </c>
      <c r="F2195" s="57">
        <v>1604</v>
      </c>
      <c r="G2195" s="18"/>
      <c r="H2195" s="18"/>
      <c r="I2195" s="18"/>
      <c r="J2195" s="18"/>
      <c r="K2195" s="18"/>
    </row>
    <row r="2196" spans="1:11" ht="15.75" x14ac:dyDescent="0.25">
      <c r="A2196" s="24"/>
      <c r="B2196" s="17" t="s">
        <v>13</v>
      </c>
      <c r="C2196" s="57">
        <v>126</v>
      </c>
      <c r="D2196" s="57">
        <v>2150</v>
      </c>
      <c r="E2196" s="57">
        <v>135</v>
      </c>
      <c r="F2196" s="57">
        <v>1776</v>
      </c>
      <c r="G2196" s="18"/>
      <c r="H2196" s="18"/>
      <c r="I2196" s="18"/>
      <c r="J2196" s="18"/>
      <c r="K2196" s="18"/>
    </row>
    <row r="2197" spans="1:11" ht="15.75" x14ac:dyDescent="0.25">
      <c r="A2197" s="24"/>
      <c r="B2197" s="17" t="s">
        <v>14</v>
      </c>
      <c r="C2197" s="57">
        <v>148</v>
      </c>
      <c r="D2197" s="57">
        <v>2386</v>
      </c>
      <c r="E2197" s="57">
        <v>130</v>
      </c>
      <c r="F2197" s="57">
        <v>1751</v>
      </c>
      <c r="G2197" s="18"/>
      <c r="H2197" s="18"/>
      <c r="I2197" s="18"/>
      <c r="J2197" s="18"/>
      <c r="K2197" s="18"/>
    </row>
    <row r="2198" spans="1:11" ht="15" x14ac:dyDescent="0.2">
      <c r="A2198" s="24"/>
      <c r="B2198" s="17"/>
      <c r="C2198" s="45"/>
      <c r="D2198" s="45"/>
      <c r="E2198" s="45"/>
      <c r="F2198" s="45"/>
      <c r="G2198" s="18"/>
      <c r="H2198" s="18"/>
      <c r="I2198" s="18"/>
      <c r="J2198" s="18"/>
      <c r="K2198" s="18"/>
    </row>
    <row r="2199" spans="1:11" ht="15.75" x14ac:dyDescent="0.25">
      <c r="A2199" s="24"/>
      <c r="B2199" s="16" t="s">
        <v>142</v>
      </c>
      <c r="C2199" s="45"/>
      <c r="D2199" s="45"/>
      <c r="E2199" s="45"/>
      <c r="F2199" s="45"/>
      <c r="G2199" s="18"/>
      <c r="H2199" s="18"/>
      <c r="I2199" s="18"/>
      <c r="J2199" s="18"/>
      <c r="K2199" s="18"/>
    </row>
    <row r="2200" spans="1:11" ht="15" x14ac:dyDescent="0.2">
      <c r="A2200" s="24">
        <v>2024</v>
      </c>
      <c r="B2200" s="17" t="s">
        <v>15</v>
      </c>
      <c r="C2200" s="45">
        <v>167</v>
      </c>
      <c r="D2200" s="45">
        <v>2306</v>
      </c>
      <c r="E2200" s="45">
        <v>144</v>
      </c>
      <c r="F2200" s="45">
        <v>1775</v>
      </c>
      <c r="G2200" s="18"/>
      <c r="H2200" s="18"/>
      <c r="I2200" s="18"/>
      <c r="J2200" s="18"/>
      <c r="K2200" s="18"/>
    </row>
    <row r="2201" spans="1:11" ht="15" x14ac:dyDescent="0.2">
      <c r="A2201" s="24"/>
      <c r="B2201" s="17" t="s">
        <v>16</v>
      </c>
      <c r="C2201" s="45">
        <v>151</v>
      </c>
      <c r="D2201" s="45">
        <v>2333</v>
      </c>
      <c r="E2201" s="45">
        <v>146</v>
      </c>
      <c r="F2201" s="45">
        <v>2081</v>
      </c>
      <c r="G2201" s="18"/>
      <c r="H2201" s="18"/>
      <c r="I2201" s="18"/>
      <c r="J2201" s="18"/>
      <c r="K2201" s="18"/>
    </row>
    <row r="2202" spans="1:11" ht="15" x14ac:dyDescent="0.2">
      <c r="A2202" s="24"/>
      <c r="B2202" s="17" t="s">
        <v>17</v>
      </c>
      <c r="C2202" s="45">
        <v>174</v>
      </c>
      <c r="D2202" s="45">
        <v>2531</v>
      </c>
      <c r="E2202" s="45">
        <v>187</v>
      </c>
      <c r="F2202" s="45">
        <v>2263</v>
      </c>
      <c r="G2202" s="18"/>
      <c r="H2202" s="18"/>
      <c r="I2202" s="18"/>
      <c r="J2202" s="18"/>
      <c r="K2202" s="18"/>
    </row>
    <row r="2203" spans="1:11" ht="15" x14ac:dyDescent="0.2">
      <c r="A2203" s="24"/>
      <c r="B2203" s="17"/>
      <c r="C2203" s="45"/>
      <c r="D2203" s="45"/>
      <c r="E2203" s="45"/>
      <c r="F2203" s="45"/>
      <c r="G2203" s="18"/>
      <c r="H2203" s="18"/>
      <c r="I2203" s="18"/>
      <c r="J2203" s="18"/>
      <c r="K2203" s="18"/>
    </row>
    <row r="2204" spans="1:11" ht="15.75" x14ac:dyDescent="0.25">
      <c r="A2204" s="24"/>
      <c r="B2204" s="16" t="s">
        <v>143</v>
      </c>
      <c r="C2204" s="45"/>
      <c r="D2204" s="45"/>
      <c r="E2204" s="45"/>
      <c r="F2204" s="45"/>
      <c r="G2204" s="18"/>
      <c r="H2204" s="18"/>
      <c r="I2204" s="18"/>
      <c r="J2204" s="18"/>
      <c r="K2204" s="18"/>
    </row>
    <row r="2205" spans="1:11" ht="15" x14ac:dyDescent="0.2">
      <c r="A2205" s="24">
        <v>2024</v>
      </c>
      <c r="B2205" s="17" t="s">
        <v>20</v>
      </c>
      <c r="C2205" s="45">
        <v>153</v>
      </c>
      <c r="D2205" s="45">
        <v>2163</v>
      </c>
      <c r="E2205" s="45">
        <v>164</v>
      </c>
      <c r="F2205" s="45">
        <v>1946</v>
      </c>
      <c r="G2205" s="18"/>
      <c r="H2205" s="18"/>
      <c r="I2205" s="18"/>
      <c r="J2205" s="18"/>
      <c r="K2205" s="18"/>
    </row>
    <row r="2206" spans="1:11" ht="15" x14ac:dyDescent="0.2">
      <c r="A2206" s="24"/>
      <c r="B2206" s="17" t="s">
        <v>21</v>
      </c>
      <c r="C2206" s="45">
        <v>171</v>
      </c>
      <c r="D2206" s="45">
        <v>1919</v>
      </c>
      <c r="E2206" s="45">
        <v>196</v>
      </c>
      <c r="F2206" s="45">
        <v>1925</v>
      </c>
      <c r="G2206" s="18"/>
      <c r="H2206" s="18"/>
      <c r="I2206" s="18"/>
      <c r="J2206" s="18"/>
      <c r="K2206" s="18"/>
    </row>
    <row r="2207" spans="1:11" ht="15" x14ac:dyDescent="0.2">
      <c r="A2207" s="24"/>
      <c r="B2207" s="17" t="s">
        <v>22</v>
      </c>
      <c r="C2207" s="45">
        <v>161</v>
      </c>
      <c r="D2207" s="45">
        <v>2095</v>
      </c>
      <c r="E2207" s="45">
        <v>166</v>
      </c>
      <c r="F2207" s="45">
        <v>1859</v>
      </c>
      <c r="G2207" s="18"/>
      <c r="H2207" s="18"/>
      <c r="I2207" s="18"/>
      <c r="J2207" s="18"/>
      <c r="K2207" s="18"/>
    </row>
    <row r="2208" spans="1:11" ht="15" x14ac:dyDescent="0.2">
      <c r="A2208" s="24"/>
      <c r="B2208" s="17"/>
      <c r="C2208" s="45"/>
      <c r="D2208" s="45"/>
      <c r="E2208" s="45"/>
      <c r="F2208" s="45"/>
      <c r="G2208" s="18"/>
      <c r="H2208" s="18"/>
      <c r="I2208" s="18"/>
      <c r="J2208" s="18"/>
      <c r="K2208" s="18"/>
    </row>
    <row r="2209" spans="1:11" ht="15.75" x14ac:dyDescent="0.25">
      <c r="A2209" s="24"/>
      <c r="B2209" s="16" t="s">
        <v>144</v>
      </c>
      <c r="C2209" s="45"/>
      <c r="D2209" s="45"/>
      <c r="E2209" s="45"/>
      <c r="F2209" s="45"/>
      <c r="G2209" s="18"/>
      <c r="H2209" s="18"/>
      <c r="I2209" s="18"/>
      <c r="J2209" s="18"/>
      <c r="K2209" s="18"/>
    </row>
    <row r="2210" spans="1:11" ht="15" x14ac:dyDescent="0.2">
      <c r="A2210" s="24">
        <v>2024</v>
      </c>
      <c r="B2210" s="17" t="s">
        <v>24</v>
      </c>
      <c r="C2210" s="45">
        <v>125</v>
      </c>
      <c r="D2210" s="45">
        <v>1912</v>
      </c>
      <c r="E2210" s="45">
        <v>140</v>
      </c>
      <c r="F2210" s="45">
        <v>1728</v>
      </c>
      <c r="G2210" s="18"/>
      <c r="H2210" s="18"/>
      <c r="I2210" s="18"/>
      <c r="J2210" s="18"/>
      <c r="K2210" s="18"/>
    </row>
    <row r="2211" spans="1:11" ht="15" x14ac:dyDescent="0.2">
      <c r="A2211" s="24"/>
      <c r="B2211" s="17" t="s">
        <v>25</v>
      </c>
      <c r="C2211" s="45">
        <v>148</v>
      </c>
      <c r="D2211" s="45">
        <v>2052</v>
      </c>
      <c r="E2211" s="45">
        <v>142</v>
      </c>
      <c r="F2211" s="45">
        <v>1758</v>
      </c>
      <c r="G2211" s="18"/>
      <c r="H2211" s="18"/>
      <c r="I2211" s="18"/>
      <c r="J2211" s="18"/>
      <c r="K2211" s="18"/>
    </row>
    <row r="2212" spans="1:11" ht="15" x14ac:dyDescent="0.2">
      <c r="A2212" s="24"/>
      <c r="B2212" s="17" t="s">
        <v>11</v>
      </c>
      <c r="C2212" s="45">
        <v>148</v>
      </c>
      <c r="D2212" s="45">
        <v>2054</v>
      </c>
      <c r="E2212" s="45">
        <v>159</v>
      </c>
      <c r="F2212" s="45">
        <v>1714</v>
      </c>
      <c r="G2212" s="18"/>
      <c r="H2212" s="18"/>
      <c r="I2212" s="18"/>
      <c r="J2212" s="18"/>
      <c r="K2212" s="18"/>
    </row>
    <row r="2213" spans="1:11" ht="15" x14ac:dyDescent="0.2">
      <c r="A2213" s="24"/>
      <c r="B2213" s="17"/>
      <c r="C2213" s="45"/>
      <c r="D2213" s="45"/>
      <c r="E2213" s="45"/>
      <c r="F2213" s="45"/>
      <c r="G2213" s="18"/>
      <c r="H2213" s="18"/>
      <c r="I2213" s="18"/>
      <c r="J2213" s="18"/>
      <c r="K2213" s="18"/>
    </row>
    <row r="2214" spans="1:11" ht="15.75" x14ac:dyDescent="0.25">
      <c r="A2214" s="24"/>
      <c r="B2214" s="16" t="s">
        <v>145</v>
      </c>
      <c r="C2214" s="45"/>
      <c r="D2214" s="45"/>
      <c r="E2214" s="45"/>
      <c r="F2214" s="45"/>
      <c r="G2214" s="18"/>
      <c r="H2214" s="18"/>
      <c r="I2214" s="18"/>
      <c r="J2214" s="18"/>
      <c r="K2214" s="18"/>
    </row>
    <row r="2215" spans="1:11" ht="15" x14ac:dyDescent="0.2">
      <c r="A2215" s="24">
        <v>2024</v>
      </c>
      <c r="B2215" s="17" t="s">
        <v>12</v>
      </c>
      <c r="C2215" s="45">
        <v>179</v>
      </c>
      <c r="D2215" s="45">
        <v>2397</v>
      </c>
      <c r="E2215" s="45">
        <v>180</v>
      </c>
      <c r="F2215" s="45">
        <v>1931</v>
      </c>
      <c r="G2215" s="18"/>
      <c r="H2215" s="18"/>
      <c r="I2215" s="18"/>
      <c r="J2215" s="18"/>
      <c r="K2215" s="18"/>
    </row>
    <row r="2216" spans="1:11" ht="15" x14ac:dyDescent="0.2">
      <c r="A2216" s="24"/>
      <c r="B2216" s="17" t="s">
        <v>13</v>
      </c>
      <c r="C2216" s="45">
        <v>160</v>
      </c>
      <c r="D2216" s="45">
        <v>2470</v>
      </c>
      <c r="E2216" s="45">
        <v>164</v>
      </c>
      <c r="F2216" s="45">
        <v>1750</v>
      </c>
      <c r="G2216" s="18"/>
      <c r="H2216" s="18"/>
      <c r="I2216" s="18"/>
      <c r="J2216" s="18"/>
      <c r="K2216" s="18"/>
    </row>
    <row r="2217" spans="1:11" ht="15" x14ac:dyDescent="0.2">
      <c r="A2217" s="24"/>
      <c r="B2217" s="17" t="s">
        <v>14</v>
      </c>
      <c r="C2217" s="45">
        <v>131</v>
      </c>
      <c r="D2217" s="45">
        <v>2344</v>
      </c>
      <c r="E2217" s="45">
        <v>242</v>
      </c>
      <c r="F2217" s="45">
        <v>1956</v>
      </c>
      <c r="G2217" s="18"/>
      <c r="H2217" s="18"/>
      <c r="I2217" s="18"/>
      <c r="J2217" s="18"/>
      <c r="K2217" s="18"/>
    </row>
    <row r="2218" spans="1:11" ht="15" x14ac:dyDescent="0.2">
      <c r="A2218" s="24"/>
      <c r="B2218" s="17"/>
      <c r="C2218" s="45"/>
      <c r="D2218" s="45"/>
      <c r="E2218" s="45"/>
      <c r="F2218" s="45"/>
      <c r="G2218" s="18"/>
      <c r="H2218" s="18"/>
      <c r="I2218" s="18"/>
      <c r="J2218" s="18"/>
      <c r="K2218" s="18"/>
    </row>
    <row r="2219" spans="1:11" ht="15.75" x14ac:dyDescent="0.25">
      <c r="A2219" s="24"/>
      <c r="B2219" s="16" t="s">
        <v>146</v>
      </c>
      <c r="C2219" s="45"/>
      <c r="D2219" s="45"/>
      <c r="E2219" s="45"/>
      <c r="F2219" s="45"/>
      <c r="G2219" s="18"/>
      <c r="H2219" s="18"/>
      <c r="I2219" s="18"/>
      <c r="J2219" s="18"/>
      <c r="K2219" s="18"/>
    </row>
    <row r="2220" spans="1:11" ht="15" x14ac:dyDescent="0.2">
      <c r="A2220" s="24">
        <v>2025</v>
      </c>
      <c r="B2220" s="17" t="s">
        <v>15</v>
      </c>
      <c r="C2220" s="45">
        <v>155</v>
      </c>
      <c r="D2220" s="45">
        <v>2521</v>
      </c>
      <c r="E2220" s="45">
        <v>376</v>
      </c>
      <c r="F2220" s="45">
        <v>2137</v>
      </c>
      <c r="G2220" s="18"/>
      <c r="H2220" s="18"/>
      <c r="I2220" s="18"/>
      <c r="J2220" s="18"/>
      <c r="K2220" s="18"/>
    </row>
    <row r="2221" spans="1:11" ht="15" x14ac:dyDescent="0.2">
      <c r="A2221" s="24"/>
      <c r="B2221" s="17" t="s">
        <v>16</v>
      </c>
      <c r="C2221" s="45">
        <v>136</v>
      </c>
      <c r="D2221" s="45">
        <v>2195</v>
      </c>
      <c r="E2221" s="45">
        <v>254</v>
      </c>
      <c r="F2221" s="45">
        <v>1855</v>
      </c>
      <c r="G2221" s="18"/>
      <c r="H2221" s="18"/>
      <c r="I2221" s="18"/>
      <c r="J2221" s="18"/>
      <c r="K2221" s="18"/>
    </row>
    <row r="2222" spans="1:11" ht="15" x14ac:dyDescent="0.2">
      <c r="A2222" s="24"/>
      <c r="B2222" s="17" t="s">
        <v>17</v>
      </c>
      <c r="C2222" s="45">
        <v>169</v>
      </c>
      <c r="D2222" s="45">
        <v>2753</v>
      </c>
      <c r="E2222" s="45">
        <v>216</v>
      </c>
      <c r="F2222" s="45">
        <v>2167</v>
      </c>
      <c r="G2222" s="18"/>
      <c r="H2222" s="18"/>
      <c r="I2222" s="18"/>
      <c r="J2222" s="18"/>
      <c r="K2222" s="18"/>
    </row>
    <row r="2223" spans="1:11" ht="15" x14ac:dyDescent="0.2">
      <c r="A2223" s="24"/>
      <c r="B2223" s="17"/>
      <c r="C2223" s="45"/>
      <c r="D2223" s="45"/>
      <c r="E2223" s="45"/>
      <c r="F2223" s="45"/>
      <c r="G2223" s="18"/>
      <c r="H2223" s="18"/>
      <c r="I2223" s="18"/>
      <c r="J2223" s="18"/>
      <c r="K2223" s="18"/>
    </row>
    <row r="2224" spans="1:11" ht="15.75" x14ac:dyDescent="0.25">
      <c r="A2224" s="24"/>
      <c r="B2224" s="16" t="s">
        <v>149</v>
      </c>
      <c r="C2224" s="45"/>
      <c r="D2224" s="45"/>
      <c r="E2224" s="45"/>
      <c r="F2224" s="45"/>
      <c r="G2224" s="18"/>
      <c r="H2224" s="18"/>
      <c r="I2224" s="18"/>
      <c r="J2224" s="18"/>
      <c r="K2224" s="18"/>
    </row>
    <row r="2225" spans="1:11" ht="15" x14ac:dyDescent="0.2">
      <c r="A2225" s="24">
        <v>2025</v>
      </c>
      <c r="B2225" s="17" t="s">
        <v>20</v>
      </c>
      <c r="C2225" s="45">
        <v>158</v>
      </c>
      <c r="D2225" s="45">
        <v>2143</v>
      </c>
      <c r="E2225" s="45">
        <v>225</v>
      </c>
      <c r="F2225" s="45">
        <v>1937</v>
      </c>
      <c r="G2225" s="18"/>
      <c r="H2225" s="18"/>
      <c r="I2225" s="18"/>
      <c r="J2225" s="18"/>
      <c r="K2225" s="18"/>
    </row>
    <row r="2226" spans="1:11" ht="15" x14ac:dyDescent="0.2">
      <c r="A2226" s="24"/>
      <c r="B2226" s="17" t="s">
        <v>21</v>
      </c>
      <c r="C2226" s="45">
        <v>121</v>
      </c>
      <c r="D2226" s="45">
        <v>1938</v>
      </c>
      <c r="E2226" s="45">
        <v>132</v>
      </c>
      <c r="F2226" s="45">
        <v>1714</v>
      </c>
      <c r="G2226" s="18"/>
      <c r="H2226" s="18"/>
      <c r="I2226" s="18"/>
      <c r="J2226" s="18"/>
      <c r="K2226" s="18"/>
    </row>
    <row r="2227" spans="1:11" ht="15" x14ac:dyDescent="0.2">
      <c r="A2227" s="24"/>
      <c r="B2227" s="17" t="s">
        <v>22</v>
      </c>
      <c r="C2227" s="45">
        <v>166</v>
      </c>
      <c r="D2227" s="45">
        <v>2254</v>
      </c>
      <c r="E2227" s="45">
        <v>154</v>
      </c>
      <c r="F2227" s="45">
        <v>2037</v>
      </c>
      <c r="G2227" s="18"/>
      <c r="H2227" s="18"/>
      <c r="I2227" s="18"/>
      <c r="J2227" s="18"/>
      <c r="K2227" s="18"/>
    </row>
    <row r="2228" spans="1:11" ht="15" x14ac:dyDescent="0.2">
      <c r="A2228" s="24"/>
      <c r="B2228" s="17"/>
      <c r="C2228" s="45"/>
      <c r="D2228" s="45"/>
      <c r="E2228" s="45"/>
      <c r="F2228" s="45"/>
      <c r="G2228" s="18"/>
      <c r="H2228" s="18"/>
      <c r="I2228" s="18"/>
      <c r="J2228" s="18"/>
      <c r="K2228" s="18"/>
    </row>
    <row r="2229" spans="1:11" ht="15.75" x14ac:dyDescent="0.25">
      <c r="A2229" s="24"/>
      <c r="B2229" s="16" t="s">
        <v>148</v>
      </c>
      <c r="C2229" s="45"/>
      <c r="D2229" s="45"/>
      <c r="E2229" s="45"/>
      <c r="F2229" s="45"/>
      <c r="G2229" s="18"/>
      <c r="H2229" s="18"/>
      <c r="I2229" s="18"/>
      <c r="J2229" s="18"/>
      <c r="K2229" s="18"/>
    </row>
    <row r="2230" spans="1:11" ht="15" x14ac:dyDescent="0.2">
      <c r="A2230" s="24">
        <v>2025</v>
      </c>
      <c r="B2230" s="17" t="s">
        <v>24</v>
      </c>
      <c r="C2230" s="45">
        <v>167</v>
      </c>
      <c r="D2230" s="45">
        <v>2365</v>
      </c>
      <c r="E2230" s="45">
        <v>164</v>
      </c>
      <c r="F2230" s="45">
        <v>2091</v>
      </c>
      <c r="G2230" s="18"/>
      <c r="H2230" s="18"/>
      <c r="I2230" s="18"/>
      <c r="J2230" s="18"/>
      <c r="K2230" s="18"/>
    </row>
    <row r="2231" spans="1:11" ht="15" x14ac:dyDescent="0.2">
      <c r="A2231" s="24"/>
      <c r="B2231" s="17" t="s">
        <v>25</v>
      </c>
      <c r="C2231" s="45">
        <v>171</v>
      </c>
      <c r="D2231" s="45">
        <v>2103</v>
      </c>
      <c r="E2231" s="45">
        <v>169</v>
      </c>
      <c r="F2231" s="45">
        <v>1893</v>
      </c>
      <c r="G2231" s="18"/>
      <c r="H2231" s="18"/>
      <c r="I2231" s="18"/>
      <c r="J2231" s="18"/>
      <c r="K2231" s="18"/>
    </row>
    <row r="2232" spans="1:11" ht="15" x14ac:dyDescent="0.2">
      <c r="A2232" s="24"/>
      <c r="B2232" s="17" t="s">
        <v>11</v>
      </c>
      <c r="C2232" s="45">
        <v>188</v>
      </c>
      <c r="D2232" s="45">
        <v>2218</v>
      </c>
      <c r="E2232" s="45">
        <v>169</v>
      </c>
      <c r="F2232" s="45">
        <v>1978</v>
      </c>
      <c r="G2232" s="18"/>
      <c r="H2232" s="18"/>
      <c r="I2232" s="18"/>
      <c r="J2232" s="18"/>
      <c r="K2232" s="18"/>
    </row>
    <row r="2233" spans="1:11" ht="15" x14ac:dyDescent="0.2">
      <c r="A2233" s="24"/>
      <c r="B2233" s="17"/>
      <c r="C2233" s="45"/>
      <c r="D2233" s="45"/>
      <c r="E2233" s="45"/>
      <c r="F2233" s="45"/>
      <c r="G2233" s="18"/>
      <c r="H2233" s="18"/>
      <c r="I2233" s="18"/>
      <c r="J2233" s="18"/>
      <c r="K2233" s="18"/>
    </row>
    <row r="2234" spans="1:11" ht="15.75" x14ac:dyDescent="0.25">
      <c r="A2234" s="24"/>
      <c r="B2234" s="16" t="s">
        <v>147</v>
      </c>
      <c r="C2234" s="45"/>
      <c r="D2234" s="45"/>
      <c r="E2234" s="45"/>
      <c r="F2234" s="45"/>
      <c r="G2234" s="18"/>
      <c r="H2234" s="18"/>
      <c r="I2234" s="18"/>
      <c r="J2234" s="18"/>
      <c r="K2234" s="18"/>
    </row>
    <row r="2235" spans="1:11" ht="15" x14ac:dyDescent="0.2">
      <c r="A2235" s="24">
        <v>2025</v>
      </c>
      <c r="B2235" s="17" t="s">
        <v>12</v>
      </c>
      <c r="C2235" s="45">
        <v>189</v>
      </c>
      <c r="D2235" s="45">
        <v>2528</v>
      </c>
      <c r="E2235" s="45">
        <v>182</v>
      </c>
      <c r="F2235" s="45">
        <v>1963</v>
      </c>
      <c r="G2235" s="18"/>
      <c r="H2235" s="18"/>
      <c r="I2235" s="18"/>
      <c r="J2235" s="18"/>
      <c r="K2235" s="18"/>
    </row>
    <row r="2236" spans="1:11" ht="15" x14ac:dyDescent="0.2">
      <c r="A2236" s="24"/>
      <c r="B2236" s="17" t="s">
        <v>13</v>
      </c>
      <c r="C2236" s="45">
        <v>224</v>
      </c>
      <c r="D2236" s="45">
        <v>2803</v>
      </c>
      <c r="E2236" s="45">
        <v>202</v>
      </c>
      <c r="F2236" s="45">
        <v>2154</v>
      </c>
      <c r="G2236" s="18"/>
      <c r="H2236" s="18"/>
      <c r="I2236" s="18"/>
      <c r="J2236" s="18"/>
      <c r="K2236" s="18"/>
    </row>
    <row r="2237" spans="1:11" ht="15" x14ac:dyDescent="0.2">
      <c r="A2237" s="24"/>
      <c r="B2237" s="17" t="s">
        <v>14</v>
      </c>
      <c r="C2237" s="45">
        <v>212</v>
      </c>
      <c r="D2237" s="45">
        <v>2723</v>
      </c>
      <c r="E2237" s="45">
        <v>204</v>
      </c>
      <c r="F2237" s="45">
        <v>2225</v>
      </c>
      <c r="G2237" s="18"/>
      <c r="H2237" s="18"/>
      <c r="I2237" s="18"/>
      <c r="J2237" s="18"/>
      <c r="K2237" s="18"/>
    </row>
    <row r="2238" spans="1:11" ht="15" x14ac:dyDescent="0.2">
      <c r="A2238" s="24"/>
      <c r="B2238" s="17"/>
      <c r="C2238" s="45"/>
      <c r="D2238" s="45"/>
      <c r="E2238" s="45"/>
      <c r="F2238" s="45"/>
      <c r="G2238" s="18"/>
      <c r="H2238" s="18"/>
      <c r="I2238" s="18"/>
      <c r="J2238" s="18"/>
      <c r="K2238" s="18"/>
    </row>
    <row r="2239" spans="1:11" ht="15.75" x14ac:dyDescent="0.25">
      <c r="A2239" s="71"/>
      <c r="B2239" s="72" t="s">
        <v>166</v>
      </c>
      <c r="C2239" s="80"/>
      <c r="D2239" s="80"/>
      <c r="E2239" s="80"/>
      <c r="F2239" s="80"/>
      <c r="G2239" s="18"/>
      <c r="H2239" s="18"/>
      <c r="I2239" s="18"/>
      <c r="J2239" s="18"/>
      <c r="K2239" s="18"/>
    </row>
    <row r="2240" spans="1:11" ht="15" x14ac:dyDescent="0.2">
      <c r="A2240" s="71">
        <v>2026</v>
      </c>
      <c r="B2240" s="60" t="s">
        <v>15</v>
      </c>
      <c r="C2240" s="98">
        <v>198</v>
      </c>
      <c r="D2240" s="98">
        <v>2663</v>
      </c>
      <c r="E2240" s="98">
        <v>200</v>
      </c>
      <c r="F2240" s="98">
        <v>2097</v>
      </c>
      <c r="G2240" s="18"/>
      <c r="H2240" s="18"/>
      <c r="I2240" s="18"/>
      <c r="J2240" s="18"/>
      <c r="K2240" s="18"/>
    </row>
    <row r="2241" spans="1:11" ht="15" x14ac:dyDescent="0.2">
      <c r="A2241" s="71"/>
      <c r="B2241" s="60" t="s">
        <v>16</v>
      </c>
      <c r="C2241" s="98">
        <v>220</v>
      </c>
      <c r="D2241" s="98">
        <v>2727</v>
      </c>
      <c r="E2241" s="98">
        <v>197</v>
      </c>
      <c r="F2241" s="98">
        <v>2142</v>
      </c>
      <c r="G2241" s="18"/>
      <c r="H2241" s="18"/>
      <c r="I2241" s="18"/>
      <c r="J2241" s="18"/>
      <c r="K2241" s="18"/>
    </row>
    <row r="2242" spans="1:11" ht="15" x14ac:dyDescent="0.2">
      <c r="A2242" s="71"/>
      <c r="B2242" s="60" t="s">
        <v>17</v>
      </c>
      <c r="C2242" s="98">
        <v>215</v>
      </c>
      <c r="D2242" s="98">
        <v>2664</v>
      </c>
      <c r="E2242" s="98">
        <v>239</v>
      </c>
      <c r="F2242" s="98">
        <v>2185</v>
      </c>
      <c r="G2242" s="18"/>
      <c r="H2242" s="18"/>
      <c r="I2242" s="18"/>
      <c r="J2242" s="18"/>
      <c r="K2242" s="18"/>
    </row>
    <row r="2243" spans="1:11" ht="15" x14ac:dyDescent="0.2">
      <c r="A2243" s="71"/>
      <c r="B2243" s="64"/>
      <c r="C2243" s="80"/>
      <c r="D2243" s="80"/>
      <c r="E2243" s="80"/>
      <c r="F2243" s="80"/>
      <c r="G2243" s="18"/>
      <c r="H2243" s="18"/>
      <c r="I2243" s="18"/>
      <c r="J2243" s="18"/>
      <c r="K2243" s="18"/>
    </row>
    <row r="2244" spans="1:11" ht="15.75" x14ac:dyDescent="0.25">
      <c r="A2244" s="71"/>
      <c r="B2244" s="72" t="s">
        <v>167</v>
      </c>
      <c r="C2244" s="80"/>
      <c r="D2244" s="80"/>
      <c r="E2244" s="80"/>
      <c r="F2244" s="80"/>
      <c r="G2244" s="18"/>
      <c r="H2244" s="18"/>
      <c r="I2244" s="18"/>
      <c r="J2244" s="18"/>
      <c r="K2244" s="18"/>
    </row>
    <row r="2245" spans="1:11" ht="15" x14ac:dyDescent="0.2">
      <c r="A2245" s="71">
        <v>2026</v>
      </c>
      <c r="B2245" s="60" t="s">
        <v>20</v>
      </c>
      <c r="C2245" s="98">
        <v>213</v>
      </c>
      <c r="D2245" s="98">
        <v>2201</v>
      </c>
      <c r="E2245" s="98">
        <v>236</v>
      </c>
      <c r="F2245" s="98">
        <v>2253</v>
      </c>
      <c r="G2245" s="18"/>
      <c r="H2245" s="18"/>
      <c r="I2245" s="18"/>
      <c r="J2245" s="18"/>
      <c r="K2245" s="18"/>
    </row>
    <row r="2246" spans="1:11" ht="15" x14ac:dyDescent="0.2">
      <c r="A2246" s="71"/>
      <c r="B2246" s="60" t="s">
        <v>21</v>
      </c>
      <c r="C2246" s="98">
        <v>172</v>
      </c>
      <c r="D2246" s="98">
        <v>1996</v>
      </c>
      <c r="E2246" s="98">
        <v>166</v>
      </c>
      <c r="F2246" s="98">
        <v>1921</v>
      </c>
      <c r="G2246" s="18"/>
      <c r="H2246" s="18"/>
      <c r="I2246" s="18"/>
      <c r="J2246" s="18"/>
      <c r="K2246" s="18"/>
    </row>
    <row r="2247" spans="1:11" ht="15" x14ac:dyDescent="0.2">
      <c r="A2247" s="71"/>
      <c r="B2247" s="60" t="s">
        <v>22</v>
      </c>
      <c r="C2247" s="98">
        <v>177</v>
      </c>
      <c r="D2247" s="98">
        <v>1943</v>
      </c>
      <c r="E2247" s="98">
        <v>177</v>
      </c>
      <c r="F2247" s="98">
        <v>1962</v>
      </c>
      <c r="G2247" s="18"/>
      <c r="H2247" s="18"/>
      <c r="I2247" s="18"/>
      <c r="J2247" s="18"/>
      <c r="K2247" s="18"/>
    </row>
    <row r="2248" spans="1:11" ht="15" x14ac:dyDescent="0.2">
      <c r="A2248" s="24"/>
      <c r="B2248" s="17"/>
      <c r="C2248" s="45"/>
      <c r="D2248" s="45"/>
      <c r="E2248" s="45"/>
      <c r="F2248" s="45"/>
      <c r="G2248" s="18"/>
      <c r="H2248" s="18"/>
      <c r="I2248" s="18"/>
      <c r="J2248" s="18"/>
      <c r="K2248" s="18"/>
    </row>
    <row r="2249" spans="1:11" ht="15" x14ac:dyDescent="0.2">
      <c r="A2249" s="24"/>
      <c r="B2249" s="17"/>
      <c r="C2249" s="45"/>
      <c r="D2249" s="45"/>
      <c r="E2249" s="45"/>
      <c r="F2249" s="45"/>
      <c r="G2249" s="18"/>
      <c r="H2249" s="18"/>
      <c r="I2249" s="18"/>
      <c r="J2249" s="18"/>
      <c r="K2249" s="18"/>
    </row>
    <row r="2250" spans="1:11" ht="15" x14ac:dyDescent="0.2">
      <c r="A2250" s="24"/>
      <c r="B2250" s="17"/>
      <c r="C2250" s="45"/>
      <c r="D2250" s="45"/>
      <c r="E2250" s="45"/>
      <c r="F2250" s="45"/>
      <c r="G2250" s="18"/>
      <c r="H2250" s="18"/>
      <c r="I2250" s="18"/>
      <c r="J2250" s="18"/>
      <c r="K2250" s="18"/>
    </row>
    <row r="2251" spans="1:11" ht="15.75" x14ac:dyDescent="0.25">
      <c r="A2251" s="92" t="s">
        <v>165</v>
      </c>
      <c r="B2251" s="17"/>
      <c r="C2251" s="18"/>
      <c r="D2251" s="18"/>
      <c r="E2251" s="18"/>
      <c r="F2251" s="18"/>
      <c r="G2251" s="18"/>
      <c r="H2251" s="18"/>
      <c r="I2251" s="18"/>
      <c r="J2251" s="18"/>
      <c r="K2251" s="18"/>
    </row>
    <row r="2252" spans="1:11" ht="15.75" x14ac:dyDescent="0.25">
      <c r="A2252" s="86" t="s">
        <v>19</v>
      </c>
      <c r="B2252" s="8"/>
      <c r="C2252" s="9"/>
      <c r="D2252" s="4"/>
      <c r="E2252" s="4"/>
      <c r="F2252" s="4"/>
      <c r="G2252" s="4"/>
      <c r="H2252" s="4"/>
      <c r="I2252" s="4"/>
      <c r="J2252" s="4"/>
      <c r="K2252" s="4"/>
    </row>
    <row r="2253" spans="1:11" ht="15.75" x14ac:dyDescent="0.25">
      <c r="A2253" s="87"/>
      <c r="B2253" s="8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 ht="15" x14ac:dyDescent="0.2">
      <c r="A2254" s="88"/>
    </row>
    <row r="2255" spans="1:11" ht="27" x14ac:dyDescent="0.25">
      <c r="J2255" s="11" t="s">
        <v>122</v>
      </c>
    </row>
    <row r="2256" spans="1:11" ht="40.5" x14ac:dyDescent="0.25">
      <c r="F2256" s="12" t="s">
        <v>19</v>
      </c>
      <c r="J2256" s="11" t="s">
        <v>123</v>
      </c>
    </row>
    <row r="2257" spans="1:15" ht="13.5" x14ac:dyDescent="0.25">
      <c r="J2257" s="11"/>
    </row>
    <row r="2258" spans="1:15" x14ac:dyDescent="0.2">
      <c r="J2258" s="13">
        <v>-20907.385000000002</v>
      </c>
    </row>
    <row r="2259" spans="1:15" x14ac:dyDescent="0.2">
      <c r="J2259" s="13">
        <v>-98478.189417445828</v>
      </c>
    </row>
    <row r="2260" spans="1:15" s="2" customFormat="1" x14ac:dyDescent="0.2">
      <c r="A2260" s="63"/>
      <c r="B2260"/>
      <c r="C2260" s="5"/>
      <c r="D2260" s="5"/>
      <c r="E2260" s="5"/>
      <c r="F2260" s="5"/>
      <c r="G2260" s="5"/>
      <c r="H2260" s="5"/>
      <c r="I2260" s="5"/>
      <c r="J2260" s="13">
        <v>-180453.4275738438</v>
      </c>
      <c r="K2260" s="5"/>
      <c r="L2260"/>
      <c r="M2260"/>
      <c r="N2260"/>
      <c r="O2260"/>
    </row>
    <row r="2261" spans="1:15" s="2" customFormat="1" x14ac:dyDescent="0.2">
      <c r="A2261" s="63"/>
      <c r="B2261"/>
      <c r="C2261" s="5"/>
      <c r="D2261" s="5"/>
      <c r="E2261" s="5"/>
      <c r="F2261" s="5"/>
      <c r="G2261" s="5"/>
      <c r="H2261" s="5"/>
      <c r="I2261" s="5"/>
      <c r="J2261" s="13">
        <v>-256138.15985283253</v>
      </c>
      <c r="K2261" s="5"/>
      <c r="L2261"/>
      <c r="M2261"/>
      <c r="N2261"/>
      <c r="O2261"/>
    </row>
  </sheetData>
  <mergeCells count="117">
    <mergeCell ref="H1120:K1120"/>
    <mergeCell ref="H1100:K1100"/>
    <mergeCell ref="H1060:K1060"/>
    <mergeCell ref="A1:J1"/>
    <mergeCell ref="A2:J2"/>
    <mergeCell ref="A3:J3"/>
    <mergeCell ref="A4:J4"/>
    <mergeCell ref="H571:K571"/>
    <mergeCell ref="H626:I626"/>
    <mergeCell ref="J626:K626"/>
    <mergeCell ref="H675:K675"/>
    <mergeCell ref="H996:K996"/>
    <mergeCell ref="D730:E730"/>
    <mergeCell ref="F730:G730"/>
    <mergeCell ref="H730:I730"/>
    <mergeCell ref="J730:K730"/>
    <mergeCell ref="D676:E676"/>
    <mergeCell ref="F676:G676"/>
    <mergeCell ref="H676:I676"/>
    <mergeCell ref="J676:K676"/>
    <mergeCell ref="D626:E626"/>
    <mergeCell ref="F626:G626"/>
    <mergeCell ref="H729:K729"/>
    <mergeCell ref="D783:E783"/>
    <mergeCell ref="F783:G783"/>
    <mergeCell ref="H783:I783"/>
    <mergeCell ref="J783:K783"/>
    <mergeCell ref="D836:E836"/>
    <mergeCell ref="F836:G836"/>
    <mergeCell ref="H836:I836"/>
    <mergeCell ref="J836:K836"/>
    <mergeCell ref="D572:E572"/>
    <mergeCell ref="F572:G572"/>
    <mergeCell ref="H572:I572"/>
    <mergeCell ref="J572:K572"/>
    <mergeCell ref="H625:K625"/>
    <mergeCell ref="C1172:F1172"/>
    <mergeCell ref="D894:E894"/>
    <mergeCell ref="F894:G894"/>
    <mergeCell ref="H894:I894"/>
    <mergeCell ref="J894:K894"/>
    <mergeCell ref="D953:E953"/>
    <mergeCell ref="F953:G953"/>
    <mergeCell ref="H953:I953"/>
    <mergeCell ref="J953:K953"/>
    <mergeCell ref="C1137:F1137"/>
    <mergeCell ref="C1138:D1138"/>
    <mergeCell ref="E1138:F1138"/>
    <mergeCell ref="G1138:H1138"/>
    <mergeCell ref="I1138:J1138"/>
    <mergeCell ref="H1009:K1009"/>
    <mergeCell ref="H1003:K1003"/>
    <mergeCell ref="H1027:K1027"/>
    <mergeCell ref="H1033:K1033"/>
    <mergeCell ref="H1015:K1015"/>
    <mergeCell ref="H1021:K1021"/>
    <mergeCell ref="H1039:K1039"/>
    <mergeCell ref="H1045:K1045"/>
    <mergeCell ref="H1070:K1070"/>
    <mergeCell ref="H1080:K1080"/>
    <mergeCell ref="I1281:J1281"/>
    <mergeCell ref="B1322:G1322"/>
    <mergeCell ref="C1173:D1173"/>
    <mergeCell ref="E1173:F1173"/>
    <mergeCell ref="G1173:H1173"/>
    <mergeCell ref="I1173:J1173"/>
    <mergeCell ref="C1225:F1225"/>
    <mergeCell ref="C1226:D1226"/>
    <mergeCell ref="E1226:F1226"/>
    <mergeCell ref="G1226:H1226"/>
    <mergeCell ref="I1226:J1226"/>
    <mergeCell ref="C1280:F1280"/>
    <mergeCell ref="C1281:D1281"/>
    <mergeCell ref="E1281:F1281"/>
    <mergeCell ref="G1281:H1281"/>
    <mergeCell ref="C2081:D2081"/>
    <mergeCell ref="E2081:F2081"/>
    <mergeCell ref="C1895:D1895"/>
    <mergeCell ref="E1895:F1895"/>
    <mergeCell ref="C1959:D1959"/>
    <mergeCell ref="E1959:F1959"/>
    <mergeCell ref="C2022:D2022"/>
    <mergeCell ref="E2022:F2022"/>
    <mergeCell ref="I1496:J1496"/>
    <mergeCell ref="C1496:D1496"/>
    <mergeCell ref="E1496:F1496"/>
    <mergeCell ref="G1496:H1496"/>
    <mergeCell ref="E1713:F1713"/>
    <mergeCell ref="C1568:F1568"/>
    <mergeCell ref="C1574:F1574"/>
    <mergeCell ref="C1592:F1592"/>
    <mergeCell ref="C1598:F1598"/>
    <mergeCell ref="C1580:F1580"/>
    <mergeCell ref="C1586:F1586"/>
    <mergeCell ref="C1771:D1771"/>
    <mergeCell ref="E1771:F1771"/>
    <mergeCell ref="C1833:D1833"/>
    <mergeCell ref="E1833:F1833"/>
    <mergeCell ref="C1713:D1713"/>
    <mergeCell ref="C1606:F1606"/>
    <mergeCell ref="C1612:F1612"/>
    <mergeCell ref="C1442:D1442"/>
    <mergeCell ref="E1442:F1442"/>
    <mergeCell ref="G1442:H1442"/>
    <mergeCell ref="I1442:J1442"/>
    <mergeCell ref="C1335:F1335"/>
    <mergeCell ref="C1495:F1495"/>
    <mergeCell ref="I1336:J1336"/>
    <mergeCell ref="I1389:J1389"/>
    <mergeCell ref="C1441:F1441"/>
    <mergeCell ref="C1336:D1336"/>
    <mergeCell ref="E1336:F1336"/>
    <mergeCell ref="G1336:H1336"/>
    <mergeCell ref="C1388:F1388"/>
    <mergeCell ref="C1389:D1389"/>
    <mergeCell ref="E1389:F1389"/>
    <mergeCell ref="G1389:H1389"/>
  </mergeCells>
  <printOptions horizontalCentered="1"/>
  <pageMargins left="0.25" right="0.25" top="0.5" bottom="0.25" header="0.5" footer="0.5"/>
  <pageSetup scale="38" fitToHeight="0" orientation="portrait" horizontalDpi="4294967292" r:id="rId1"/>
  <headerFooter alignWithMargins="0"/>
  <rowBreaks count="23" manualBreakCount="23">
    <brk id="569" max="10" man="1"/>
    <brk id="623" max="10" man="1"/>
    <brk id="673" max="10" man="1"/>
    <brk id="727" max="10" man="1"/>
    <brk id="781" max="10" man="1"/>
    <brk id="834" max="10" man="1"/>
    <brk id="892" max="10" man="1"/>
    <brk id="951" max="10" man="1"/>
    <brk id="1124" max="10" man="1"/>
    <brk id="1170" max="10" man="1"/>
    <brk id="1223" max="10" man="1"/>
    <brk id="1278" max="10" man="1"/>
    <brk id="1333" max="10" man="1"/>
    <brk id="1386" max="10" man="1"/>
    <brk id="1439" max="10" man="1"/>
    <brk id="1493" max="10" man="1"/>
    <brk id="1712" max="10" man="1"/>
    <brk id="1769" max="10" man="1"/>
    <brk id="1831" max="10" man="1"/>
    <brk id="1892" max="10" man="1"/>
    <brk id="1956" max="10" man="1"/>
    <brk id="2020" max="10" man="1"/>
    <brk id="2079" max="10" man="1"/>
  </rowBreaks>
  <ignoredErrors>
    <ignoredError sqref="G568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Summary</vt:lpstr>
      <vt:lpstr>Summary!Print_Area</vt:lpstr>
      <vt:lpstr>Summary!Print_Titles</vt:lpstr>
    </vt:vector>
  </TitlesOfParts>
  <Company>PacifiCorp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Zimmerman, Michael</dc:creator>
  <cp:lastModifiedBy>Fred Nass</cp:lastModifiedBy>
  <cp:lastPrinted>2026-07-31T16:26:41Z</cp:lastPrinted>
  <dcterms:created xsi:type="dcterms:W3CDTF">2020-04-21T14:14:06Z</dcterms:created>
  <dcterms:modified xsi:type="dcterms:W3CDTF">2026-07-31T17:45:27Z</dcterms:modified>
</cp:coreProperties>
</file>