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I:\Websites\Pscweb\utilities\electric\26docs\26035T08\"/>
    </mc:Choice>
  </mc:AlternateContent>
  <xr:revisionPtr revIDLastSave="0" documentId="8_{56692458-EB55-493D-810B-0F4CB24C17AE}" xr6:coauthVersionLast="47" xr6:coauthVersionMax="47" xr10:uidLastSave="{00000000-0000-0000-0000-000000000000}"/>
  <bookViews>
    <workbookView xWindow="2880" yWindow="225" windowWidth="21795" windowHeight="20655" xr2:uid="{023DB6E4-88C1-416F-BD4A-10ED6E5D83B0}"/>
  </bookViews>
  <sheets>
    <sheet name="Rate Impact-GRC Incremental" sheetId="14" r:id="rId1"/>
    <sheet name="Rate Impact-GRC Total" sheetId="1" r:id="rId2"/>
    <sheet name="Rate Spread" sheetId="2" r:id="rId3"/>
    <sheet name="Rate Design" sheetId="3" r:id="rId4"/>
    <sheet name="Sch31-32 Rate" sheetId="4" r:id="rId5"/>
  </sheets>
  <definedNames>
    <definedName name="________________________OM1" localSheetId="0" hidden="1">{#N/A,#N/A,FALSE,"Summary";#N/A,#N/A,FALSE,"SmPlants";#N/A,#N/A,FALSE,"Utah";#N/A,#N/A,FALSE,"Idaho";#N/A,#N/A,FALSE,"Lewis River";#N/A,#N/A,FALSE,"NrthUmpq";#N/A,#N/A,FALSE,"KlamRog"}</definedName>
    <definedName name="________________________OM1" localSheetId="1" hidden="1">{#N/A,#N/A,FALSE,"Summary";#N/A,#N/A,FALSE,"SmPlants";#N/A,#N/A,FALSE,"Utah";#N/A,#N/A,FALSE,"Idaho";#N/A,#N/A,FALSE,"Lewis River";#N/A,#N/A,FALSE,"NrthUmpq";#N/A,#N/A,FALSE,"KlamRog"}</definedName>
    <definedName name="________________________OM1" localSheetId="2" hidden="1">{#N/A,#N/A,FALSE,"Summary";#N/A,#N/A,FALSE,"SmPlants";#N/A,#N/A,FALSE,"Utah";#N/A,#N/A,FALSE,"Idaho";#N/A,#N/A,FALSE,"Lewis River";#N/A,#N/A,FALSE,"NrthUmpq";#N/A,#N/A,FALSE,"KlamRog"}</definedName>
    <definedName name="________________________OM1" hidden="1">{#N/A,#N/A,FALSE,"Summary";#N/A,#N/A,FALSE,"SmPlants";#N/A,#N/A,FALSE,"Utah";#N/A,#N/A,FALSE,"Idaho";#N/A,#N/A,FALSE,"Lewis River";#N/A,#N/A,FALSE,"NrthUmpq";#N/A,#N/A,FALSE,"KlamRog"}</definedName>
    <definedName name="______________________OM1" localSheetId="0" hidden="1">{#N/A,#N/A,FALSE,"Summary";#N/A,#N/A,FALSE,"SmPlants";#N/A,#N/A,FALSE,"Utah";#N/A,#N/A,FALSE,"Idaho";#N/A,#N/A,FALSE,"Lewis River";#N/A,#N/A,FALSE,"NrthUmpq";#N/A,#N/A,FALSE,"KlamRog"}</definedName>
    <definedName name="______________________OM1" localSheetId="1" hidden="1">{#N/A,#N/A,FALSE,"Summary";#N/A,#N/A,FALSE,"SmPlants";#N/A,#N/A,FALSE,"Utah";#N/A,#N/A,FALSE,"Idaho";#N/A,#N/A,FALSE,"Lewis River";#N/A,#N/A,FALSE,"NrthUmpq";#N/A,#N/A,FALSE,"KlamRog"}</definedName>
    <definedName name="______________________OM1" localSheetId="2" hidden="1">{#N/A,#N/A,FALSE,"Summary";#N/A,#N/A,FALSE,"SmPlants";#N/A,#N/A,FALSE,"Utah";#N/A,#N/A,FALSE,"Idaho";#N/A,#N/A,FALSE,"Lewis River";#N/A,#N/A,FALSE,"NrthUmpq";#N/A,#N/A,FALSE,"KlamRog"}</definedName>
    <definedName name="______________________OM1" hidden="1">{#N/A,#N/A,FALSE,"Summary";#N/A,#N/A,FALSE,"SmPlants";#N/A,#N/A,FALSE,"Utah";#N/A,#N/A,FALSE,"Idaho";#N/A,#N/A,FALSE,"Lewis River";#N/A,#N/A,FALSE,"NrthUmpq";#N/A,#N/A,FALSE,"KlamRog"}</definedName>
    <definedName name="____________________OM1" localSheetId="0" hidden="1">{#N/A,#N/A,FALSE,"Summary";#N/A,#N/A,FALSE,"SmPlants";#N/A,#N/A,FALSE,"Utah";#N/A,#N/A,FALSE,"Idaho";#N/A,#N/A,FALSE,"Lewis River";#N/A,#N/A,FALSE,"NrthUmpq";#N/A,#N/A,FALSE,"KlamRog"}</definedName>
    <definedName name="____________________OM1" localSheetId="1" hidden="1">{#N/A,#N/A,FALSE,"Summary";#N/A,#N/A,FALSE,"SmPlants";#N/A,#N/A,FALSE,"Utah";#N/A,#N/A,FALSE,"Idaho";#N/A,#N/A,FALSE,"Lewis River";#N/A,#N/A,FALSE,"NrthUmpq";#N/A,#N/A,FALSE,"KlamRog"}</definedName>
    <definedName name="____________________OM1" localSheetId="2" hidden="1">{#N/A,#N/A,FALSE,"Summary";#N/A,#N/A,FALSE,"SmPlants";#N/A,#N/A,FALSE,"Utah";#N/A,#N/A,FALSE,"Idaho";#N/A,#N/A,FALSE,"Lewis River";#N/A,#N/A,FALSE,"NrthUmpq";#N/A,#N/A,FALSE,"KlamRog"}</definedName>
    <definedName name="____________________OM1" hidden="1">{#N/A,#N/A,FALSE,"Summary";#N/A,#N/A,FALSE,"SmPlants";#N/A,#N/A,FALSE,"Utah";#N/A,#N/A,FALSE,"Idaho";#N/A,#N/A,FALSE,"Lewis River";#N/A,#N/A,FALSE,"NrthUmpq";#N/A,#N/A,FALSE,"KlamRog"}</definedName>
    <definedName name="___________________OM1" localSheetId="0" hidden="1">{#N/A,#N/A,FALSE,"Summary";#N/A,#N/A,FALSE,"SmPlants";#N/A,#N/A,FALSE,"Utah";#N/A,#N/A,FALSE,"Idaho";#N/A,#N/A,FALSE,"Lewis River";#N/A,#N/A,FALSE,"NrthUmpq";#N/A,#N/A,FALSE,"KlamRog"}</definedName>
    <definedName name="___________________OM1" localSheetId="1" hidden="1">{#N/A,#N/A,FALSE,"Summary";#N/A,#N/A,FALSE,"SmPlants";#N/A,#N/A,FALSE,"Utah";#N/A,#N/A,FALSE,"Idaho";#N/A,#N/A,FALSE,"Lewis River";#N/A,#N/A,FALSE,"NrthUmpq";#N/A,#N/A,FALSE,"KlamRog"}</definedName>
    <definedName name="___________________OM1" localSheetId="2" hidden="1">{#N/A,#N/A,FALSE,"Summary";#N/A,#N/A,FALSE,"SmPlants";#N/A,#N/A,FALSE,"Utah";#N/A,#N/A,FALSE,"Idaho";#N/A,#N/A,FALSE,"Lewis River";#N/A,#N/A,FALSE,"NrthUmpq";#N/A,#N/A,FALSE,"KlamRog"}</definedName>
    <definedName name="___________________OM1" hidden="1">{#N/A,#N/A,FALSE,"Summary";#N/A,#N/A,FALSE,"SmPlants";#N/A,#N/A,FALSE,"Utah";#N/A,#N/A,FALSE,"Idaho";#N/A,#N/A,FALSE,"Lewis River";#N/A,#N/A,FALSE,"NrthUmpq";#N/A,#N/A,FALSE,"KlamRog"}</definedName>
    <definedName name="_________________OM1" localSheetId="0" hidden="1">{#N/A,#N/A,FALSE,"Summary";#N/A,#N/A,FALSE,"SmPlants";#N/A,#N/A,FALSE,"Utah";#N/A,#N/A,FALSE,"Idaho";#N/A,#N/A,FALSE,"Lewis River";#N/A,#N/A,FALSE,"NrthUmpq";#N/A,#N/A,FALSE,"KlamRog"}</definedName>
    <definedName name="_________________OM1" localSheetId="1" hidden="1">{#N/A,#N/A,FALSE,"Summary";#N/A,#N/A,FALSE,"SmPlants";#N/A,#N/A,FALSE,"Utah";#N/A,#N/A,FALSE,"Idaho";#N/A,#N/A,FALSE,"Lewis River";#N/A,#N/A,FALSE,"NrthUmpq";#N/A,#N/A,FALSE,"KlamRog"}</definedName>
    <definedName name="_________________OM1" localSheetId="2" hidden="1">{#N/A,#N/A,FALSE,"Summary";#N/A,#N/A,FALSE,"SmPlants";#N/A,#N/A,FALSE,"Utah";#N/A,#N/A,FALSE,"Idaho";#N/A,#N/A,FALSE,"Lewis River";#N/A,#N/A,FALSE,"NrthUmpq";#N/A,#N/A,FALSE,"KlamRog"}</definedName>
    <definedName name="_________________OM1" hidden="1">{#N/A,#N/A,FALSE,"Summary";#N/A,#N/A,FALSE,"SmPlants";#N/A,#N/A,FALSE,"Utah";#N/A,#N/A,FALSE,"Idaho";#N/A,#N/A,FALSE,"Lewis River";#N/A,#N/A,FALSE,"NrthUmpq";#N/A,#N/A,FALSE,"KlamRog"}</definedName>
    <definedName name="______________OM1" localSheetId="0" hidden="1">{#N/A,#N/A,FALSE,"Summary";#N/A,#N/A,FALSE,"SmPlants";#N/A,#N/A,FALSE,"Utah";#N/A,#N/A,FALSE,"Idaho";#N/A,#N/A,FALSE,"Lewis River";#N/A,#N/A,FALSE,"NrthUmpq";#N/A,#N/A,FALSE,"KlamRog"}</definedName>
    <definedName name="______________OM1" localSheetId="1" hidden="1">{#N/A,#N/A,FALSE,"Summary";#N/A,#N/A,FALSE,"SmPlants";#N/A,#N/A,FALSE,"Utah";#N/A,#N/A,FALSE,"Idaho";#N/A,#N/A,FALSE,"Lewis River";#N/A,#N/A,FALSE,"NrthUmpq";#N/A,#N/A,FALSE,"KlamRog"}</definedName>
    <definedName name="______________OM1" localSheetId="2" hidden="1">{#N/A,#N/A,FALSE,"Summary";#N/A,#N/A,FALSE,"SmPlants";#N/A,#N/A,FALSE,"Utah";#N/A,#N/A,FALSE,"Idaho";#N/A,#N/A,FALSE,"Lewis River";#N/A,#N/A,FALSE,"NrthUmpq";#N/A,#N/A,FALSE,"KlamRog"}</definedName>
    <definedName name="______________OM1" hidden="1">{#N/A,#N/A,FALSE,"Summary";#N/A,#N/A,FALSE,"SmPlants";#N/A,#N/A,FALSE,"Utah";#N/A,#N/A,FALSE,"Idaho";#N/A,#N/A,FALSE,"Lewis River";#N/A,#N/A,FALSE,"NrthUmpq";#N/A,#N/A,FALSE,"KlamRog"}</definedName>
    <definedName name="____________OM1" localSheetId="0" hidden="1">{#N/A,#N/A,FALSE,"Summary";#N/A,#N/A,FALSE,"SmPlants";#N/A,#N/A,FALSE,"Utah";#N/A,#N/A,FALSE,"Idaho";#N/A,#N/A,FALSE,"Lewis River";#N/A,#N/A,FALSE,"NrthUmpq";#N/A,#N/A,FALSE,"KlamRog"}</definedName>
    <definedName name="____________OM1" localSheetId="1" hidden="1">{#N/A,#N/A,FALSE,"Summary";#N/A,#N/A,FALSE,"SmPlants";#N/A,#N/A,FALSE,"Utah";#N/A,#N/A,FALSE,"Idaho";#N/A,#N/A,FALSE,"Lewis River";#N/A,#N/A,FALSE,"NrthUmpq";#N/A,#N/A,FALSE,"KlamRog"}</definedName>
    <definedName name="____________OM1" localSheetId="2" hidden="1">{#N/A,#N/A,FALSE,"Summary";#N/A,#N/A,FALSE,"SmPlants";#N/A,#N/A,FALSE,"Utah";#N/A,#N/A,FALSE,"Idaho";#N/A,#N/A,FALSE,"Lewis River";#N/A,#N/A,FALSE,"NrthUmpq";#N/A,#N/A,FALSE,"KlamRog"}</definedName>
    <definedName name="____________OM1" hidden="1">{#N/A,#N/A,FALSE,"Summary";#N/A,#N/A,FALSE,"SmPlants";#N/A,#N/A,FALSE,"Utah";#N/A,#N/A,FALSE,"Idaho";#N/A,#N/A,FALSE,"Lewis River";#N/A,#N/A,FALSE,"NrthUmpq";#N/A,#N/A,FALSE,"KlamRog"}</definedName>
    <definedName name="___________OM1" localSheetId="0" hidden="1">{#N/A,#N/A,FALSE,"Summary";#N/A,#N/A,FALSE,"SmPlants";#N/A,#N/A,FALSE,"Utah";#N/A,#N/A,FALSE,"Idaho";#N/A,#N/A,FALSE,"Lewis River";#N/A,#N/A,FALSE,"NrthUmpq";#N/A,#N/A,FALSE,"KlamRog"}</definedName>
    <definedName name="___________OM1" localSheetId="1" hidden="1">{#N/A,#N/A,FALSE,"Summary";#N/A,#N/A,FALSE,"SmPlants";#N/A,#N/A,FALSE,"Utah";#N/A,#N/A,FALSE,"Idaho";#N/A,#N/A,FALSE,"Lewis River";#N/A,#N/A,FALSE,"NrthUmpq";#N/A,#N/A,FALSE,"KlamRog"}</definedName>
    <definedName name="___________OM1" localSheetId="2" hidden="1">{#N/A,#N/A,FALSE,"Summary";#N/A,#N/A,FALSE,"SmPlants";#N/A,#N/A,FALSE,"Utah";#N/A,#N/A,FALSE,"Idaho";#N/A,#N/A,FALSE,"Lewis River";#N/A,#N/A,FALSE,"NrthUmpq";#N/A,#N/A,FALSE,"KlamRog"}</definedName>
    <definedName name="___________OM1" hidden="1">{#N/A,#N/A,FALSE,"Summary";#N/A,#N/A,FALSE,"SmPlants";#N/A,#N/A,FALSE,"Utah";#N/A,#N/A,FALSE,"Idaho";#N/A,#N/A,FALSE,"Lewis River";#N/A,#N/A,FALSE,"NrthUmpq";#N/A,#N/A,FALSE,"KlamRog"}</definedName>
    <definedName name="_________j1" localSheetId="0" hidden="1">{"PRINT",#N/A,TRUE,"APPA";"PRINT",#N/A,TRUE,"APS";"PRINT",#N/A,TRUE,"BHPL";"PRINT",#N/A,TRUE,"BHPL2";"PRINT",#N/A,TRUE,"CDWR";"PRINT",#N/A,TRUE,"EWEB";"PRINT",#N/A,TRUE,"LADWP";"PRINT",#N/A,TRUE,"NEVBASE"}</definedName>
    <definedName name="_________j1" localSheetId="1" hidden="1">{"PRINT",#N/A,TRUE,"APPA";"PRINT",#N/A,TRUE,"APS";"PRINT",#N/A,TRUE,"BHPL";"PRINT",#N/A,TRUE,"BHPL2";"PRINT",#N/A,TRUE,"CDWR";"PRINT",#N/A,TRUE,"EWEB";"PRINT",#N/A,TRUE,"LADWP";"PRINT",#N/A,TRUE,"NEVBASE"}</definedName>
    <definedName name="_________j1" localSheetId="2" hidden="1">{"PRINT",#N/A,TRUE,"APPA";"PRINT",#N/A,TRUE,"APS";"PRINT",#N/A,TRUE,"BHPL";"PRINT",#N/A,TRUE,"BHPL2";"PRINT",#N/A,TRUE,"CDWR";"PRINT",#N/A,TRUE,"EWEB";"PRINT",#N/A,TRUE,"LADWP";"PRINT",#N/A,TRUE,"NEVBASE"}</definedName>
    <definedName name="_________j1" hidden="1">{"PRINT",#N/A,TRUE,"APPA";"PRINT",#N/A,TRUE,"APS";"PRINT",#N/A,TRUE,"BHPL";"PRINT",#N/A,TRUE,"BHPL2";"PRINT",#N/A,TRUE,"CDWR";"PRINT",#N/A,TRUE,"EWEB";"PRINT",#N/A,TRUE,"LADWP";"PRINT",#N/A,TRUE,"NEVBASE"}</definedName>
    <definedName name="_________j2" localSheetId="0" hidden="1">{"PRINT",#N/A,TRUE,"APPA";"PRINT",#N/A,TRUE,"APS";"PRINT",#N/A,TRUE,"BHPL";"PRINT",#N/A,TRUE,"BHPL2";"PRINT",#N/A,TRUE,"CDWR";"PRINT",#N/A,TRUE,"EWEB";"PRINT",#N/A,TRUE,"LADWP";"PRINT",#N/A,TRUE,"NEVBASE"}</definedName>
    <definedName name="_________j2" localSheetId="1" hidden="1">{"PRINT",#N/A,TRUE,"APPA";"PRINT",#N/A,TRUE,"APS";"PRINT",#N/A,TRUE,"BHPL";"PRINT",#N/A,TRUE,"BHPL2";"PRINT",#N/A,TRUE,"CDWR";"PRINT",#N/A,TRUE,"EWEB";"PRINT",#N/A,TRUE,"LADWP";"PRINT",#N/A,TRUE,"NEVBASE"}</definedName>
    <definedName name="_________j2" localSheetId="2" hidden="1">{"PRINT",#N/A,TRUE,"APPA";"PRINT",#N/A,TRUE,"APS";"PRINT",#N/A,TRUE,"BHPL";"PRINT",#N/A,TRUE,"BHPL2";"PRINT",#N/A,TRUE,"CDWR";"PRINT",#N/A,TRUE,"EWEB";"PRINT",#N/A,TRUE,"LADWP";"PRINT",#N/A,TRUE,"NEVBASE"}</definedName>
    <definedName name="_________j2" hidden="1">{"PRINT",#N/A,TRUE,"APPA";"PRINT",#N/A,TRUE,"APS";"PRINT",#N/A,TRUE,"BHPL";"PRINT",#N/A,TRUE,"BHPL2";"PRINT",#N/A,TRUE,"CDWR";"PRINT",#N/A,TRUE,"EWEB";"PRINT",#N/A,TRUE,"LADWP";"PRINT",#N/A,TRUE,"NEVBASE"}</definedName>
    <definedName name="_________j3" localSheetId="0" hidden="1">{"PRINT",#N/A,TRUE,"APPA";"PRINT",#N/A,TRUE,"APS";"PRINT",#N/A,TRUE,"BHPL";"PRINT",#N/A,TRUE,"BHPL2";"PRINT",#N/A,TRUE,"CDWR";"PRINT",#N/A,TRUE,"EWEB";"PRINT",#N/A,TRUE,"LADWP";"PRINT",#N/A,TRUE,"NEVBASE"}</definedName>
    <definedName name="_________j3" localSheetId="1" hidden="1">{"PRINT",#N/A,TRUE,"APPA";"PRINT",#N/A,TRUE,"APS";"PRINT",#N/A,TRUE,"BHPL";"PRINT",#N/A,TRUE,"BHPL2";"PRINT",#N/A,TRUE,"CDWR";"PRINT",#N/A,TRUE,"EWEB";"PRINT",#N/A,TRUE,"LADWP";"PRINT",#N/A,TRUE,"NEVBASE"}</definedName>
    <definedName name="_________j3" localSheetId="2" hidden="1">{"PRINT",#N/A,TRUE,"APPA";"PRINT",#N/A,TRUE,"APS";"PRINT",#N/A,TRUE,"BHPL";"PRINT",#N/A,TRUE,"BHPL2";"PRINT",#N/A,TRUE,"CDWR";"PRINT",#N/A,TRUE,"EWEB";"PRINT",#N/A,TRUE,"LADWP";"PRINT",#N/A,TRUE,"NEVBASE"}</definedName>
    <definedName name="_________j3" hidden="1">{"PRINT",#N/A,TRUE,"APPA";"PRINT",#N/A,TRUE,"APS";"PRINT",#N/A,TRUE,"BHPL";"PRINT",#N/A,TRUE,"BHPL2";"PRINT",#N/A,TRUE,"CDWR";"PRINT",#N/A,TRUE,"EWEB";"PRINT",#N/A,TRUE,"LADWP";"PRINT",#N/A,TRUE,"NEVBASE"}</definedName>
    <definedName name="_________j4" localSheetId="0" hidden="1">{"PRINT",#N/A,TRUE,"APPA";"PRINT",#N/A,TRUE,"APS";"PRINT",#N/A,TRUE,"BHPL";"PRINT",#N/A,TRUE,"BHPL2";"PRINT",#N/A,TRUE,"CDWR";"PRINT",#N/A,TRUE,"EWEB";"PRINT",#N/A,TRUE,"LADWP";"PRINT",#N/A,TRUE,"NEVBASE"}</definedName>
    <definedName name="_________j4" localSheetId="1" hidden="1">{"PRINT",#N/A,TRUE,"APPA";"PRINT",#N/A,TRUE,"APS";"PRINT",#N/A,TRUE,"BHPL";"PRINT",#N/A,TRUE,"BHPL2";"PRINT",#N/A,TRUE,"CDWR";"PRINT",#N/A,TRUE,"EWEB";"PRINT",#N/A,TRUE,"LADWP";"PRINT",#N/A,TRUE,"NEVBASE"}</definedName>
    <definedName name="_________j4" localSheetId="2" hidden="1">{"PRINT",#N/A,TRUE,"APPA";"PRINT",#N/A,TRUE,"APS";"PRINT",#N/A,TRUE,"BHPL";"PRINT",#N/A,TRUE,"BHPL2";"PRINT",#N/A,TRUE,"CDWR";"PRINT",#N/A,TRUE,"EWEB";"PRINT",#N/A,TRUE,"LADWP";"PRINT",#N/A,TRUE,"NEVBASE"}</definedName>
    <definedName name="_________j4" hidden="1">{"PRINT",#N/A,TRUE,"APPA";"PRINT",#N/A,TRUE,"APS";"PRINT",#N/A,TRUE,"BHPL";"PRINT",#N/A,TRUE,"BHPL2";"PRINT",#N/A,TRUE,"CDWR";"PRINT",#N/A,TRUE,"EWEB";"PRINT",#N/A,TRUE,"LADWP";"PRINT",#N/A,TRUE,"NEVBASE"}</definedName>
    <definedName name="_________j5" localSheetId="0" hidden="1">{"PRINT",#N/A,TRUE,"APPA";"PRINT",#N/A,TRUE,"APS";"PRINT",#N/A,TRUE,"BHPL";"PRINT",#N/A,TRUE,"BHPL2";"PRINT",#N/A,TRUE,"CDWR";"PRINT",#N/A,TRUE,"EWEB";"PRINT",#N/A,TRUE,"LADWP";"PRINT",#N/A,TRUE,"NEVBASE"}</definedName>
    <definedName name="_________j5" localSheetId="1" hidden="1">{"PRINT",#N/A,TRUE,"APPA";"PRINT",#N/A,TRUE,"APS";"PRINT",#N/A,TRUE,"BHPL";"PRINT",#N/A,TRUE,"BHPL2";"PRINT",#N/A,TRUE,"CDWR";"PRINT",#N/A,TRUE,"EWEB";"PRINT",#N/A,TRUE,"LADWP";"PRINT",#N/A,TRUE,"NEVBASE"}</definedName>
    <definedName name="_________j5" localSheetId="2" hidden="1">{"PRINT",#N/A,TRUE,"APPA";"PRINT",#N/A,TRUE,"APS";"PRINT",#N/A,TRUE,"BHPL";"PRINT",#N/A,TRUE,"BHPL2";"PRINT",#N/A,TRUE,"CDWR";"PRINT",#N/A,TRUE,"EWEB";"PRINT",#N/A,TRUE,"LADWP";"PRINT",#N/A,TRUE,"NEVBASE"}</definedName>
    <definedName name="_________j5" hidden="1">{"PRINT",#N/A,TRUE,"APPA";"PRINT",#N/A,TRUE,"APS";"PRINT",#N/A,TRUE,"BHPL";"PRINT",#N/A,TRUE,"BHPL2";"PRINT",#N/A,TRUE,"CDWR";"PRINT",#N/A,TRUE,"EWEB";"PRINT",#N/A,TRUE,"LADWP";"PRINT",#N/A,TRUE,"NEVBASE"}</definedName>
    <definedName name="_________OM1" localSheetId="0" hidden="1">{#N/A,#N/A,FALSE,"Summary";#N/A,#N/A,FALSE,"SmPlants";#N/A,#N/A,FALSE,"Utah";#N/A,#N/A,FALSE,"Idaho";#N/A,#N/A,FALSE,"Lewis River";#N/A,#N/A,FALSE,"NrthUmpq";#N/A,#N/A,FALSE,"KlamRog"}</definedName>
    <definedName name="_________OM1" localSheetId="1" hidden="1">{#N/A,#N/A,FALSE,"Summary";#N/A,#N/A,FALSE,"SmPlants";#N/A,#N/A,FALSE,"Utah";#N/A,#N/A,FALSE,"Idaho";#N/A,#N/A,FALSE,"Lewis River";#N/A,#N/A,FALSE,"NrthUmpq";#N/A,#N/A,FALSE,"KlamRog"}</definedName>
    <definedName name="_________OM1" localSheetId="2" hidden="1">{#N/A,#N/A,FALSE,"Summary";#N/A,#N/A,FALSE,"SmPlants";#N/A,#N/A,FALSE,"Utah";#N/A,#N/A,FALSE,"Idaho";#N/A,#N/A,FALSE,"Lewis River";#N/A,#N/A,FALSE,"NrthUmpq";#N/A,#N/A,FALSE,"KlamRog"}</definedName>
    <definedName name="_________OM1" hidden="1">{#N/A,#N/A,FALSE,"Summary";#N/A,#N/A,FALSE,"SmPlants";#N/A,#N/A,FALSE,"Utah";#N/A,#N/A,FALSE,"Idaho";#N/A,#N/A,FALSE,"Lewis River";#N/A,#N/A,FALSE,"NrthUmpq";#N/A,#N/A,FALSE,"KlamRog"}</definedName>
    <definedName name="________j1" localSheetId="0" hidden="1">{"PRINT",#N/A,TRUE,"APPA";"PRINT",#N/A,TRUE,"APS";"PRINT",#N/A,TRUE,"BHPL";"PRINT",#N/A,TRUE,"BHPL2";"PRINT",#N/A,TRUE,"CDWR";"PRINT",#N/A,TRUE,"EWEB";"PRINT",#N/A,TRUE,"LADWP";"PRINT",#N/A,TRUE,"NEVBASE"}</definedName>
    <definedName name="________j1" localSheetId="1" hidden="1">{"PRINT",#N/A,TRUE,"APPA";"PRINT",#N/A,TRUE,"APS";"PRINT",#N/A,TRUE,"BHPL";"PRINT",#N/A,TRUE,"BHPL2";"PRINT",#N/A,TRUE,"CDWR";"PRINT",#N/A,TRUE,"EWEB";"PRINT",#N/A,TRUE,"LADWP";"PRINT",#N/A,TRUE,"NEVBASE"}</definedName>
    <definedName name="________j1" localSheetId="2" hidden="1">{"PRINT",#N/A,TRUE,"APPA";"PRINT",#N/A,TRUE,"APS";"PRINT",#N/A,TRUE,"BHPL";"PRINT",#N/A,TRUE,"BHPL2";"PRINT",#N/A,TRUE,"CDWR";"PRINT",#N/A,TRUE,"EWEB";"PRINT",#N/A,TRUE,"LADWP";"PRINT",#N/A,TRUE,"NEVBASE"}</definedName>
    <definedName name="________j1" hidden="1">{"PRINT",#N/A,TRUE,"APPA";"PRINT",#N/A,TRUE,"APS";"PRINT",#N/A,TRUE,"BHPL";"PRINT",#N/A,TRUE,"BHPL2";"PRINT",#N/A,TRUE,"CDWR";"PRINT",#N/A,TRUE,"EWEB";"PRINT",#N/A,TRUE,"LADWP";"PRINT",#N/A,TRUE,"NEVBASE"}</definedName>
    <definedName name="________j2" localSheetId="0" hidden="1">{"PRINT",#N/A,TRUE,"APPA";"PRINT",#N/A,TRUE,"APS";"PRINT",#N/A,TRUE,"BHPL";"PRINT",#N/A,TRUE,"BHPL2";"PRINT",#N/A,TRUE,"CDWR";"PRINT",#N/A,TRUE,"EWEB";"PRINT",#N/A,TRUE,"LADWP";"PRINT",#N/A,TRUE,"NEVBASE"}</definedName>
    <definedName name="________j2" localSheetId="1" hidden="1">{"PRINT",#N/A,TRUE,"APPA";"PRINT",#N/A,TRUE,"APS";"PRINT",#N/A,TRUE,"BHPL";"PRINT",#N/A,TRUE,"BHPL2";"PRINT",#N/A,TRUE,"CDWR";"PRINT",#N/A,TRUE,"EWEB";"PRINT",#N/A,TRUE,"LADWP";"PRINT",#N/A,TRUE,"NEVBASE"}</definedName>
    <definedName name="________j2" localSheetId="2" hidden="1">{"PRINT",#N/A,TRUE,"APPA";"PRINT",#N/A,TRUE,"APS";"PRINT",#N/A,TRUE,"BHPL";"PRINT",#N/A,TRUE,"BHPL2";"PRINT",#N/A,TRUE,"CDWR";"PRINT",#N/A,TRUE,"EWEB";"PRINT",#N/A,TRUE,"LADWP";"PRINT",#N/A,TRUE,"NEVBASE"}</definedName>
    <definedName name="________j2" hidden="1">{"PRINT",#N/A,TRUE,"APPA";"PRINT",#N/A,TRUE,"APS";"PRINT",#N/A,TRUE,"BHPL";"PRINT",#N/A,TRUE,"BHPL2";"PRINT",#N/A,TRUE,"CDWR";"PRINT",#N/A,TRUE,"EWEB";"PRINT",#N/A,TRUE,"LADWP";"PRINT",#N/A,TRUE,"NEVBASE"}</definedName>
    <definedName name="________j3" localSheetId="0" hidden="1">{"PRINT",#N/A,TRUE,"APPA";"PRINT",#N/A,TRUE,"APS";"PRINT",#N/A,TRUE,"BHPL";"PRINT",#N/A,TRUE,"BHPL2";"PRINT",#N/A,TRUE,"CDWR";"PRINT",#N/A,TRUE,"EWEB";"PRINT",#N/A,TRUE,"LADWP";"PRINT",#N/A,TRUE,"NEVBASE"}</definedName>
    <definedName name="________j3" localSheetId="1" hidden="1">{"PRINT",#N/A,TRUE,"APPA";"PRINT",#N/A,TRUE,"APS";"PRINT",#N/A,TRUE,"BHPL";"PRINT",#N/A,TRUE,"BHPL2";"PRINT",#N/A,TRUE,"CDWR";"PRINT",#N/A,TRUE,"EWEB";"PRINT",#N/A,TRUE,"LADWP";"PRINT",#N/A,TRUE,"NEVBASE"}</definedName>
    <definedName name="________j3" localSheetId="2" hidden="1">{"PRINT",#N/A,TRUE,"APPA";"PRINT",#N/A,TRUE,"APS";"PRINT",#N/A,TRUE,"BHPL";"PRINT",#N/A,TRUE,"BHPL2";"PRINT",#N/A,TRUE,"CDWR";"PRINT",#N/A,TRUE,"EWEB";"PRINT",#N/A,TRUE,"LADWP";"PRINT",#N/A,TRUE,"NEVBASE"}</definedName>
    <definedName name="________j3" hidden="1">{"PRINT",#N/A,TRUE,"APPA";"PRINT",#N/A,TRUE,"APS";"PRINT",#N/A,TRUE,"BHPL";"PRINT",#N/A,TRUE,"BHPL2";"PRINT",#N/A,TRUE,"CDWR";"PRINT",#N/A,TRUE,"EWEB";"PRINT",#N/A,TRUE,"LADWP";"PRINT",#N/A,TRUE,"NEVBASE"}</definedName>
    <definedName name="________j4" localSheetId="0" hidden="1">{"PRINT",#N/A,TRUE,"APPA";"PRINT",#N/A,TRUE,"APS";"PRINT",#N/A,TRUE,"BHPL";"PRINT",#N/A,TRUE,"BHPL2";"PRINT",#N/A,TRUE,"CDWR";"PRINT",#N/A,TRUE,"EWEB";"PRINT",#N/A,TRUE,"LADWP";"PRINT",#N/A,TRUE,"NEVBASE"}</definedName>
    <definedName name="________j4" localSheetId="1" hidden="1">{"PRINT",#N/A,TRUE,"APPA";"PRINT",#N/A,TRUE,"APS";"PRINT",#N/A,TRUE,"BHPL";"PRINT",#N/A,TRUE,"BHPL2";"PRINT",#N/A,TRUE,"CDWR";"PRINT",#N/A,TRUE,"EWEB";"PRINT",#N/A,TRUE,"LADWP";"PRINT",#N/A,TRUE,"NEVBASE"}</definedName>
    <definedName name="________j4" localSheetId="2" hidden="1">{"PRINT",#N/A,TRUE,"APPA";"PRINT",#N/A,TRUE,"APS";"PRINT",#N/A,TRUE,"BHPL";"PRINT",#N/A,TRUE,"BHPL2";"PRINT",#N/A,TRUE,"CDWR";"PRINT",#N/A,TRUE,"EWEB";"PRINT",#N/A,TRUE,"LADWP";"PRINT",#N/A,TRUE,"NEVBASE"}</definedName>
    <definedName name="________j4" hidden="1">{"PRINT",#N/A,TRUE,"APPA";"PRINT",#N/A,TRUE,"APS";"PRINT",#N/A,TRUE,"BHPL";"PRINT",#N/A,TRUE,"BHPL2";"PRINT",#N/A,TRUE,"CDWR";"PRINT",#N/A,TRUE,"EWEB";"PRINT",#N/A,TRUE,"LADWP";"PRINT",#N/A,TRUE,"NEVBASE"}</definedName>
    <definedName name="________j5" localSheetId="0" hidden="1">{"PRINT",#N/A,TRUE,"APPA";"PRINT",#N/A,TRUE,"APS";"PRINT",#N/A,TRUE,"BHPL";"PRINT",#N/A,TRUE,"BHPL2";"PRINT",#N/A,TRUE,"CDWR";"PRINT",#N/A,TRUE,"EWEB";"PRINT",#N/A,TRUE,"LADWP";"PRINT",#N/A,TRUE,"NEVBASE"}</definedName>
    <definedName name="________j5" localSheetId="1" hidden="1">{"PRINT",#N/A,TRUE,"APPA";"PRINT",#N/A,TRUE,"APS";"PRINT",#N/A,TRUE,"BHPL";"PRINT",#N/A,TRUE,"BHPL2";"PRINT",#N/A,TRUE,"CDWR";"PRINT",#N/A,TRUE,"EWEB";"PRINT",#N/A,TRUE,"LADWP";"PRINT",#N/A,TRUE,"NEVBASE"}</definedName>
    <definedName name="________j5" localSheetId="2" hidden="1">{"PRINT",#N/A,TRUE,"APPA";"PRINT",#N/A,TRUE,"APS";"PRINT",#N/A,TRUE,"BHPL";"PRINT",#N/A,TRUE,"BHPL2";"PRINT",#N/A,TRUE,"CDWR";"PRINT",#N/A,TRUE,"EWEB";"PRINT",#N/A,TRUE,"LADWP";"PRINT",#N/A,TRUE,"NEVBASE"}</definedName>
    <definedName name="________j5" hidden="1">{"PRINT",#N/A,TRUE,"APPA";"PRINT",#N/A,TRUE,"APS";"PRINT",#N/A,TRUE,"BHPL";"PRINT",#N/A,TRUE,"BHPL2";"PRINT",#N/A,TRUE,"CDWR";"PRINT",#N/A,TRUE,"EWEB";"PRINT",#N/A,TRUE,"LADWP";"PRINT",#N/A,TRUE,"NEVBASE"}</definedName>
    <definedName name="_______j1" localSheetId="0" hidden="1">{"PRINT",#N/A,TRUE,"APPA";"PRINT",#N/A,TRUE,"APS";"PRINT",#N/A,TRUE,"BHPL";"PRINT",#N/A,TRUE,"BHPL2";"PRINT",#N/A,TRUE,"CDWR";"PRINT",#N/A,TRUE,"EWEB";"PRINT",#N/A,TRUE,"LADWP";"PRINT",#N/A,TRUE,"NEVBASE"}</definedName>
    <definedName name="_______j1" localSheetId="1" hidden="1">{"PRINT",#N/A,TRUE,"APPA";"PRINT",#N/A,TRUE,"APS";"PRINT",#N/A,TRUE,"BHPL";"PRINT",#N/A,TRUE,"BHPL2";"PRINT",#N/A,TRUE,"CDWR";"PRINT",#N/A,TRUE,"EWEB";"PRINT",#N/A,TRUE,"LADWP";"PRINT",#N/A,TRUE,"NEVBASE"}</definedName>
    <definedName name="_______j1" localSheetId="2" hidden="1">{"PRINT",#N/A,TRUE,"APPA";"PRINT",#N/A,TRUE,"APS";"PRINT",#N/A,TRUE,"BHPL";"PRINT",#N/A,TRUE,"BHPL2";"PRINT",#N/A,TRUE,"CDWR";"PRINT",#N/A,TRUE,"EWEB";"PRINT",#N/A,TRUE,"LADWP";"PRINT",#N/A,TRUE,"NEVBASE"}</definedName>
    <definedName name="_______j1" hidden="1">{"PRINT",#N/A,TRUE,"APPA";"PRINT",#N/A,TRUE,"APS";"PRINT",#N/A,TRUE,"BHPL";"PRINT",#N/A,TRUE,"BHPL2";"PRINT",#N/A,TRUE,"CDWR";"PRINT",#N/A,TRUE,"EWEB";"PRINT",#N/A,TRUE,"LADWP";"PRINT",#N/A,TRUE,"NEVBASE"}</definedName>
    <definedName name="_______j2" localSheetId="0" hidden="1">{"PRINT",#N/A,TRUE,"APPA";"PRINT",#N/A,TRUE,"APS";"PRINT",#N/A,TRUE,"BHPL";"PRINT",#N/A,TRUE,"BHPL2";"PRINT",#N/A,TRUE,"CDWR";"PRINT",#N/A,TRUE,"EWEB";"PRINT",#N/A,TRUE,"LADWP";"PRINT",#N/A,TRUE,"NEVBASE"}</definedName>
    <definedName name="_______j2" localSheetId="1" hidden="1">{"PRINT",#N/A,TRUE,"APPA";"PRINT",#N/A,TRUE,"APS";"PRINT",#N/A,TRUE,"BHPL";"PRINT",#N/A,TRUE,"BHPL2";"PRINT",#N/A,TRUE,"CDWR";"PRINT",#N/A,TRUE,"EWEB";"PRINT",#N/A,TRUE,"LADWP";"PRINT",#N/A,TRUE,"NEVBASE"}</definedName>
    <definedName name="_______j2" localSheetId="2" hidden="1">{"PRINT",#N/A,TRUE,"APPA";"PRINT",#N/A,TRUE,"APS";"PRINT",#N/A,TRUE,"BHPL";"PRINT",#N/A,TRUE,"BHPL2";"PRINT",#N/A,TRUE,"CDWR";"PRINT",#N/A,TRUE,"EWEB";"PRINT",#N/A,TRUE,"LADWP";"PRINT",#N/A,TRUE,"NEVBASE"}</definedName>
    <definedName name="_______j2" hidden="1">{"PRINT",#N/A,TRUE,"APPA";"PRINT",#N/A,TRUE,"APS";"PRINT",#N/A,TRUE,"BHPL";"PRINT",#N/A,TRUE,"BHPL2";"PRINT",#N/A,TRUE,"CDWR";"PRINT",#N/A,TRUE,"EWEB";"PRINT",#N/A,TRUE,"LADWP";"PRINT",#N/A,TRUE,"NEVBASE"}</definedName>
    <definedName name="_______j3" localSheetId="0" hidden="1">{"PRINT",#N/A,TRUE,"APPA";"PRINT",#N/A,TRUE,"APS";"PRINT",#N/A,TRUE,"BHPL";"PRINT",#N/A,TRUE,"BHPL2";"PRINT",#N/A,TRUE,"CDWR";"PRINT",#N/A,TRUE,"EWEB";"PRINT",#N/A,TRUE,"LADWP";"PRINT",#N/A,TRUE,"NEVBASE"}</definedName>
    <definedName name="_______j3" localSheetId="1" hidden="1">{"PRINT",#N/A,TRUE,"APPA";"PRINT",#N/A,TRUE,"APS";"PRINT",#N/A,TRUE,"BHPL";"PRINT",#N/A,TRUE,"BHPL2";"PRINT",#N/A,TRUE,"CDWR";"PRINT",#N/A,TRUE,"EWEB";"PRINT",#N/A,TRUE,"LADWP";"PRINT",#N/A,TRUE,"NEVBASE"}</definedName>
    <definedName name="_______j3" localSheetId="2" hidden="1">{"PRINT",#N/A,TRUE,"APPA";"PRINT",#N/A,TRUE,"APS";"PRINT",#N/A,TRUE,"BHPL";"PRINT",#N/A,TRUE,"BHPL2";"PRINT",#N/A,TRUE,"CDWR";"PRINT",#N/A,TRUE,"EWEB";"PRINT",#N/A,TRUE,"LADWP";"PRINT",#N/A,TRUE,"NEVBASE"}</definedName>
    <definedName name="_______j3" hidden="1">{"PRINT",#N/A,TRUE,"APPA";"PRINT",#N/A,TRUE,"APS";"PRINT",#N/A,TRUE,"BHPL";"PRINT",#N/A,TRUE,"BHPL2";"PRINT",#N/A,TRUE,"CDWR";"PRINT",#N/A,TRUE,"EWEB";"PRINT",#N/A,TRUE,"LADWP";"PRINT",#N/A,TRUE,"NEVBASE"}</definedName>
    <definedName name="_______j4" localSheetId="0" hidden="1">{"PRINT",#N/A,TRUE,"APPA";"PRINT",#N/A,TRUE,"APS";"PRINT",#N/A,TRUE,"BHPL";"PRINT",#N/A,TRUE,"BHPL2";"PRINT",#N/A,TRUE,"CDWR";"PRINT",#N/A,TRUE,"EWEB";"PRINT",#N/A,TRUE,"LADWP";"PRINT",#N/A,TRUE,"NEVBASE"}</definedName>
    <definedName name="_______j4" localSheetId="1" hidden="1">{"PRINT",#N/A,TRUE,"APPA";"PRINT",#N/A,TRUE,"APS";"PRINT",#N/A,TRUE,"BHPL";"PRINT",#N/A,TRUE,"BHPL2";"PRINT",#N/A,TRUE,"CDWR";"PRINT",#N/A,TRUE,"EWEB";"PRINT",#N/A,TRUE,"LADWP";"PRINT",#N/A,TRUE,"NEVBASE"}</definedName>
    <definedName name="_______j4" localSheetId="2" hidden="1">{"PRINT",#N/A,TRUE,"APPA";"PRINT",#N/A,TRUE,"APS";"PRINT",#N/A,TRUE,"BHPL";"PRINT",#N/A,TRUE,"BHPL2";"PRINT",#N/A,TRUE,"CDWR";"PRINT",#N/A,TRUE,"EWEB";"PRINT",#N/A,TRUE,"LADWP";"PRINT",#N/A,TRUE,"NEVBASE"}</definedName>
    <definedName name="_______j4" hidden="1">{"PRINT",#N/A,TRUE,"APPA";"PRINT",#N/A,TRUE,"APS";"PRINT",#N/A,TRUE,"BHPL";"PRINT",#N/A,TRUE,"BHPL2";"PRINT",#N/A,TRUE,"CDWR";"PRINT",#N/A,TRUE,"EWEB";"PRINT",#N/A,TRUE,"LADWP";"PRINT",#N/A,TRUE,"NEVBASE"}</definedName>
    <definedName name="_______j5" localSheetId="0" hidden="1">{"PRINT",#N/A,TRUE,"APPA";"PRINT",#N/A,TRUE,"APS";"PRINT",#N/A,TRUE,"BHPL";"PRINT",#N/A,TRUE,"BHPL2";"PRINT",#N/A,TRUE,"CDWR";"PRINT",#N/A,TRUE,"EWEB";"PRINT",#N/A,TRUE,"LADWP";"PRINT",#N/A,TRUE,"NEVBASE"}</definedName>
    <definedName name="_______j5" localSheetId="1" hidden="1">{"PRINT",#N/A,TRUE,"APPA";"PRINT",#N/A,TRUE,"APS";"PRINT",#N/A,TRUE,"BHPL";"PRINT",#N/A,TRUE,"BHPL2";"PRINT",#N/A,TRUE,"CDWR";"PRINT",#N/A,TRUE,"EWEB";"PRINT",#N/A,TRUE,"LADWP";"PRINT",#N/A,TRUE,"NEVBASE"}</definedName>
    <definedName name="_______j5" localSheetId="2" hidden="1">{"PRINT",#N/A,TRUE,"APPA";"PRINT",#N/A,TRUE,"APS";"PRINT",#N/A,TRUE,"BHPL";"PRINT",#N/A,TRUE,"BHPL2";"PRINT",#N/A,TRUE,"CDWR";"PRINT",#N/A,TRUE,"EWEB";"PRINT",#N/A,TRUE,"LADWP";"PRINT",#N/A,TRUE,"NEVBASE"}</definedName>
    <definedName name="_______j5" hidden="1">{"PRINT",#N/A,TRUE,"APPA";"PRINT",#N/A,TRUE,"APS";"PRINT",#N/A,TRUE,"BHPL";"PRINT",#N/A,TRUE,"BHPL2";"PRINT",#N/A,TRUE,"CDWR";"PRINT",#N/A,TRUE,"EWEB";"PRINT",#N/A,TRUE,"LADWP";"PRINT",#N/A,TRUE,"NEVBASE"}</definedName>
    <definedName name="_______OM1" localSheetId="0" hidden="1">{#N/A,#N/A,FALSE,"Summary";#N/A,#N/A,FALSE,"SmPlants";#N/A,#N/A,FALSE,"Utah";#N/A,#N/A,FALSE,"Idaho";#N/A,#N/A,FALSE,"Lewis River";#N/A,#N/A,FALSE,"NrthUmpq";#N/A,#N/A,FALSE,"KlamRog"}</definedName>
    <definedName name="_______OM1" localSheetId="1" hidden="1">{#N/A,#N/A,FALSE,"Summary";#N/A,#N/A,FALSE,"SmPlants";#N/A,#N/A,FALSE,"Utah";#N/A,#N/A,FALSE,"Idaho";#N/A,#N/A,FALSE,"Lewis River";#N/A,#N/A,FALSE,"NrthUmpq";#N/A,#N/A,FALSE,"KlamRog"}</definedName>
    <definedName name="_______OM1" localSheetId="2" hidden="1">{#N/A,#N/A,FALSE,"Summary";#N/A,#N/A,FALSE,"SmPlants";#N/A,#N/A,FALSE,"Utah";#N/A,#N/A,FALSE,"Idaho";#N/A,#N/A,FALSE,"Lewis River";#N/A,#N/A,FALSE,"NrthUmpq";#N/A,#N/A,FALSE,"KlamRog"}</definedName>
    <definedName name="_______OM1" hidden="1">{#N/A,#N/A,FALSE,"Summary";#N/A,#N/A,FALSE,"SmPlants";#N/A,#N/A,FALSE,"Utah";#N/A,#N/A,FALSE,"Idaho";#N/A,#N/A,FALSE,"Lewis River";#N/A,#N/A,FALSE,"NrthUmpq";#N/A,#N/A,FALSE,"KlamRog"}</definedName>
    <definedName name="______j1" localSheetId="0" hidden="1">{"PRINT",#N/A,TRUE,"APPA";"PRINT",#N/A,TRUE,"APS";"PRINT",#N/A,TRUE,"BHPL";"PRINT",#N/A,TRUE,"BHPL2";"PRINT",#N/A,TRUE,"CDWR";"PRINT",#N/A,TRUE,"EWEB";"PRINT",#N/A,TRUE,"LADWP";"PRINT",#N/A,TRUE,"NEVBASE"}</definedName>
    <definedName name="______j1" localSheetId="1" hidden="1">{"PRINT",#N/A,TRUE,"APPA";"PRINT",#N/A,TRUE,"APS";"PRINT",#N/A,TRUE,"BHPL";"PRINT",#N/A,TRUE,"BHPL2";"PRINT",#N/A,TRUE,"CDWR";"PRINT",#N/A,TRUE,"EWEB";"PRINT",#N/A,TRUE,"LADWP";"PRINT",#N/A,TRUE,"NEVBASE"}</definedName>
    <definedName name="______j1" localSheetId="2" hidden="1">{"PRINT",#N/A,TRUE,"APPA";"PRINT",#N/A,TRUE,"APS";"PRINT",#N/A,TRUE,"BHPL";"PRINT",#N/A,TRUE,"BHPL2";"PRINT",#N/A,TRUE,"CDWR";"PRINT",#N/A,TRUE,"EWEB";"PRINT",#N/A,TRUE,"LADWP";"PRINT",#N/A,TRUE,"NEVBASE"}</definedName>
    <definedName name="______j1" hidden="1">{"PRINT",#N/A,TRUE,"APPA";"PRINT",#N/A,TRUE,"APS";"PRINT",#N/A,TRUE,"BHPL";"PRINT",#N/A,TRUE,"BHPL2";"PRINT",#N/A,TRUE,"CDWR";"PRINT",#N/A,TRUE,"EWEB";"PRINT",#N/A,TRUE,"LADWP";"PRINT",#N/A,TRUE,"NEVBASE"}</definedName>
    <definedName name="______j2" localSheetId="0" hidden="1">{"PRINT",#N/A,TRUE,"APPA";"PRINT",#N/A,TRUE,"APS";"PRINT",#N/A,TRUE,"BHPL";"PRINT",#N/A,TRUE,"BHPL2";"PRINT",#N/A,TRUE,"CDWR";"PRINT",#N/A,TRUE,"EWEB";"PRINT",#N/A,TRUE,"LADWP";"PRINT",#N/A,TRUE,"NEVBASE"}</definedName>
    <definedName name="______j2" localSheetId="1" hidden="1">{"PRINT",#N/A,TRUE,"APPA";"PRINT",#N/A,TRUE,"APS";"PRINT",#N/A,TRUE,"BHPL";"PRINT",#N/A,TRUE,"BHPL2";"PRINT",#N/A,TRUE,"CDWR";"PRINT",#N/A,TRUE,"EWEB";"PRINT",#N/A,TRUE,"LADWP";"PRINT",#N/A,TRUE,"NEVBASE"}</definedName>
    <definedName name="______j2" localSheetId="2" hidden="1">{"PRINT",#N/A,TRUE,"APPA";"PRINT",#N/A,TRUE,"APS";"PRINT",#N/A,TRUE,"BHPL";"PRINT",#N/A,TRUE,"BHPL2";"PRINT",#N/A,TRUE,"CDWR";"PRINT",#N/A,TRUE,"EWEB";"PRINT",#N/A,TRUE,"LADWP";"PRINT",#N/A,TRUE,"NEVBASE"}</definedName>
    <definedName name="______j2" hidden="1">{"PRINT",#N/A,TRUE,"APPA";"PRINT",#N/A,TRUE,"APS";"PRINT",#N/A,TRUE,"BHPL";"PRINT",#N/A,TRUE,"BHPL2";"PRINT",#N/A,TRUE,"CDWR";"PRINT",#N/A,TRUE,"EWEB";"PRINT",#N/A,TRUE,"LADWP";"PRINT",#N/A,TRUE,"NEVBASE"}</definedName>
    <definedName name="______j3" localSheetId="0" hidden="1">{"PRINT",#N/A,TRUE,"APPA";"PRINT",#N/A,TRUE,"APS";"PRINT",#N/A,TRUE,"BHPL";"PRINT",#N/A,TRUE,"BHPL2";"PRINT",#N/A,TRUE,"CDWR";"PRINT",#N/A,TRUE,"EWEB";"PRINT",#N/A,TRUE,"LADWP";"PRINT",#N/A,TRUE,"NEVBASE"}</definedName>
    <definedName name="______j3" localSheetId="1" hidden="1">{"PRINT",#N/A,TRUE,"APPA";"PRINT",#N/A,TRUE,"APS";"PRINT",#N/A,TRUE,"BHPL";"PRINT",#N/A,TRUE,"BHPL2";"PRINT",#N/A,TRUE,"CDWR";"PRINT",#N/A,TRUE,"EWEB";"PRINT",#N/A,TRUE,"LADWP";"PRINT",#N/A,TRUE,"NEVBASE"}</definedName>
    <definedName name="______j3" localSheetId="2" hidden="1">{"PRINT",#N/A,TRUE,"APPA";"PRINT",#N/A,TRUE,"APS";"PRINT",#N/A,TRUE,"BHPL";"PRINT",#N/A,TRUE,"BHPL2";"PRINT",#N/A,TRUE,"CDWR";"PRINT",#N/A,TRUE,"EWEB";"PRINT",#N/A,TRUE,"LADWP";"PRINT",#N/A,TRUE,"NEVBASE"}</definedName>
    <definedName name="______j3" hidden="1">{"PRINT",#N/A,TRUE,"APPA";"PRINT",#N/A,TRUE,"APS";"PRINT",#N/A,TRUE,"BHPL";"PRINT",#N/A,TRUE,"BHPL2";"PRINT",#N/A,TRUE,"CDWR";"PRINT",#N/A,TRUE,"EWEB";"PRINT",#N/A,TRUE,"LADWP";"PRINT",#N/A,TRUE,"NEVBASE"}</definedName>
    <definedName name="______j4" localSheetId="0" hidden="1">{"PRINT",#N/A,TRUE,"APPA";"PRINT",#N/A,TRUE,"APS";"PRINT",#N/A,TRUE,"BHPL";"PRINT",#N/A,TRUE,"BHPL2";"PRINT",#N/A,TRUE,"CDWR";"PRINT",#N/A,TRUE,"EWEB";"PRINT",#N/A,TRUE,"LADWP";"PRINT",#N/A,TRUE,"NEVBASE"}</definedName>
    <definedName name="______j4" localSheetId="1" hidden="1">{"PRINT",#N/A,TRUE,"APPA";"PRINT",#N/A,TRUE,"APS";"PRINT",#N/A,TRUE,"BHPL";"PRINT",#N/A,TRUE,"BHPL2";"PRINT",#N/A,TRUE,"CDWR";"PRINT",#N/A,TRUE,"EWEB";"PRINT",#N/A,TRUE,"LADWP";"PRINT",#N/A,TRUE,"NEVBASE"}</definedName>
    <definedName name="______j4" localSheetId="2" hidden="1">{"PRINT",#N/A,TRUE,"APPA";"PRINT",#N/A,TRUE,"APS";"PRINT",#N/A,TRUE,"BHPL";"PRINT",#N/A,TRUE,"BHPL2";"PRINT",#N/A,TRUE,"CDWR";"PRINT",#N/A,TRUE,"EWEB";"PRINT",#N/A,TRUE,"LADWP";"PRINT",#N/A,TRUE,"NEVBASE"}</definedName>
    <definedName name="______j4" hidden="1">{"PRINT",#N/A,TRUE,"APPA";"PRINT",#N/A,TRUE,"APS";"PRINT",#N/A,TRUE,"BHPL";"PRINT",#N/A,TRUE,"BHPL2";"PRINT",#N/A,TRUE,"CDWR";"PRINT",#N/A,TRUE,"EWEB";"PRINT",#N/A,TRUE,"LADWP";"PRINT",#N/A,TRUE,"NEVBASE"}</definedName>
    <definedName name="______j5" localSheetId="0" hidden="1">{"PRINT",#N/A,TRUE,"APPA";"PRINT",#N/A,TRUE,"APS";"PRINT",#N/A,TRUE,"BHPL";"PRINT",#N/A,TRUE,"BHPL2";"PRINT",#N/A,TRUE,"CDWR";"PRINT",#N/A,TRUE,"EWEB";"PRINT",#N/A,TRUE,"LADWP";"PRINT",#N/A,TRUE,"NEVBASE"}</definedName>
    <definedName name="______j5" localSheetId="1" hidden="1">{"PRINT",#N/A,TRUE,"APPA";"PRINT",#N/A,TRUE,"APS";"PRINT",#N/A,TRUE,"BHPL";"PRINT",#N/A,TRUE,"BHPL2";"PRINT",#N/A,TRUE,"CDWR";"PRINT",#N/A,TRUE,"EWEB";"PRINT",#N/A,TRUE,"LADWP";"PRINT",#N/A,TRUE,"NEVBASE"}</definedName>
    <definedName name="______j5" localSheetId="2" hidden="1">{"PRINT",#N/A,TRUE,"APPA";"PRINT",#N/A,TRUE,"APS";"PRINT",#N/A,TRUE,"BHPL";"PRINT",#N/A,TRUE,"BHPL2";"PRINT",#N/A,TRUE,"CDWR";"PRINT",#N/A,TRUE,"EWEB";"PRINT",#N/A,TRUE,"LADWP";"PRINT",#N/A,TRUE,"NEVBASE"}</definedName>
    <definedName name="______j5" hidden="1">{"PRINT",#N/A,TRUE,"APPA";"PRINT",#N/A,TRUE,"APS";"PRINT",#N/A,TRUE,"BHPL";"PRINT",#N/A,TRUE,"BHPL2";"PRINT",#N/A,TRUE,"CDWR";"PRINT",#N/A,TRUE,"EWEB";"PRINT",#N/A,TRUE,"LADWP";"PRINT",#N/A,TRUE,"NEVBASE"}</definedName>
    <definedName name="______OM1" localSheetId="0" hidden="1">{#N/A,#N/A,FALSE,"Summary";#N/A,#N/A,FALSE,"SmPlants";#N/A,#N/A,FALSE,"Utah";#N/A,#N/A,FALSE,"Idaho";#N/A,#N/A,FALSE,"Lewis River";#N/A,#N/A,FALSE,"NrthUmpq";#N/A,#N/A,FALSE,"KlamRog"}</definedName>
    <definedName name="______OM1" localSheetId="1" hidden="1">{#N/A,#N/A,FALSE,"Summary";#N/A,#N/A,FALSE,"SmPlants";#N/A,#N/A,FALSE,"Utah";#N/A,#N/A,FALSE,"Idaho";#N/A,#N/A,FALSE,"Lewis River";#N/A,#N/A,FALSE,"NrthUmpq";#N/A,#N/A,FALSE,"KlamRog"}</definedName>
    <definedName name="______OM1" localSheetId="2" hidden="1">{#N/A,#N/A,FALSE,"Summary";#N/A,#N/A,FALSE,"SmPlants";#N/A,#N/A,FALSE,"Utah";#N/A,#N/A,FALSE,"Idaho";#N/A,#N/A,FALSE,"Lewis River";#N/A,#N/A,FALSE,"NrthUmpq";#N/A,#N/A,FALSE,"KlamRog"}</definedName>
    <definedName name="______OM1" hidden="1">{#N/A,#N/A,FALSE,"Summary";#N/A,#N/A,FALSE,"SmPlants";#N/A,#N/A,FALSE,"Utah";#N/A,#N/A,FALSE,"Idaho";#N/A,#N/A,FALSE,"Lewis River";#N/A,#N/A,FALSE,"NrthUmpq";#N/A,#N/A,FALSE,"KlamRog"}</definedName>
    <definedName name="_____j1" localSheetId="0" hidden="1">{"PRINT",#N/A,TRUE,"APPA";"PRINT",#N/A,TRUE,"APS";"PRINT",#N/A,TRUE,"BHPL";"PRINT",#N/A,TRUE,"BHPL2";"PRINT",#N/A,TRUE,"CDWR";"PRINT",#N/A,TRUE,"EWEB";"PRINT",#N/A,TRUE,"LADWP";"PRINT",#N/A,TRUE,"NEVBASE"}</definedName>
    <definedName name="_____j1" localSheetId="1" hidden="1">{"PRINT",#N/A,TRUE,"APPA";"PRINT",#N/A,TRUE,"APS";"PRINT",#N/A,TRUE,"BHPL";"PRINT",#N/A,TRUE,"BHPL2";"PRINT",#N/A,TRUE,"CDWR";"PRINT",#N/A,TRUE,"EWEB";"PRINT",#N/A,TRUE,"LADWP";"PRINT",#N/A,TRUE,"NEVBASE"}</definedName>
    <definedName name="_____j1" localSheetId="2" hidden="1">{"PRINT",#N/A,TRUE,"APPA";"PRINT",#N/A,TRUE,"APS";"PRINT",#N/A,TRUE,"BHPL";"PRINT",#N/A,TRUE,"BHPL2";"PRINT",#N/A,TRUE,"CDWR";"PRINT",#N/A,TRUE,"EWEB";"PRINT",#N/A,TRUE,"LADWP";"PRINT",#N/A,TRUE,"NEVBASE"}</definedName>
    <definedName name="_____j1" hidden="1">{"PRINT",#N/A,TRUE,"APPA";"PRINT",#N/A,TRUE,"APS";"PRINT",#N/A,TRUE,"BHPL";"PRINT",#N/A,TRUE,"BHPL2";"PRINT",#N/A,TRUE,"CDWR";"PRINT",#N/A,TRUE,"EWEB";"PRINT",#N/A,TRUE,"LADWP";"PRINT",#N/A,TRUE,"NEVBASE"}</definedName>
    <definedName name="_____j2" localSheetId="0" hidden="1">{"PRINT",#N/A,TRUE,"APPA";"PRINT",#N/A,TRUE,"APS";"PRINT",#N/A,TRUE,"BHPL";"PRINT",#N/A,TRUE,"BHPL2";"PRINT",#N/A,TRUE,"CDWR";"PRINT",#N/A,TRUE,"EWEB";"PRINT",#N/A,TRUE,"LADWP";"PRINT",#N/A,TRUE,"NEVBASE"}</definedName>
    <definedName name="_____j2" localSheetId="1" hidden="1">{"PRINT",#N/A,TRUE,"APPA";"PRINT",#N/A,TRUE,"APS";"PRINT",#N/A,TRUE,"BHPL";"PRINT",#N/A,TRUE,"BHPL2";"PRINT",#N/A,TRUE,"CDWR";"PRINT",#N/A,TRUE,"EWEB";"PRINT",#N/A,TRUE,"LADWP";"PRINT",#N/A,TRUE,"NEVBASE"}</definedName>
    <definedName name="_____j2" localSheetId="2" hidden="1">{"PRINT",#N/A,TRUE,"APPA";"PRINT",#N/A,TRUE,"APS";"PRINT",#N/A,TRUE,"BHPL";"PRINT",#N/A,TRUE,"BHPL2";"PRINT",#N/A,TRUE,"CDWR";"PRINT",#N/A,TRUE,"EWEB";"PRINT",#N/A,TRUE,"LADWP";"PRINT",#N/A,TRUE,"NEVBASE"}</definedName>
    <definedName name="_____j2" hidden="1">{"PRINT",#N/A,TRUE,"APPA";"PRINT",#N/A,TRUE,"APS";"PRINT",#N/A,TRUE,"BHPL";"PRINT",#N/A,TRUE,"BHPL2";"PRINT",#N/A,TRUE,"CDWR";"PRINT",#N/A,TRUE,"EWEB";"PRINT",#N/A,TRUE,"LADWP";"PRINT",#N/A,TRUE,"NEVBASE"}</definedName>
    <definedName name="_____j3" localSheetId="0" hidden="1">{"PRINT",#N/A,TRUE,"APPA";"PRINT",#N/A,TRUE,"APS";"PRINT",#N/A,TRUE,"BHPL";"PRINT",#N/A,TRUE,"BHPL2";"PRINT",#N/A,TRUE,"CDWR";"PRINT",#N/A,TRUE,"EWEB";"PRINT",#N/A,TRUE,"LADWP";"PRINT",#N/A,TRUE,"NEVBASE"}</definedName>
    <definedName name="_____j3" localSheetId="1" hidden="1">{"PRINT",#N/A,TRUE,"APPA";"PRINT",#N/A,TRUE,"APS";"PRINT",#N/A,TRUE,"BHPL";"PRINT",#N/A,TRUE,"BHPL2";"PRINT",#N/A,TRUE,"CDWR";"PRINT",#N/A,TRUE,"EWEB";"PRINT",#N/A,TRUE,"LADWP";"PRINT",#N/A,TRUE,"NEVBASE"}</definedName>
    <definedName name="_____j3" localSheetId="2" hidden="1">{"PRINT",#N/A,TRUE,"APPA";"PRINT",#N/A,TRUE,"APS";"PRINT",#N/A,TRUE,"BHPL";"PRINT",#N/A,TRUE,"BHPL2";"PRINT",#N/A,TRUE,"CDWR";"PRINT",#N/A,TRUE,"EWEB";"PRINT",#N/A,TRUE,"LADWP";"PRINT",#N/A,TRUE,"NEVBASE"}</definedName>
    <definedName name="_____j3" hidden="1">{"PRINT",#N/A,TRUE,"APPA";"PRINT",#N/A,TRUE,"APS";"PRINT",#N/A,TRUE,"BHPL";"PRINT",#N/A,TRUE,"BHPL2";"PRINT",#N/A,TRUE,"CDWR";"PRINT",#N/A,TRUE,"EWEB";"PRINT",#N/A,TRUE,"LADWP";"PRINT",#N/A,TRUE,"NEVBASE"}</definedName>
    <definedName name="_____j4" localSheetId="0" hidden="1">{"PRINT",#N/A,TRUE,"APPA";"PRINT",#N/A,TRUE,"APS";"PRINT",#N/A,TRUE,"BHPL";"PRINT",#N/A,TRUE,"BHPL2";"PRINT",#N/A,TRUE,"CDWR";"PRINT",#N/A,TRUE,"EWEB";"PRINT",#N/A,TRUE,"LADWP";"PRINT",#N/A,TRUE,"NEVBASE"}</definedName>
    <definedName name="_____j4" localSheetId="1" hidden="1">{"PRINT",#N/A,TRUE,"APPA";"PRINT",#N/A,TRUE,"APS";"PRINT",#N/A,TRUE,"BHPL";"PRINT",#N/A,TRUE,"BHPL2";"PRINT",#N/A,TRUE,"CDWR";"PRINT",#N/A,TRUE,"EWEB";"PRINT",#N/A,TRUE,"LADWP";"PRINT",#N/A,TRUE,"NEVBASE"}</definedName>
    <definedName name="_____j4" localSheetId="2" hidden="1">{"PRINT",#N/A,TRUE,"APPA";"PRINT",#N/A,TRUE,"APS";"PRINT",#N/A,TRUE,"BHPL";"PRINT",#N/A,TRUE,"BHPL2";"PRINT",#N/A,TRUE,"CDWR";"PRINT",#N/A,TRUE,"EWEB";"PRINT",#N/A,TRUE,"LADWP";"PRINT",#N/A,TRUE,"NEVBASE"}</definedName>
    <definedName name="_____j4" hidden="1">{"PRINT",#N/A,TRUE,"APPA";"PRINT",#N/A,TRUE,"APS";"PRINT",#N/A,TRUE,"BHPL";"PRINT",#N/A,TRUE,"BHPL2";"PRINT",#N/A,TRUE,"CDWR";"PRINT",#N/A,TRUE,"EWEB";"PRINT",#N/A,TRUE,"LADWP";"PRINT",#N/A,TRUE,"NEVBASE"}</definedName>
    <definedName name="_____j5" localSheetId="0" hidden="1">{"PRINT",#N/A,TRUE,"APPA";"PRINT",#N/A,TRUE,"APS";"PRINT",#N/A,TRUE,"BHPL";"PRINT",#N/A,TRUE,"BHPL2";"PRINT",#N/A,TRUE,"CDWR";"PRINT",#N/A,TRUE,"EWEB";"PRINT",#N/A,TRUE,"LADWP";"PRINT",#N/A,TRUE,"NEVBASE"}</definedName>
    <definedName name="_____j5" localSheetId="1" hidden="1">{"PRINT",#N/A,TRUE,"APPA";"PRINT",#N/A,TRUE,"APS";"PRINT",#N/A,TRUE,"BHPL";"PRINT",#N/A,TRUE,"BHPL2";"PRINT",#N/A,TRUE,"CDWR";"PRINT",#N/A,TRUE,"EWEB";"PRINT",#N/A,TRUE,"LADWP";"PRINT",#N/A,TRUE,"NEVBASE"}</definedName>
    <definedName name="_____j5" localSheetId="2" hidden="1">{"PRINT",#N/A,TRUE,"APPA";"PRINT",#N/A,TRUE,"APS";"PRINT",#N/A,TRUE,"BHPL";"PRINT",#N/A,TRUE,"BHPL2";"PRINT",#N/A,TRUE,"CDWR";"PRINT",#N/A,TRUE,"EWEB";"PRINT",#N/A,TRUE,"LADWP";"PRINT",#N/A,TRUE,"NEVBASE"}</definedName>
    <definedName name="_____j5" hidden="1">{"PRINT",#N/A,TRUE,"APPA";"PRINT",#N/A,TRUE,"APS";"PRINT",#N/A,TRUE,"BHPL";"PRINT",#N/A,TRUE,"BHPL2";"PRINT",#N/A,TRUE,"CDWR";"PRINT",#N/A,TRUE,"EWEB";"PRINT",#N/A,TRUE,"LADWP";"PRINT",#N/A,TRUE,"NEVBASE"}</definedName>
    <definedName name="_____OM1" localSheetId="0" hidden="1">{#N/A,#N/A,FALSE,"Summary";#N/A,#N/A,FALSE,"SmPlants";#N/A,#N/A,FALSE,"Utah";#N/A,#N/A,FALSE,"Idaho";#N/A,#N/A,FALSE,"Lewis River";#N/A,#N/A,FALSE,"NrthUmpq";#N/A,#N/A,FALSE,"KlamRog"}</definedName>
    <definedName name="_____OM1" localSheetId="1" hidden="1">{#N/A,#N/A,FALSE,"Summary";#N/A,#N/A,FALSE,"SmPlants";#N/A,#N/A,FALSE,"Utah";#N/A,#N/A,FALSE,"Idaho";#N/A,#N/A,FALSE,"Lewis River";#N/A,#N/A,FALSE,"NrthUmpq";#N/A,#N/A,FALSE,"KlamRog"}</definedName>
    <definedName name="_____OM1" localSheetId="2" hidden="1">{#N/A,#N/A,FALSE,"Summary";#N/A,#N/A,FALSE,"SmPlants";#N/A,#N/A,FALSE,"Utah";#N/A,#N/A,FALSE,"Idaho";#N/A,#N/A,FALSE,"Lewis River";#N/A,#N/A,FALSE,"NrthUmpq";#N/A,#N/A,FALSE,"KlamRog"}</definedName>
    <definedName name="_____OM1" hidden="1">{#N/A,#N/A,FALSE,"Summary";#N/A,#N/A,FALSE,"SmPlants";#N/A,#N/A,FALSE,"Utah";#N/A,#N/A,FALSE,"Idaho";#N/A,#N/A,FALSE,"Lewis River";#N/A,#N/A,FALSE,"NrthUmpq";#N/A,#N/A,FALSE,"KlamRog"}</definedName>
    <definedName name="____j1" localSheetId="0" hidden="1">{"PRINT",#N/A,TRUE,"APPA";"PRINT",#N/A,TRUE,"APS";"PRINT",#N/A,TRUE,"BHPL";"PRINT",#N/A,TRUE,"BHPL2";"PRINT",#N/A,TRUE,"CDWR";"PRINT",#N/A,TRUE,"EWEB";"PRINT",#N/A,TRUE,"LADWP";"PRINT",#N/A,TRUE,"NEVBASE"}</definedName>
    <definedName name="____j1" localSheetId="1" hidden="1">{"PRINT",#N/A,TRUE,"APPA";"PRINT",#N/A,TRUE,"APS";"PRINT",#N/A,TRUE,"BHPL";"PRINT",#N/A,TRUE,"BHPL2";"PRINT",#N/A,TRUE,"CDWR";"PRINT",#N/A,TRUE,"EWEB";"PRINT",#N/A,TRUE,"LADWP";"PRINT",#N/A,TRUE,"NEVBASE"}</definedName>
    <definedName name="____j1" localSheetId="2" hidden="1">{"PRINT",#N/A,TRUE,"APPA";"PRINT",#N/A,TRUE,"APS";"PRINT",#N/A,TRUE,"BHPL";"PRINT",#N/A,TRUE,"BHPL2";"PRINT",#N/A,TRUE,"CDWR";"PRINT",#N/A,TRUE,"EWEB";"PRINT",#N/A,TRUE,"LADWP";"PRINT",#N/A,TRUE,"NEVBASE"}</definedName>
    <definedName name="____j1" hidden="1">{"PRINT",#N/A,TRUE,"APPA";"PRINT",#N/A,TRUE,"APS";"PRINT",#N/A,TRUE,"BHPL";"PRINT",#N/A,TRUE,"BHPL2";"PRINT",#N/A,TRUE,"CDWR";"PRINT",#N/A,TRUE,"EWEB";"PRINT",#N/A,TRUE,"LADWP";"PRINT",#N/A,TRUE,"NEVBASE"}</definedName>
    <definedName name="____j2" localSheetId="0" hidden="1">{"PRINT",#N/A,TRUE,"APPA";"PRINT",#N/A,TRUE,"APS";"PRINT",#N/A,TRUE,"BHPL";"PRINT",#N/A,TRUE,"BHPL2";"PRINT",#N/A,TRUE,"CDWR";"PRINT",#N/A,TRUE,"EWEB";"PRINT",#N/A,TRUE,"LADWP";"PRINT",#N/A,TRUE,"NEVBASE"}</definedName>
    <definedName name="____j2" localSheetId="1" hidden="1">{"PRINT",#N/A,TRUE,"APPA";"PRINT",#N/A,TRUE,"APS";"PRINT",#N/A,TRUE,"BHPL";"PRINT",#N/A,TRUE,"BHPL2";"PRINT",#N/A,TRUE,"CDWR";"PRINT",#N/A,TRUE,"EWEB";"PRINT",#N/A,TRUE,"LADWP";"PRINT",#N/A,TRUE,"NEVBASE"}</definedName>
    <definedName name="____j2" localSheetId="2" hidden="1">{"PRINT",#N/A,TRUE,"APPA";"PRINT",#N/A,TRUE,"APS";"PRINT",#N/A,TRUE,"BHPL";"PRINT",#N/A,TRUE,"BHPL2";"PRINT",#N/A,TRUE,"CDWR";"PRINT",#N/A,TRUE,"EWEB";"PRINT",#N/A,TRUE,"LADWP";"PRINT",#N/A,TRUE,"NEVBASE"}</definedName>
    <definedName name="____j2" hidden="1">{"PRINT",#N/A,TRUE,"APPA";"PRINT",#N/A,TRUE,"APS";"PRINT",#N/A,TRUE,"BHPL";"PRINT",#N/A,TRUE,"BHPL2";"PRINT",#N/A,TRUE,"CDWR";"PRINT",#N/A,TRUE,"EWEB";"PRINT",#N/A,TRUE,"LADWP";"PRINT",#N/A,TRUE,"NEVBASE"}</definedName>
    <definedName name="____j3" localSheetId="0" hidden="1">{"PRINT",#N/A,TRUE,"APPA";"PRINT",#N/A,TRUE,"APS";"PRINT",#N/A,TRUE,"BHPL";"PRINT",#N/A,TRUE,"BHPL2";"PRINT",#N/A,TRUE,"CDWR";"PRINT",#N/A,TRUE,"EWEB";"PRINT",#N/A,TRUE,"LADWP";"PRINT",#N/A,TRUE,"NEVBASE"}</definedName>
    <definedName name="____j3" localSheetId="1" hidden="1">{"PRINT",#N/A,TRUE,"APPA";"PRINT",#N/A,TRUE,"APS";"PRINT",#N/A,TRUE,"BHPL";"PRINT",#N/A,TRUE,"BHPL2";"PRINT",#N/A,TRUE,"CDWR";"PRINT",#N/A,TRUE,"EWEB";"PRINT",#N/A,TRUE,"LADWP";"PRINT",#N/A,TRUE,"NEVBASE"}</definedName>
    <definedName name="____j3" localSheetId="2" hidden="1">{"PRINT",#N/A,TRUE,"APPA";"PRINT",#N/A,TRUE,"APS";"PRINT",#N/A,TRUE,"BHPL";"PRINT",#N/A,TRUE,"BHPL2";"PRINT",#N/A,TRUE,"CDWR";"PRINT",#N/A,TRUE,"EWEB";"PRINT",#N/A,TRUE,"LADWP";"PRINT",#N/A,TRUE,"NEVBASE"}</definedName>
    <definedName name="____j3" hidden="1">{"PRINT",#N/A,TRUE,"APPA";"PRINT",#N/A,TRUE,"APS";"PRINT",#N/A,TRUE,"BHPL";"PRINT",#N/A,TRUE,"BHPL2";"PRINT",#N/A,TRUE,"CDWR";"PRINT",#N/A,TRUE,"EWEB";"PRINT",#N/A,TRUE,"LADWP";"PRINT",#N/A,TRUE,"NEVBASE"}</definedName>
    <definedName name="____j4" localSheetId="0" hidden="1">{"PRINT",#N/A,TRUE,"APPA";"PRINT",#N/A,TRUE,"APS";"PRINT",#N/A,TRUE,"BHPL";"PRINT",#N/A,TRUE,"BHPL2";"PRINT",#N/A,TRUE,"CDWR";"PRINT",#N/A,TRUE,"EWEB";"PRINT",#N/A,TRUE,"LADWP";"PRINT",#N/A,TRUE,"NEVBASE"}</definedName>
    <definedName name="____j4" localSheetId="1" hidden="1">{"PRINT",#N/A,TRUE,"APPA";"PRINT",#N/A,TRUE,"APS";"PRINT",#N/A,TRUE,"BHPL";"PRINT",#N/A,TRUE,"BHPL2";"PRINT",#N/A,TRUE,"CDWR";"PRINT",#N/A,TRUE,"EWEB";"PRINT",#N/A,TRUE,"LADWP";"PRINT",#N/A,TRUE,"NEVBASE"}</definedName>
    <definedName name="____j4" localSheetId="2" hidden="1">{"PRINT",#N/A,TRUE,"APPA";"PRINT",#N/A,TRUE,"APS";"PRINT",#N/A,TRUE,"BHPL";"PRINT",#N/A,TRUE,"BHPL2";"PRINT",#N/A,TRUE,"CDWR";"PRINT",#N/A,TRUE,"EWEB";"PRINT",#N/A,TRUE,"LADWP";"PRINT",#N/A,TRUE,"NEVBASE"}</definedName>
    <definedName name="____j4" hidden="1">{"PRINT",#N/A,TRUE,"APPA";"PRINT",#N/A,TRUE,"APS";"PRINT",#N/A,TRUE,"BHPL";"PRINT",#N/A,TRUE,"BHPL2";"PRINT",#N/A,TRUE,"CDWR";"PRINT",#N/A,TRUE,"EWEB";"PRINT",#N/A,TRUE,"LADWP";"PRINT",#N/A,TRUE,"NEVBASE"}</definedName>
    <definedName name="____j5" localSheetId="0" hidden="1">{"PRINT",#N/A,TRUE,"APPA";"PRINT",#N/A,TRUE,"APS";"PRINT",#N/A,TRUE,"BHPL";"PRINT",#N/A,TRUE,"BHPL2";"PRINT",#N/A,TRUE,"CDWR";"PRINT",#N/A,TRUE,"EWEB";"PRINT",#N/A,TRUE,"LADWP";"PRINT",#N/A,TRUE,"NEVBASE"}</definedName>
    <definedName name="____j5" localSheetId="1" hidden="1">{"PRINT",#N/A,TRUE,"APPA";"PRINT",#N/A,TRUE,"APS";"PRINT",#N/A,TRUE,"BHPL";"PRINT",#N/A,TRUE,"BHPL2";"PRINT",#N/A,TRUE,"CDWR";"PRINT",#N/A,TRUE,"EWEB";"PRINT",#N/A,TRUE,"LADWP";"PRINT",#N/A,TRUE,"NEVBASE"}</definedName>
    <definedName name="____j5" localSheetId="2" hidden="1">{"PRINT",#N/A,TRUE,"APPA";"PRINT",#N/A,TRUE,"APS";"PRINT",#N/A,TRUE,"BHPL";"PRINT",#N/A,TRUE,"BHPL2";"PRINT",#N/A,TRUE,"CDWR";"PRINT",#N/A,TRUE,"EWEB";"PRINT",#N/A,TRUE,"LADWP";"PRINT",#N/A,TRUE,"NEVBASE"}</definedName>
    <definedName name="____j5" hidden="1">{"PRINT",#N/A,TRUE,"APPA";"PRINT",#N/A,TRUE,"APS";"PRINT",#N/A,TRUE,"BHPL";"PRINT",#N/A,TRUE,"BHPL2";"PRINT",#N/A,TRUE,"CDWR";"PRINT",#N/A,TRUE,"EWEB";"PRINT",#N/A,TRUE,"LADWP";"PRINT",#N/A,TRUE,"NEVBASE"}</definedName>
    <definedName name="____OM1" localSheetId="0" hidden="1">{#N/A,#N/A,FALSE,"Summary";#N/A,#N/A,FALSE,"SmPlants";#N/A,#N/A,FALSE,"Utah";#N/A,#N/A,FALSE,"Idaho";#N/A,#N/A,FALSE,"Lewis River";#N/A,#N/A,FALSE,"NrthUmpq";#N/A,#N/A,FALSE,"KlamRog"}</definedName>
    <definedName name="____OM1" localSheetId="1" hidden="1">{#N/A,#N/A,FALSE,"Summary";#N/A,#N/A,FALSE,"SmPlants";#N/A,#N/A,FALSE,"Utah";#N/A,#N/A,FALSE,"Idaho";#N/A,#N/A,FALSE,"Lewis River";#N/A,#N/A,FALSE,"NrthUmpq";#N/A,#N/A,FALSE,"KlamRog"}</definedName>
    <definedName name="____OM1" localSheetId="2" hidden="1">{#N/A,#N/A,FALSE,"Summary";#N/A,#N/A,FALSE,"SmPlants";#N/A,#N/A,FALSE,"Utah";#N/A,#N/A,FALSE,"Idaho";#N/A,#N/A,FALSE,"Lewis River";#N/A,#N/A,FALSE,"NrthUmpq";#N/A,#N/A,FALSE,"KlamRog"}</definedName>
    <definedName name="____OM1" hidden="1">{#N/A,#N/A,FALSE,"Summary";#N/A,#N/A,FALSE,"SmPlants";#N/A,#N/A,FALSE,"Utah";#N/A,#N/A,FALSE,"Idaho";#N/A,#N/A,FALSE,"Lewis River";#N/A,#N/A,FALSE,"NrthUmpq";#N/A,#N/A,FALSE,"KlamRog"}</definedName>
    <definedName name="___j1" localSheetId="0" hidden="1">{"PRINT",#N/A,TRUE,"APPA";"PRINT",#N/A,TRUE,"APS";"PRINT",#N/A,TRUE,"BHPL";"PRINT",#N/A,TRUE,"BHPL2";"PRINT",#N/A,TRUE,"CDWR";"PRINT",#N/A,TRUE,"EWEB";"PRINT",#N/A,TRUE,"LADWP";"PRINT",#N/A,TRUE,"NEVBASE"}</definedName>
    <definedName name="___j1" localSheetId="1" hidden="1">{"PRINT",#N/A,TRUE,"APPA";"PRINT",#N/A,TRUE,"APS";"PRINT",#N/A,TRUE,"BHPL";"PRINT",#N/A,TRUE,"BHPL2";"PRINT",#N/A,TRUE,"CDWR";"PRINT",#N/A,TRUE,"EWEB";"PRINT",#N/A,TRUE,"LADWP";"PRINT",#N/A,TRUE,"NEVBASE"}</definedName>
    <definedName name="___j1" localSheetId="2" hidden="1">{"PRINT",#N/A,TRUE,"APPA";"PRINT",#N/A,TRUE,"APS";"PRINT",#N/A,TRUE,"BHPL";"PRINT",#N/A,TRUE,"BHPL2";"PRINT",#N/A,TRUE,"CDWR";"PRINT",#N/A,TRUE,"EWEB";"PRINT",#N/A,TRUE,"LADWP";"PRINT",#N/A,TRUE,"NEVBASE"}</definedName>
    <definedName name="___j1" hidden="1">{"PRINT",#N/A,TRUE,"APPA";"PRINT",#N/A,TRUE,"APS";"PRINT",#N/A,TRUE,"BHPL";"PRINT",#N/A,TRUE,"BHPL2";"PRINT",#N/A,TRUE,"CDWR";"PRINT",#N/A,TRUE,"EWEB";"PRINT",#N/A,TRUE,"LADWP";"PRINT",#N/A,TRUE,"NEVBASE"}</definedName>
    <definedName name="___j2" localSheetId="0" hidden="1">{"PRINT",#N/A,TRUE,"APPA";"PRINT",#N/A,TRUE,"APS";"PRINT",#N/A,TRUE,"BHPL";"PRINT",#N/A,TRUE,"BHPL2";"PRINT",#N/A,TRUE,"CDWR";"PRINT",#N/A,TRUE,"EWEB";"PRINT",#N/A,TRUE,"LADWP";"PRINT",#N/A,TRUE,"NEVBASE"}</definedName>
    <definedName name="___j2" localSheetId="1" hidden="1">{"PRINT",#N/A,TRUE,"APPA";"PRINT",#N/A,TRUE,"APS";"PRINT",#N/A,TRUE,"BHPL";"PRINT",#N/A,TRUE,"BHPL2";"PRINT",#N/A,TRUE,"CDWR";"PRINT",#N/A,TRUE,"EWEB";"PRINT",#N/A,TRUE,"LADWP";"PRINT",#N/A,TRUE,"NEVBASE"}</definedName>
    <definedName name="___j2" localSheetId="2" hidden="1">{"PRINT",#N/A,TRUE,"APPA";"PRINT",#N/A,TRUE,"APS";"PRINT",#N/A,TRUE,"BHPL";"PRINT",#N/A,TRUE,"BHPL2";"PRINT",#N/A,TRUE,"CDWR";"PRINT",#N/A,TRUE,"EWEB";"PRINT",#N/A,TRUE,"LADWP";"PRINT",#N/A,TRUE,"NEVBASE"}</definedName>
    <definedName name="___j2" hidden="1">{"PRINT",#N/A,TRUE,"APPA";"PRINT",#N/A,TRUE,"APS";"PRINT",#N/A,TRUE,"BHPL";"PRINT",#N/A,TRUE,"BHPL2";"PRINT",#N/A,TRUE,"CDWR";"PRINT",#N/A,TRUE,"EWEB";"PRINT",#N/A,TRUE,"LADWP";"PRINT",#N/A,TRUE,"NEVBASE"}</definedName>
    <definedName name="___j3" localSheetId="0" hidden="1">{"PRINT",#N/A,TRUE,"APPA";"PRINT",#N/A,TRUE,"APS";"PRINT",#N/A,TRUE,"BHPL";"PRINT",#N/A,TRUE,"BHPL2";"PRINT",#N/A,TRUE,"CDWR";"PRINT",#N/A,TRUE,"EWEB";"PRINT",#N/A,TRUE,"LADWP";"PRINT",#N/A,TRUE,"NEVBASE"}</definedName>
    <definedName name="___j3" localSheetId="1" hidden="1">{"PRINT",#N/A,TRUE,"APPA";"PRINT",#N/A,TRUE,"APS";"PRINT",#N/A,TRUE,"BHPL";"PRINT",#N/A,TRUE,"BHPL2";"PRINT",#N/A,TRUE,"CDWR";"PRINT",#N/A,TRUE,"EWEB";"PRINT",#N/A,TRUE,"LADWP";"PRINT",#N/A,TRUE,"NEVBASE"}</definedName>
    <definedName name="___j3" localSheetId="2" hidden="1">{"PRINT",#N/A,TRUE,"APPA";"PRINT",#N/A,TRUE,"APS";"PRINT",#N/A,TRUE,"BHPL";"PRINT",#N/A,TRUE,"BHPL2";"PRINT",#N/A,TRUE,"CDWR";"PRINT",#N/A,TRUE,"EWEB";"PRINT",#N/A,TRUE,"LADWP";"PRINT",#N/A,TRUE,"NEVBASE"}</definedName>
    <definedName name="___j3" hidden="1">{"PRINT",#N/A,TRUE,"APPA";"PRINT",#N/A,TRUE,"APS";"PRINT",#N/A,TRUE,"BHPL";"PRINT",#N/A,TRUE,"BHPL2";"PRINT",#N/A,TRUE,"CDWR";"PRINT",#N/A,TRUE,"EWEB";"PRINT",#N/A,TRUE,"LADWP";"PRINT",#N/A,TRUE,"NEVBASE"}</definedName>
    <definedName name="___j4" localSheetId="0" hidden="1">{"PRINT",#N/A,TRUE,"APPA";"PRINT",#N/A,TRUE,"APS";"PRINT",#N/A,TRUE,"BHPL";"PRINT",#N/A,TRUE,"BHPL2";"PRINT",#N/A,TRUE,"CDWR";"PRINT",#N/A,TRUE,"EWEB";"PRINT",#N/A,TRUE,"LADWP";"PRINT",#N/A,TRUE,"NEVBASE"}</definedName>
    <definedName name="___j4" localSheetId="1" hidden="1">{"PRINT",#N/A,TRUE,"APPA";"PRINT",#N/A,TRUE,"APS";"PRINT",#N/A,TRUE,"BHPL";"PRINT",#N/A,TRUE,"BHPL2";"PRINT",#N/A,TRUE,"CDWR";"PRINT",#N/A,TRUE,"EWEB";"PRINT",#N/A,TRUE,"LADWP";"PRINT",#N/A,TRUE,"NEVBASE"}</definedName>
    <definedName name="___j4" localSheetId="2" hidden="1">{"PRINT",#N/A,TRUE,"APPA";"PRINT",#N/A,TRUE,"APS";"PRINT",#N/A,TRUE,"BHPL";"PRINT",#N/A,TRUE,"BHPL2";"PRINT",#N/A,TRUE,"CDWR";"PRINT",#N/A,TRUE,"EWEB";"PRINT",#N/A,TRUE,"LADWP";"PRINT",#N/A,TRUE,"NEVBASE"}</definedName>
    <definedName name="___j4" hidden="1">{"PRINT",#N/A,TRUE,"APPA";"PRINT",#N/A,TRUE,"APS";"PRINT",#N/A,TRUE,"BHPL";"PRINT",#N/A,TRUE,"BHPL2";"PRINT",#N/A,TRUE,"CDWR";"PRINT",#N/A,TRUE,"EWEB";"PRINT",#N/A,TRUE,"LADWP";"PRINT",#N/A,TRUE,"NEVBASE"}</definedName>
    <definedName name="___j5" localSheetId="0" hidden="1">{"PRINT",#N/A,TRUE,"APPA";"PRINT",#N/A,TRUE,"APS";"PRINT",#N/A,TRUE,"BHPL";"PRINT",#N/A,TRUE,"BHPL2";"PRINT",#N/A,TRUE,"CDWR";"PRINT",#N/A,TRUE,"EWEB";"PRINT",#N/A,TRUE,"LADWP";"PRINT",#N/A,TRUE,"NEVBASE"}</definedName>
    <definedName name="___j5" localSheetId="1" hidden="1">{"PRINT",#N/A,TRUE,"APPA";"PRINT",#N/A,TRUE,"APS";"PRINT",#N/A,TRUE,"BHPL";"PRINT",#N/A,TRUE,"BHPL2";"PRINT",#N/A,TRUE,"CDWR";"PRINT",#N/A,TRUE,"EWEB";"PRINT",#N/A,TRUE,"LADWP";"PRINT",#N/A,TRUE,"NEVBASE"}</definedName>
    <definedName name="___j5" localSheetId="2" hidden="1">{"PRINT",#N/A,TRUE,"APPA";"PRINT",#N/A,TRUE,"APS";"PRINT",#N/A,TRUE,"BHPL";"PRINT",#N/A,TRUE,"BHPL2";"PRINT",#N/A,TRUE,"CDWR";"PRINT",#N/A,TRUE,"EWEB";"PRINT",#N/A,TRUE,"LADWP";"PRINT",#N/A,TRUE,"NEVBASE"}</definedName>
    <definedName name="___j5" hidden="1">{"PRINT",#N/A,TRUE,"APPA";"PRINT",#N/A,TRUE,"APS";"PRINT",#N/A,TRUE,"BHPL";"PRINT",#N/A,TRUE,"BHPL2";"PRINT",#N/A,TRUE,"CDWR";"PRINT",#N/A,TRUE,"EWEB";"PRINT",#N/A,TRUE,"LADWP";"PRINT",#N/A,TRUE,"NEVBASE"}</definedName>
    <definedName name="___OM1" localSheetId="0" hidden="1">{#N/A,#N/A,FALSE,"Summary";#N/A,#N/A,FALSE,"SmPlants";#N/A,#N/A,FALSE,"Utah";#N/A,#N/A,FALSE,"Idaho";#N/A,#N/A,FALSE,"Lewis River";#N/A,#N/A,FALSE,"NrthUmpq";#N/A,#N/A,FALSE,"KlamRog"}</definedName>
    <definedName name="___OM1" localSheetId="1" hidden="1">{#N/A,#N/A,FALSE,"Summary";#N/A,#N/A,FALSE,"SmPlants";#N/A,#N/A,FALSE,"Utah";#N/A,#N/A,FALSE,"Idaho";#N/A,#N/A,FALSE,"Lewis River";#N/A,#N/A,FALSE,"NrthUmpq";#N/A,#N/A,FALSE,"KlamRog"}</definedName>
    <definedName name="___OM1" localSheetId="2" hidden="1">{#N/A,#N/A,FALSE,"Summary";#N/A,#N/A,FALSE,"SmPlants";#N/A,#N/A,FALSE,"Utah";#N/A,#N/A,FALSE,"Idaho";#N/A,#N/A,FALSE,"Lewis River";#N/A,#N/A,FALSE,"NrthUmpq";#N/A,#N/A,FALSE,"KlamRog"}</definedName>
    <definedName name="___OM1" hidden="1">{#N/A,#N/A,FALSE,"Summary";#N/A,#N/A,FALSE,"SmPlants";#N/A,#N/A,FALSE,"Utah";#N/A,#N/A,FALSE,"Idaho";#N/A,#N/A,FALSE,"Lewis River";#N/A,#N/A,FALSE,"NrthUmpq";#N/A,#N/A,FALSE,"KlamRog"}</definedName>
    <definedName name="__123Graph_A" localSheetId="3" hidden="1">'Rate Design'!$C$112:$C$123</definedName>
    <definedName name="__123Graph_A" localSheetId="0" hidden="1">#REF!</definedName>
    <definedName name="__123Graph_A" localSheetId="1" hidden="1">#REF!</definedName>
    <definedName name="__123Graph_A" localSheetId="2" hidden="1">#REF!</definedName>
    <definedName name="__123Graph_A" hidden="1">#REF!</definedName>
    <definedName name="__123Graph_AGRAPH1" localSheetId="3" hidden="1">'Rate Design'!$C$1011:$C$1011</definedName>
    <definedName name="__123Graph_B" localSheetId="3" hidden="1">'Rate Design'!#REF!</definedName>
    <definedName name="__123Graph_B" localSheetId="0" hidden="1">#REF!</definedName>
    <definedName name="__123Graph_B" localSheetId="1" hidden="1">#REF!</definedName>
    <definedName name="__123Graph_B" localSheetId="2" hidden="1">#REF!</definedName>
    <definedName name="__123Graph_B" hidden="1">#REF!</definedName>
    <definedName name="__123Graph_C" localSheetId="3" hidden="1">'Rate Design'!#REF!</definedName>
    <definedName name="__123Graph_D" localSheetId="3" hidden="1">'Rate Design'!#REF!</definedName>
    <definedName name="__123Graph_D" localSheetId="0" hidden="1">#REF!</definedName>
    <definedName name="__123Graph_D" localSheetId="1" hidden="1">#REF!</definedName>
    <definedName name="__123Graph_D" localSheetId="2" hidden="1">#REF!</definedName>
    <definedName name="__123Graph_D" hidden="1">#REF!</definedName>
    <definedName name="__123Graph_E" localSheetId="3" hidden="1">'Rate Design'!#REF!</definedName>
    <definedName name="__123Graph_E" localSheetId="0" hidden="1">#REF!</definedName>
    <definedName name="__123Graph_E" localSheetId="1" hidden="1">#REF!</definedName>
    <definedName name="__123Graph_E" localSheetId="2" hidden="1">#REF!</definedName>
    <definedName name="__123Graph_E" hidden="1">#REF!</definedName>
    <definedName name="__123Graph_F" localSheetId="3" hidden="1">'Rate Design'!#REF!</definedName>
    <definedName name="__123Graph_F" localSheetId="0" hidden="1">#REF!</definedName>
    <definedName name="__123Graph_F" localSheetId="1" hidden="1">#REF!</definedName>
    <definedName name="__123Graph_F" localSheetId="2" hidden="1">#REF!</definedName>
    <definedName name="__123Graph_F" hidden="1">#REF!</definedName>
    <definedName name="__j1" localSheetId="0" hidden="1">{"PRINT",#N/A,TRUE,"APPA";"PRINT",#N/A,TRUE,"APS";"PRINT",#N/A,TRUE,"BHPL";"PRINT",#N/A,TRUE,"BHPL2";"PRINT",#N/A,TRUE,"CDWR";"PRINT",#N/A,TRUE,"EWEB";"PRINT",#N/A,TRUE,"LADWP";"PRINT",#N/A,TRUE,"NEVBASE"}</definedName>
    <definedName name="__j1" localSheetId="1" hidden="1">{"PRINT",#N/A,TRUE,"APPA";"PRINT",#N/A,TRUE,"APS";"PRINT",#N/A,TRUE,"BHPL";"PRINT",#N/A,TRUE,"BHPL2";"PRINT",#N/A,TRUE,"CDWR";"PRINT",#N/A,TRUE,"EWEB";"PRINT",#N/A,TRUE,"LADWP";"PRINT",#N/A,TRUE,"NEVBASE"}</definedName>
    <definedName name="__j1" localSheetId="2" hidden="1">{"PRINT",#N/A,TRUE,"APPA";"PRINT",#N/A,TRUE,"APS";"PRINT",#N/A,TRUE,"BHPL";"PRINT",#N/A,TRUE,"BHPL2";"PRINT",#N/A,TRUE,"CDWR";"PRINT",#N/A,TRUE,"EWEB";"PRINT",#N/A,TRUE,"LADWP";"PRINT",#N/A,TRUE,"NEVBASE"}</definedName>
    <definedName name="__j1" hidden="1">{"PRINT",#N/A,TRUE,"APPA";"PRINT",#N/A,TRUE,"APS";"PRINT",#N/A,TRUE,"BHPL";"PRINT",#N/A,TRUE,"BHPL2";"PRINT",#N/A,TRUE,"CDWR";"PRINT",#N/A,TRUE,"EWEB";"PRINT",#N/A,TRUE,"LADWP";"PRINT",#N/A,TRUE,"NEVBASE"}</definedName>
    <definedName name="__j2" localSheetId="0" hidden="1">{"PRINT",#N/A,TRUE,"APPA";"PRINT",#N/A,TRUE,"APS";"PRINT",#N/A,TRUE,"BHPL";"PRINT",#N/A,TRUE,"BHPL2";"PRINT",#N/A,TRUE,"CDWR";"PRINT",#N/A,TRUE,"EWEB";"PRINT",#N/A,TRUE,"LADWP";"PRINT",#N/A,TRUE,"NEVBASE"}</definedName>
    <definedName name="__j2" localSheetId="1" hidden="1">{"PRINT",#N/A,TRUE,"APPA";"PRINT",#N/A,TRUE,"APS";"PRINT",#N/A,TRUE,"BHPL";"PRINT",#N/A,TRUE,"BHPL2";"PRINT",#N/A,TRUE,"CDWR";"PRINT",#N/A,TRUE,"EWEB";"PRINT",#N/A,TRUE,"LADWP";"PRINT",#N/A,TRUE,"NEVBASE"}</definedName>
    <definedName name="__j2" localSheetId="2" hidden="1">{"PRINT",#N/A,TRUE,"APPA";"PRINT",#N/A,TRUE,"APS";"PRINT",#N/A,TRUE,"BHPL";"PRINT",#N/A,TRUE,"BHPL2";"PRINT",#N/A,TRUE,"CDWR";"PRINT",#N/A,TRUE,"EWEB";"PRINT",#N/A,TRUE,"LADWP";"PRINT",#N/A,TRUE,"NEVBASE"}</definedName>
    <definedName name="__j2" hidden="1">{"PRINT",#N/A,TRUE,"APPA";"PRINT",#N/A,TRUE,"APS";"PRINT",#N/A,TRUE,"BHPL";"PRINT",#N/A,TRUE,"BHPL2";"PRINT",#N/A,TRUE,"CDWR";"PRINT",#N/A,TRUE,"EWEB";"PRINT",#N/A,TRUE,"LADWP";"PRINT",#N/A,TRUE,"NEVBASE"}</definedName>
    <definedName name="__j3" localSheetId="0" hidden="1">{"PRINT",#N/A,TRUE,"APPA";"PRINT",#N/A,TRUE,"APS";"PRINT",#N/A,TRUE,"BHPL";"PRINT",#N/A,TRUE,"BHPL2";"PRINT",#N/A,TRUE,"CDWR";"PRINT",#N/A,TRUE,"EWEB";"PRINT",#N/A,TRUE,"LADWP";"PRINT",#N/A,TRUE,"NEVBASE"}</definedName>
    <definedName name="__j3" localSheetId="1" hidden="1">{"PRINT",#N/A,TRUE,"APPA";"PRINT",#N/A,TRUE,"APS";"PRINT",#N/A,TRUE,"BHPL";"PRINT",#N/A,TRUE,"BHPL2";"PRINT",#N/A,TRUE,"CDWR";"PRINT",#N/A,TRUE,"EWEB";"PRINT",#N/A,TRUE,"LADWP";"PRINT",#N/A,TRUE,"NEVBASE"}</definedName>
    <definedName name="__j3" localSheetId="2" hidden="1">{"PRINT",#N/A,TRUE,"APPA";"PRINT",#N/A,TRUE,"APS";"PRINT",#N/A,TRUE,"BHPL";"PRINT",#N/A,TRUE,"BHPL2";"PRINT",#N/A,TRUE,"CDWR";"PRINT",#N/A,TRUE,"EWEB";"PRINT",#N/A,TRUE,"LADWP";"PRINT",#N/A,TRUE,"NEVBASE"}</definedName>
    <definedName name="__j3" hidden="1">{"PRINT",#N/A,TRUE,"APPA";"PRINT",#N/A,TRUE,"APS";"PRINT",#N/A,TRUE,"BHPL";"PRINT",#N/A,TRUE,"BHPL2";"PRINT",#N/A,TRUE,"CDWR";"PRINT",#N/A,TRUE,"EWEB";"PRINT",#N/A,TRUE,"LADWP";"PRINT",#N/A,TRUE,"NEVBASE"}</definedName>
    <definedName name="__j4" localSheetId="0" hidden="1">{"PRINT",#N/A,TRUE,"APPA";"PRINT",#N/A,TRUE,"APS";"PRINT",#N/A,TRUE,"BHPL";"PRINT",#N/A,TRUE,"BHPL2";"PRINT",#N/A,TRUE,"CDWR";"PRINT",#N/A,TRUE,"EWEB";"PRINT",#N/A,TRUE,"LADWP";"PRINT",#N/A,TRUE,"NEVBASE"}</definedName>
    <definedName name="__j4" localSheetId="1" hidden="1">{"PRINT",#N/A,TRUE,"APPA";"PRINT",#N/A,TRUE,"APS";"PRINT",#N/A,TRUE,"BHPL";"PRINT",#N/A,TRUE,"BHPL2";"PRINT",#N/A,TRUE,"CDWR";"PRINT",#N/A,TRUE,"EWEB";"PRINT",#N/A,TRUE,"LADWP";"PRINT",#N/A,TRUE,"NEVBASE"}</definedName>
    <definedName name="__j4" localSheetId="2" hidden="1">{"PRINT",#N/A,TRUE,"APPA";"PRINT",#N/A,TRUE,"APS";"PRINT",#N/A,TRUE,"BHPL";"PRINT",#N/A,TRUE,"BHPL2";"PRINT",#N/A,TRUE,"CDWR";"PRINT",#N/A,TRUE,"EWEB";"PRINT",#N/A,TRUE,"LADWP";"PRINT",#N/A,TRUE,"NEVBASE"}</definedName>
    <definedName name="__j4" hidden="1">{"PRINT",#N/A,TRUE,"APPA";"PRINT",#N/A,TRUE,"APS";"PRINT",#N/A,TRUE,"BHPL";"PRINT",#N/A,TRUE,"BHPL2";"PRINT",#N/A,TRUE,"CDWR";"PRINT",#N/A,TRUE,"EWEB";"PRINT",#N/A,TRUE,"LADWP";"PRINT",#N/A,TRUE,"NEVBASE"}</definedName>
    <definedName name="__j5" localSheetId="0" hidden="1">{"PRINT",#N/A,TRUE,"APPA";"PRINT",#N/A,TRUE,"APS";"PRINT",#N/A,TRUE,"BHPL";"PRINT",#N/A,TRUE,"BHPL2";"PRINT",#N/A,TRUE,"CDWR";"PRINT",#N/A,TRUE,"EWEB";"PRINT",#N/A,TRUE,"LADWP";"PRINT",#N/A,TRUE,"NEVBASE"}</definedName>
    <definedName name="__j5" localSheetId="1" hidden="1">{"PRINT",#N/A,TRUE,"APPA";"PRINT",#N/A,TRUE,"APS";"PRINT",#N/A,TRUE,"BHPL";"PRINT",#N/A,TRUE,"BHPL2";"PRINT",#N/A,TRUE,"CDWR";"PRINT",#N/A,TRUE,"EWEB";"PRINT",#N/A,TRUE,"LADWP";"PRINT",#N/A,TRUE,"NEVBASE"}</definedName>
    <definedName name="__j5" localSheetId="2" hidden="1">{"PRINT",#N/A,TRUE,"APPA";"PRINT",#N/A,TRUE,"APS";"PRINT",#N/A,TRUE,"BHPL";"PRINT",#N/A,TRUE,"BHPL2";"PRINT",#N/A,TRUE,"CDWR";"PRINT",#N/A,TRUE,"EWEB";"PRINT",#N/A,TRUE,"LADWP";"PRINT",#N/A,TRUE,"NEVBASE"}</definedName>
    <definedName name="__j5" hidden="1">{"PRINT",#N/A,TRUE,"APPA";"PRINT",#N/A,TRUE,"APS";"PRINT",#N/A,TRUE,"BHPL";"PRINT",#N/A,TRUE,"BHPL2";"PRINT",#N/A,TRUE,"CDWR";"PRINT",#N/A,TRUE,"EWEB";"PRINT",#N/A,TRUE,"LADWP";"PRINT",#N/A,TRUE,"NEVBASE"}</definedName>
    <definedName name="__OM1" localSheetId="0" hidden="1">{#N/A,#N/A,FALSE,"Summary";#N/A,#N/A,FALSE,"SmPlants";#N/A,#N/A,FALSE,"Utah";#N/A,#N/A,FALSE,"Idaho";#N/A,#N/A,FALSE,"Lewis River";#N/A,#N/A,FALSE,"NrthUmpq";#N/A,#N/A,FALSE,"KlamRog"}</definedName>
    <definedName name="__OM1" localSheetId="1" hidden="1">{#N/A,#N/A,FALSE,"Summary";#N/A,#N/A,FALSE,"SmPlants";#N/A,#N/A,FALSE,"Utah";#N/A,#N/A,FALSE,"Idaho";#N/A,#N/A,FALSE,"Lewis River";#N/A,#N/A,FALSE,"NrthUmpq";#N/A,#N/A,FALSE,"KlamRog"}</definedName>
    <definedName name="__OM1" localSheetId="2" hidden="1">{#N/A,#N/A,FALSE,"Summary";#N/A,#N/A,FALSE,"SmPlants";#N/A,#N/A,FALSE,"Utah";#N/A,#N/A,FALSE,"Idaho";#N/A,#N/A,FALSE,"Lewis River";#N/A,#N/A,FALSE,"NrthUmpq";#N/A,#N/A,FALSE,"KlamRog"}</definedName>
    <definedName name="__OM1" hidden="1">{#N/A,#N/A,FALSE,"Summary";#N/A,#N/A,FALSE,"SmPlants";#N/A,#N/A,FALSE,"Utah";#N/A,#N/A,FALSE,"Idaho";#N/A,#N/A,FALSE,"Lewis River";#N/A,#N/A,FALSE,"NrthUmpq";#N/A,#N/A,FALSE,"KlamRog"}</definedName>
    <definedName name="_Dist_Values" localSheetId="3" hidden="1">'Rate Design'!#REF!</definedName>
    <definedName name="_Fill" localSheetId="3" hidden="1">'Rate Design'!#REF!</definedName>
    <definedName name="_Fill" localSheetId="0" hidden="1">#REF!</definedName>
    <definedName name="_Fill" localSheetId="1" hidden="1">#REF!</definedName>
    <definedName name="_Fill" localSheetId="2" hidden="1">#REF!</definedName>
    <definedName name="_Fill" hidden="1">#REF!</definedName>
    <definedName name="_xlnm._FilterDatabase" localSheetId="3" hidden="1">'Rate Design'!$K$12:$R$1282</definedName>
    <definedName name="_xlnm._FilterDatabase" localSheetId="0" hidden="1">#REF!</definedName>
    <definedName name="_xlnm._FilterDatabase" localSheetId="1" hidden="1">#REF!</definedName>
    <definedName name="_xlnm._FilterDatabase" localSheetId="2" hidden="1">#REF!</definedName>
    <definedName name="_xlnm._FilterDatabase" hidden="1">#REF!</definedName>
    <definedName name="_j1" localSheetId="0" hidden="1">{"PRINT",#N/A,TRUE,"APPA";"PRINT",#N/A,TRUE,"APS";"PRINT",#N/A,TRUE,"BHPL";"PRINT",#N/A,TRUE,"BHPL2";"PRINT",#N/A,TRUE,"CDWR";"PRINT",#N/A,TRUE,"EWEB";"PRINT",#N/A,TRUE,"LADWP";"PRINT",#N/A,TRUE,"NEVBASE"}</definedName>
    <definedName name="_j1" localSheetId="1" hidden="1">{"PRINT",#N/A,TRUE,"APPA";"PRINT",#N/A,TRUE,"APS";"PRINT",#N/A,TRUE,"BHPL";"PRINT",#N/A,TRUE,"BHPL2";"PRINT",#N/A,TRUE,"CDWR";"PRINT",#N/A,TRUE,"EWEB";"PRINT",#N/A,TRUE,"LADWP";"PRINT",#N/A,TRUE,"NEVBASE"}</definedName>
    <definedName name="_j1" localSheetId="2" hidden="1">{"PRINT",#N/A,TRUE,"APPA";"PRINT",#N/A,TRUE,"APS";"PRINT",#N/A,TRUE,"BHPL";"PRINT",#N/A,TRUE,"BHPL2";"PRINT",#N/A,TRUE,"CDWR";"PRINT",#N/A,TRUE,"EWEB";"PRINT",#N/A,TRUE,"LADWP";"PRINT",#N/A,TRUE,"NEVBASE"}</definedName>
    <definedName name="_j1" hidden="1">{"PRINT",#N/A,TRUE,"APPA";"PRINT",#N/A,TRUE,"APS";"PRINT",#N/A,TRUE,"BHPL";"PRINT",#N/A,TRUE,"BHPL2";"PRINT",#N/A,TRUE,"CDWR";"PRINT",#N/A,TRUE,"EWEB";"PRINT",#N/A,TRUE,"LADWP";"PRINT",#N/A,TRUE,"NEVBASE"}</definedName>
    <definedName name="_j2" localSheetId="0" hidden="1">{"PRINT",#N/A,TRUE,"APPA";"PRINT",#N/A,TRUE,"APS";"PRINT",#N/A,TRUE,"BHPL";"PRINT",#N/A,TRUE,"BHPL2";"PRINT",#N/A,TRUE,"CDWR";"PRINT",#N/A,TRUE,"EWEB";"PRINT",#N/A,TRUE,"LADWP";"PRINT",#N/A,TRUE,"NEVBASE"}</definedName>
    <definedName name="_j2" localSheetId="1" hidden="1">{"PRINT",#N/A,TRUE,"APPA";"PRINT",#N/A,TRUE,"APS";"PRINT",#N/A,TRUE,"BHPL";"PRINT",#N/A,TRUE,"BHPL2";"PRINT",#N/A,TRUE,"CDWR";"PRINT",#N/A,TRUE,"EWEB";"PRINT",#N/A,TRUE,"LADWP";"PRINT",#N/A,TRUE,"NEVBASE"}</definedName>
    <definedName name="_j2" localSheetId="2" hidden="1">{"PRINT",#N/A,TRUE,"APPA";"PRINT",#N/A,TRUE,"APS";"PRINT",#N/A,TRUE,"BHPL";"PRINT",#N/A,TRUE,"BHPL2";"PRINT",#N/A,TRUE,"CDWR";"PRINT",#N/A,TRUE,"EWEB";"PRINT",#N/A,TRUE,"LADWP";"PRINT",#N/A,TRUE,"NEVBASE"}</definedName>
    <definedName name="_j2" hidden="1">{"PRINT",#N/A,TRUE,"APPA";"PRINT",#N/A,TRUE,"APS";"PRINT",#N/A,TRUE,"BHPL";"PRINT",#N/A,TRUE,"BHPL2";"PRINT",#N/A,TRUE,"CDWR";"PRINT",#N/A,TRUE,"EWEB";"PRINT",#N/A,TRUE,"LADWP";"PRINT",#N/A,TRUE,"NEVBASE"}</definedName>
    <definedName name="_j3" localSheetId="0" hidden="1">{"PRINT",#N/A,TRUE,"APPA";"PRINT",#N/A,TRUE,"APS";"PRINT",#N/A,TRUE,"BHPL";"PRINT",#N/A,TRUE,"BHPL2";"PRINT",#N/A,TRUE,"CDWR";"PRINT",#N/A,TRUE,"EWEB";"PRINT",#N/A,TRUE,"LADWP";"PRINT",#N/A,TRUE,"NEVBASE"}</definedName>
    <definedName name="_j3" localSheetId="1" hidden="1">{"PRINT",#N/A,TRUE,"APPA";"PRINT",#N/A,TRUE,"APS";"PRINT",#N/A,TRUE,"BHPL";"PRINT",#N/A,TRUE,"BHPL2";"PRINT",#N/A,TRUE,"CDWR";"PRINT",#N/A,TRUE,"EWEB";"PRINT",#N/A,TRUE,"LADWP";"PRINT",#N/A,TRUE,"NEVBASE"}</definedName>
    <definedName name="_j3" localSheetId="2" hidden="1">{"PRINT",#N/A,TRUE,"APPA";"PRINT",#N/A,TRUE,"APS";"PRINT",#N/A,TRUE,"BHPL";"PRINT",#N/A,TRUE,"BHPL2";"PRINT",#N/A,TRUE,"CDWR";"PRINT",#N/A,TRUE,"EWEB";"PRINT",#N/A,TRUE,"LADWP";"PRINT",#N/A,TRUE,"NEVBASE"}</definedName>
    <definedName name="_j3" hidden="1">{"PRINT",#N/A,TRUE,"APPA";"PRINT",#N/A,TRUE,"APS";"PRINT",#N/A,TRUE,"BHPL";"PRINT",#N/A,TRUE,"BHPL2";"PRINT",#N/A,TRUE,"CDWR";"PRINT",#N/A,TRUE,"EWEB";"PRINT",#N/A,TRUE,"LADWP";"PRINT",#N/A,TRUE,"NEVBASE"}</definedName>
    <definedName name="_j4" localSheetId="0" hidden="1">{"PRINT",#N/A,TRUE,"APPA";"PRINT",#N/A,TRUE,"APS";"PRINT",#N/A,TRUE,"BHPL";"PRINT",#N/A,TRUE,"BHPL2";"PRINT",#N/A,TRUE,"CDWR";"PRINT",#N/A,TRUE,"EWEB";"PRINT",#N/A,TRUE,"LADWP";"PRINT",#N/A,TRUE,"NEVBASE"}</definedName>
    <definedName name="_j4" localSheetId="1" hidden="1">{"PRINT",#N/A,TRUE,"APPA";"PRINT",#N/A,TRUE,"APS";"PRINT",#N/A,TRUE,"BHPL";"PRINT",#N/A,TRUE,"BHPL2";"PRINT",#N/A,TRUE,"CDWR";"PRINT",#N/A,TRUE,"EWEB";"PRINT",#N/A,TRUE,"LADWP";"PRINT",#N/A,TRUE,"NEVBASE"}</definedName>
    <definedName name="_j4" localSheetId="2" hidden="1">{"PRINT",#N/A,TRUE,"APPA";"PRINT",#N/A,TRUE,"APS";"PRINT",#N/A,TRUE,"BHPL";"PRINT",#N/A,TRUE,"BHPL2";"PRINT",#N/A,TRUE,"CDWR";"PRINT",#N/A,TRUE,"EWEB";"PRINT",#N/A,TRUE,"LADWP";"PRINT",#N/A,TRUE,"NEVBASE"}</definedName>
    <definedName name="_j4" hidden="1">{"PRINT",#N/A,TRUE,"APPA";"PRINT",#N/A,TRUE,"APS";"PRINT",#N/A,TRUE,"BHPL";"PRINT",#N/A,TRUE,"BHPL2";"PRINT",#N/A,TRUE,"CDWR";"PRINT",#N/A,TRUE,"EWEB";"PRINT",#N/A,TRUE,"LADWP";"PRINT",#N/A,TRUE,"NEVBASE"}</definedName>
    <definedName name="_j5" localSheetId="0" hidden="1">{"PRINT",#N/A,TRUE,"APPA";"PRINT",#N/A,TRUE,"APS";"PRINT",#N/A,TRUE,"BHPL";"PRINT",#N/A,TRUE,"BHPL2";"PRINT",#N/A,TRUE,"CDWR";"PRINT",#N/A,TRUE,"EWEB";"PRINT",#N/A,TRUE,"LADWP";"PRINT",#N/A,TRUE,"NEVBASE"}</definedName>
    <definedName name="_j5" localSheetId="1" hidden="1">{"PRINT",#N/A,TRUE,"APPA";"PRINT",#N/A,TRUE,"APS";"PRINT",#N/A,TRUE,"BHPL";"PRINT",#N/A,TRUE,"BHPL2";"PRINT",#N/A,TRUE,"CDWR";"PRINT",#N/A,TRUE,"EWEB";"PRINT",#N/A,TRUE,"LADWP";"PRINT",#N/A,TRUE,"NEVBASE"}</definedName>
    <definedName name="_j5" localSheetId="2" hidden="1">{"PRINT",#N/A,TRUE,"APPA";"PRINT",#N/A,TRUE,"APS";"PRINT",#N/A,TRUE,"BHPL";"PRINT",#N/A,TRUE,"BHPL2";"PRINT",#N/A,TRUE,"CDWR";"PRINT",#N/A,TRUE,"EWEB";"PRINT",#N/A,TRUE,"LADWP";"PRINT",#N/A,TRUE,"NEVBASE"}</definedName>
    <definedName name="_j5" hidden="1">{"PRINT",#N/A,TRUE,"APPA";"PRINT",#N/A,TRUE,"APS";"PRINT",#N/A,TRUE,"BHPL";"PRINT",#N/A,TRUE,"BHPL2";"PRINT",#N/A,TRUE,"CDWR";"PRINT",#N/A,TRUE,"EWEB";"PRINT",#N/A,TRUE,"LADWP";"PRINT",#N/A,TRUE,"NEVBASE"}</definedName>
    <definedName name="_Key1" localSheetId="3" hidden="1">#REF!</definedName>
    <definedName name="_Key1" localSheetId="0" hidden="1">#REF!</definedName>
    <definedName name="_Key1" localSheetId="1" hidden="1">#REF!</definedName>
    <definedName name="_Key1" localSheetId="2" hidden="1">#REF!</definedName>
    <definedName name="_Key1" hidden="1">#REF!</definedName>
    <definedName name="_Key2" localSheetId="3" hidden="1">#REF!</definedName>
    <definedName name="_Key2" localSheetId="0" hidden="1">#REF!</definedName>
    <definedName name="_Key2" localSheetId="1" hidden="1">#REF!</definedName>
    <definedName name="_Key2" localSheetId="2" hidden="1">#REF!</definedName>
    <definedName name="_Key2" hidden="1">#REF!</definedName>
    <definedName name="_OM1" localSheetId="0" hidden="1">{#N/A,#N/A,FALSE,"Summary";#N/A,#N/A,FALSE,"SmPlants";#N/A,#N/A,FALSE,"Utah";#N/A,#N/A,FALSE,"Idaho";#N/A,#N/A,FALSE,"Lewis River";#N/A,#N/A,FALSE,"NrthUmpq";#N/A,#N/A,FALSE,"KlamRog"}</definedName>
    <definedName name="_OM1" localSheetId="1" hidden="1">{#N/A,#N/A,FALSE,"Summary";#N/A,#N/A,FALSE,"SmPlants";#N/A,#N/A,FALSE,"Utah";#N/A,#N/A,FALSE,"Idaho";#N/A,#N/A,FALSE,"Lewis River";#N/A,#N/A,FALSE,"NrthUmpq";#N/A,#N/A,FALSE,"KlamRog"}</definedName>
    <definedName name="_OM1" localSheetId="2" hidden="1">{#N/A,#N/A,FALSE,"Summary";#N/A,#N/A,FALSE,"SmPlants";#N/A,#N/A,FALSE,"Utah";#N/A,#N/A,FALSE,"Idaho";#N/A,#N/A,FALSE,"Lewis River";#N/A,#N/A,FALSE,"NrthUmpq";#N/A,#N/A,FALSE,"KlamRog"}</definedName>
    <definedName name="_OM1" hidden="1">{#N/A,#N/A,FALSE,"Summary";#N/A,#N/A,FALSE,"SmPlants";#N/A,#N/A,FALSE,"Utah";#N/A,#N/A,FALSE,"Idaho";#N/A,#N/A,FALSE,"Lewis River";#N/A,#N/A,FALSE,"NrthUmpq";#N/A,#N/A,FALSE,"KlamRog"}</definedName>
    <definedName name="_Order1" localSheetId="0" hidden="1">255</definedName>
    <definedName name="_Order1" localSheetId="1" hidden="1">255</definedName>
    <definedName name="_Order1" localSheetId="2" hidden="1">255</definedName>
    <definedName name="_Order1" hidden="1">255</definedName>
    <definedName name="_Order2" localSheetId="0" hidden="1">255</definedName>
    <definedName name="_Order2" localSheetId="1" hidden="1">255</definedName>
    <definedName name="_Order2" localSheetId="2" hidden="1">255</definedName>
    <definedName name="_Order2" hidden="1">255</definedName>
    <definedName name="_Regression_Out" localSheetId="0" hidden="1">#REF!</definedName>
    <definedName name="_Regression_Out" localSheetId="1" hidden="1">#REF!</definedName>
    <definedName name="_Regression_Out" localSheetId="2" hidden="1">#REF!</definedName>
    <definedName name="_Regression_Out" hidden="1">#REF!</definedName>
    <definedName name="_Regression_X" localSheetId="0" hidden="1">#REF!</definedName>
    <definedName name="_Regression_X" localSheetId="1" hidden="1">#REF!</definedName>
    <definedName name="_Regression_X" localSheetId="2" hidden="1">#REF!</definedName>
    <definedName name="_Regression_X" hidden="1">#REF!</definedName>
    <definedName name="_Regression_Y" localSheetId="0" hidden="1">#REF!</definedName>
    <definedName name="_Regression_Y" localSheetId="1" hidden="1">#REF!</definedName>
    <definedName name="_Regression_Y" localSheetId="2" hidden="1">#REF!</definedName>
    <definedName name="_Regression_Y" hidden="1">#REF!</definedName>
    <definedName name="_Sort" localSheetId="3" hidden="1">#REF!</definedName>
    <definedName name="_Sort" localSheetId="0" hidden="1">#REF!</definedName>
    <definedName name="_Sort" localSheetId="1" hidden="1">#REF!</definedName>
    <definedName name="_Sort" localSheetId="2" hidden="1">#REF!</definedName>
    <definedName name="_Sort" hidden="1">#REF!</definedName>
    <definedName name="_x1" localSheetId="0" hidden="1">{"PRINT",#N/A,TRUE,"APPA";"PRINT",#N/A,TRUE,"APS";"PRINT",#N/A,TRUE,"BHPL";"PRINT",#N/A,TRUE,"BHPL2";"PRINT",#N/A,TRUE,"CDWR";"PRINT",#N/A,TRUE,"EWEB";"PRINT",#N/A,TRUE,"LADWP";"PRINT",#N/A,TRUE,"NEVBASE"}</definedName>
    <definedName name="_x1" localSheetId="1" hidden="1">{"PRINT",#N/A,TRUE,"APPA";"PRINT",#N/A,TRUE,"APS";"PRINT",#N/A,TRUE,"BHPL";"PRINT",#N/A,TRUE,"BHPL2";"PRINT",#N/A,TRUE,"CDWR";"PRINT",#N/A,TRUE,"EWEB";"PRINT",#N/A,TRUE,"LADWP";"PRINT",#N/A,TRUE,"NEVBASE"}</definedName>
    <definedName name="_x1" localSheetId="2" hidden="1">{"PRINT",#N/A,TRUE,"APPA";"PRINT",#N/A,TRUE,"APS";"PRINT",#N/A,TRUE,"BHPL";"PRINT",#N/A,TRUE,"BHPL2";"PRINT",#N/A,TRUE,"CDWR";"PRINT",#N/A,TRUE,"EWEB";"PRINT",#N/A,TRUE,"LADWP";"PRINT",#N/A,TRUE,"NEVBASE"}</definedName>
    <definedName name="_x1" hidden="1">{"PRINT",#N/A,TRUE,"APPA";"PRINT",#N/A,TRUE,"APS";"PRINT",#N/A,TRUE,"BHPL";"PRINT",#N/A,TRUE,"BHPL2";"PRINT",#N/A,TRUE,"CDWR";"PRINT",#N/A,TRUE,"EWEB";"PRINT",#N/A,TRUE,"LADWP";"PRINT",#N/A,TRUE,"NEVBASE"}</definedName>
    <definedName name="_x2" localSheetId="0" hidden="1">{"PRINT",#N/A,TRUE,"APPA";"PRINT",#N/A,TRUE,"APS";"PRINT",#N/A,TRUE,"BHPL";"PRINT",#N/A,TRUE,"BHPL2";"PRINT",#N/A,TRUE,"CDWR";"PRINT",#N/A,TRUE,"EWEB";"PRINT",#N/A,TRUE,"LADWP";"PRINT",#N/A,TRUE,"NEVBASE"}</definedName>
    <definedName name="_x2" localSheetId="1" hidden="1">{"PRINT",#N/A,TRUE,"APPA";"PRINT",#N/A,TRUE,"APS";"PRINT",#N/A,TRUE,"BHPL";"PRINT",#N/A,TRUE,"BHPL2";"PRINT",#N/A,TRUE,"CDWR";"PRINT",#N/A,TRUE,"EWEB";"PRINT",#N/A,TRUE,"LADWP";"PRINT",#N/A,TRUE,"NEVBASE"}</definedName>
    <definedName name="_x2" localSheetId="2" hidden="1">{"PRINT",#N/A,TRUE,"APPA";"PRINT",#N/A,TRUE,"APS";"PRINT",#N/A,TRUE,"BHPL";"PRINT",#N/A,TRUE,"BHPL2";"PRINT",#N/A,TRUE,"CDWR";"PRINT",#N/A,TRUE,"EWEB";"PRINT",#N/A,TRUE,"LADWP";"PRINT",#N/A,TRUE,"NEVBASE"}</definedName>
    <definedName name="_x2" hidden="1">{"PRINT",#N/A,TRUE,"APPA";"PRINT",#N/A,TRUE,"APS";"PRINT",#N/A,TRUE,"BHPL";"PRINT",#N/A,TRUE,"BHPL2";"PRINT",#N/A,TRUE,"CDWR";"PRINT",#N/A,TRUE,"EWEB";"PRINT",#N/A,TRUE,"LADWP";"PRINT",#N/A,TRUE,"NEVBASE"}</definedName>
    <definedName name="_x3" localSheetId="0" hidden="1">{"PRINT",#N/A,TRUE,"APPA";"PRINT",#N/A,TRUE,"APS";"PRINT",#N/A,TRUE,"BHPL";"PRINT",#N/A,TRUE,"BHPL2";"PRINT",#N/A,TRUE,"CDWR";"PRINT",#N/A,TRUE,"EWEB";"PRINT",#N/A,TRUE,"LADWP";"PRINT",#N/A,TRUE,"NEVBASE"}</definedName>
    <definedName name="_x3" localSheetId="1" hidden="1">{"PRINT",#N/A,TRUE,"APPA";"PRINT",#N/A,TRUE,"APS";"PRINT",#N/A,TRUE,"BHPL";"PRINT",#N/A,TRUE,"BHPL2";"PRINT",#N/A,TRUE,"CDWR";"PRINT",#N/A,TRUE,"EWEB";"PRINT",#N/A,TRUE,"LADWP";"PRINT",#N/A,TRUE,"NEVBASE"}</definedName>
    <definedName name="_x3" localSheetId="2" hidden="1">{"PRINT",#N/A,TRUE,"APPA";"PRINT",#N/A,TRUE,"APS";"PRINT",#N/A,TRUE,"BHPL";"PRINT",#N/A,TRUE,"BHPL2";"PRINT",#N/A,TRUE,"CDWR";"PRINT",#N/A,TRUE,"EWEB";"PRINT",#N/A,TRUE,"LADWP";"PRINT",#N/A,TRUE,"NEVBASE"}</definedName>
    <definedName name="_x3" hidden="1">{"PRINT",#N/A,TRUE,"APPA";"PRINT",#N/A,TRUE,"APS";"PRINT",#N/A,TRUE,"BHPL";"PRINT",#N/A,TRUE,"BHPL2";"PRINT",#N/A,TRUE,"CDWR";"PRINT",#N/A,TRUE,"EWEB";"PRINT",#N/A,TRUE,"LADWP";"PRINT",#N/A,TRUE,"NEVBASE"}</definedName>
    <definedName name="_x4" localSheetId="0" hidden="1">{"PRINT",#N/A,TRUE,"APPA";"PRINT",#N/A,TRUE,"APS";"PRINT",#N/A,TRUE,"BHPL";"PRINT",#N/A,TRUE,"BHPL2";"PRINT",#N/A,TRUE,"CDWR";"PRINT",#N/A,TRUE,"EWEB";"PRINT",#N/A,TRUE,"LADWP";"PRINT",#N/A,TRUE,"NEVBASE"}</definedName>
    <definedName name="_x4" localSheetId="1" hidden="1">{"PRINT",#N/A,TRUE,"APPA";"PRINT",#N/A,TRUE,"APS";"PRINT",#N/A,TRUE,"BHPL";"PRINT",#N/A,TRUE,"BHPL2";"PRINT",#N/A,TRUE,"CDWR";"PRINT",#N/A,TRUE,"EWEB";"PRINT",#N/A,TRUE,"LADWP";"PRINT",#N/A,TRUE,"NEVBASE"}</definedName>
    <definedName name="_x4" localSheetId="2" hidden="1">{"PRINT",#N/A,TRUE,"APPA";"PRINT",#N/A,TRUE,"APS";"PRINT",#N/A,TRUE,"BHPL";"PRINT",#N/A,TRUE,"BHPL2";"PRINT",#N/A,TRUE,"CDWR";"PRINT",#N/A,TRUE,"EWEB";"PRINT",#N/A,TRUE,"LADWP";"PRINT",#N/A,TRUE,"NEVBASE"}</definedName>
    <definedName name="_x4" hidden="1">{"PRINT",#N/A,TRUE,"APPA";"PRINT",#N/A,TRUE,"APS";"PRINT",#N/A,TRUE,"BHPL";"PRINT",#N/A,TRUE,"BHPL2";"PRINT",#N/A,TRUE,"CDWR";"PRINT",#N/A,TRUE,"EWEB";"PRINT",#N/A,TRUE,"LADWP";"PRINT",#N/A,TRUE,"NEVBASE"}</definedName>
    <definedName name="_x5" localSheetId="0" hidden="1">{"PRINT",#N/A,TRUE,"APPA";"PRINT",#N/A,TRUE,"APS";"PRINT",#N/A,TRUE,"BHPL";"PRINT",#N/A,TRUE,"BHPL2";"PRINT",#N/A,TRUE,"CDWR";"PRINT",#N/A,TRUE,"EWEB";"PRINT",#N/A,TRUE,"LADWP";"PRINT",#N/A,TRUE,"NEVBASE"}</definedName>
    <definedName name="_x5" localSheetId="1" hidden="1">{"PRINT",#N/A,TRUE,"APPA";"PRINT",#N/A,TRUE,"APS";"PRINT",#N/A,TRUE,"BHPL";"PRINT",#N/A,TRUE,"BHPL2";"PRINT",#N/A,TRUE,"CDWR";"PRINT",#N/A,TRUE,"EWEB";"PRINT",#N/A,TRUE,"LADWP";"PRINT",#N/A,TRUE,"NEVBASE"}</definedName>
    <definedName name="_x5" localSheetId="2" hidden="1">{"PRINT",#N/A,TRUE,"APPA";"PRINT",#N/A,TRUE,"APS";"PRINT",#N/A,TRUE,"BHPL";"PRINT",#N/A,TRUE,"BHPL2";"PRINT",#N/A,TRUE,"CDWR";"PRINT",#N/A,TRUE,"EWEB";"PRINT",#N/A,TRUE,"LADWP";"PRINT",#N/A,TRUE,"NEVBASE"}</definedName>
    <definedName name="_x5" hidden="1">{"PRINT",#N/A,TRUE,"APPA";"PRINT",#N/A,TRUE,"APS";"PRINT",#N/A,TRUE,"BHPL";"PRINT",#N/A,TRUE,"BHPL2";"PRINT",#N/A,TRUE,"CDWR";"PRINT",#N/A,TRUE,"EWEB";"PRINT",#N/A,TRUE,"LADWP";"PRINT",#N/A,TRUE,"NEVBASE"}</definedName>
    <definedName name="a" localSheetId="0" hidden="1">#REF!</definedName>
    <definedName name="a" localSheetId="1" hidden="1">#REF!</definedName>
    <definedName name="a" localSheetId="2" hidden="1">#REF!</definedName>
    <definedName name="a" hidden="1">#REF!</definedName>
    <definedName name="Access_Button1" hidden="1">"Headcount_Workbook_Schedules_List"</definedName>
    <definedName name="AccessDatabase" hidden="1">"P:\HR\SharonPlummer\Headcount Workbook.mdb"</definedName>
    <definedName name="alkjslkj" localSheetId="0" hidden="1">{0,#N/A,TRUE,0;0,#N/A,TRUE,0;0,#N/A,TRUE,0;0,#N/A,TRUE,0;0,#N/A,TRUE,0;0,#N/A,TRUE,0;0,#N/A,TRUE,0;0,#N/A,TRUE,0}</definedName>
    <definedName name="alkjslkj" localSheetId="1" hidden="1">{0,#N/A,TRUE,0;0,#N/A,TRUE,0;0,#N/A,TRUE,0;0,#N/A,TRUE,0;0,#N/A,TRUE,0;0,#N/A,TRUE,0;0,#N/A,TRUE,0;0,#N/A,TRUE,0}</definedName>
    <definedName name="alkjslkj" localSheetId="2" hidden="1">{0,#N/A,TRUE,0;0,#N/A,TRUE,0;0,#N/A,TRUE,0;0,#N/A,TRUE,0;0,#N/A,TRUE,0;0,#N/A,TRUE,0;0,#N/A,TRUE,0;0,#N/A,TRUE,0}</definedName>
    <definedName name="alkjslkj" hidden="1">{0,#N/A,TRUE,0;0,#N/A,TRUE,0;0,#N/A,TRUE,0;0,#N/A,TRUE,0;0,#N/A,TRUE,0;0,#N/A,TRUE,0;0,#N/A,TRUE,0;0,#N/A,TRUE,0}</definedName>
    <definedName name="anscount" hidden="1">1</definedName>
    <definedName name="asa" localSheetId="0" hidden="1">{"Factors Pages 1-2",#N/A,FALSE,"Factors";"Factors Page 3",#N/A,FALSE,"Factors";"Factors Page 4",#N/A,FALSE,"Factors";"Factors Page 5",#N/A,FALSE,"Factors";"Factors Pages 8-27",#N/A,FALSE,"Factors"}</definedName>
    <definedName name="asa" localSheetId="1" hidden="1">{"Factors Pages 1-2",#N/A,FALSE,"Factors";"Factors Page 3",#N/A,FALSE,"Factors";"Factors Page 4",#N/A,FALSE,"Factors";"Factors Page 5",#N/A,FALSE,"Factors";"Factors Pages 8-27",#N/A,FALSE,"Factors"}</definedName>
    <definedName name="asa" localSheetId="2" hidden="1">{"Factors Pages 1-2",#N/A,FALSE,"Factors";"Factors Page 3",#N/A,FALSE,"Factors";"Factors Page 4",#N/A,FALSE,"Factors";"Factors Page 5",#N/A,FALSE,"Factors";"Factors Pages 8-27",#N/A,FALSE,"Factors"}</definedName>
    <definedName name="asa" hidden="1">{"Factors Pages 1-2",#N/A,FALSE,"Factors";"Factors Page 3",#N/A,FALSE,"Factors";"Factors Page 4",#N/A,FALSE,"Factors";"Factors Page 5",#N/A,FALSE,"Factors";"Factors Pages 8-27",#N/A,FALSE,"Factors"}</definedName>
    <definedName name="asdf" localSheetId="0" hidden="1">{#N/A,#N/A,FALSE,"Bgt";#N/A,#N/A,FALSE,"Act";#N/A,#N/A,FALSE,"Chrt Data";#N/A,#N/A,FALSE,"Bus Result";#N/A,#N/A,FALSE,"Main Charts";#N/A,#N/A,FALSE,"P&amp;L Ttl";#N/A,#N/A,FALSE,"P&amp;L C_Ttl";#N/A,#N/A,FALSE,"P&amp;L C_Oct";#N/A,#N/A,FALSE,"P&amp;L C_Sep";#N/A,#N/A,FALSE,"1996";#N/A,#N/A,FALSE,"Data"}</definedName>
    <definedName name="asdf" localSheetId="1" hidden="1">{#N/A,#N/A,FALSE,"Bgt";#N/A,#N/A,FALSE,"Act";#N/A,#N/A,FALSE,"Chrt Data";#N/A,#N/A,FALSE,"Bus Result";#N/A,#N/A,FALSE,"Main Charts";#N/A,#N/A,FALSE,"P&amp;L Ttl";#N/A,#N/A,FALSE,"P&amp;L C_Ttl";#N/A,#N/A,FALSE,"P&amp;L C_Oct";#N/A,#N/A,FALSE,"P&amp;L C_Sep";#N/A,#N/A,FALSE,"1996";#N/A,#N/A,FALSE,"Data"}</definedName>
    <definedName name="asdf" localSheetId="2" hidden="1">{#N/A,#N/A,FALSE,"Bgt";#N/A,#N/A,FALSE,"Act";#N/A,#N/A,FALSE,"Chrt Data";#N/A,#N/A,FALSE,"Bus Result";#N/A,#N/A,FALSE,"Main Charts";#N/A,#N/A,FALSE,"P&amp;L Ttl";#N/A,#N/A,FALSE,"P&amp;L C_Ttl";#N/A,#N/A,FALSE,"P&amp;L C_Oct";#N/A,#N/A,FALSE,"P&amp;L C_Sep";#N/A,#N/A,FALSE,"1996";#N/A,#N/A,FALSE,"Data"}</definedName>
    <definedName name="asdf" hidden="1">{#N/A,#N/A,FALSE,"Bgt";#N/A,#N/A,FALSE,"Act";#N/A,#N/A,FALSE,"Chrt Data";#N/A,#N/A,FALSE,"Bus Result";#N/A,#N/A,FALSE,"Main Charts";#N/A,#N/A,FALSE,"P&amp;L Ttl";#N/A,#N/A,FALSE,"P&amp;L C_Ttl";#N/A,#N/A,FALSE,"P&amp;L C_Oct";#N/A,#N/A,FALSE,"P&amp;L C_Sep";#N/A,#N/A,FALSE,"1996";#N/A,#N/A,FALSE,"Data"}</definedName>
    <definedName name="asdfasdf" hidden="1">#REF!</definedName>
    <definedName name="Camas" localSheetId="0" hidden="1">{#N/A,#N/A,FALSE,"Summary";#N/A,#N/A,FALSE,"SmPlants";#N/A,#N/A,FALSE,"Utah";#N/A,#N/A,FALSE,"Idaho";#N/A,#N/A,FALSE,"Lewis River";#N/A,#N/A,FALSE,"NrthUmpq";#N/A,#N/A,FALSE,"KlamRog"}</definedName>
    <definedName name="Camas" localSheetId="1" hidden="1">{#N/A,#N/A,FALSE,"Summary";#N/A,#N/A,FALSE,"SmPlants";#N/A,#N/A,FALSE,"Utah";#N/A,#N/A,FALSE,"Idaho";#N/A,#N/A,FALSE,"Lewis River";#N/A,#N/A,FALSE,"NrthUmpq";#N/A,#N/A,FALSE,"KlamRog"}</definedName>
    <definedName name="Camas" localSheetId="2" hidden="1">{#N/A,#N/A,FALSE,"Summary";#N/A,#N/A,FALSE,"SmPlants";#N/A,#N/A,FALSE,"Utah";#N/A,#N/A,FALSE,"Idaho";#N/A,#N/A,FALSE,"Lewis River";#N/A,#N/A,FALSE,"NrthUmpq";#N/A,#N/A,FALSE,"KlamRog"}</definedName>
    <definedName name="Camas" hidden="1">{#N/A,#N/A,FALSE,"Summary";#N/A,#N/A,FALSE,"SmPlants";#N/A,#N/A,FALSE,"Utah";#N/A,#N/A,FALSE,"Idaho";#N/A,#N/A,FALSE,"Lewis River";#N/A,#N/A,FALSE,"NrthUmpq";#N/A,#N/A,FALSE,"KlamRog"}</definedName>
    <definedName name="cgf" localSheetId="0" hidden="1">{"PRINT",#N/A,TRUE,"APPA";"PRINT",#N/A,TRUE,"APS";"PRINT",#N/A,TRUE,"BHPL";"PRINT",#N/A,TRUE,"BHPL2";"PRINT",#N/A,TRUE,"CDWR";"PRINT",#N/A,TRUE,"EWEB";"PRINT",#N/A,TRUE,"LADWP";"PRINT",#N/A,TRUE,"NEVBASE"}</definedName>
    <definedName name="cgf" localSheetId="1" hidden="1">{"PRINT",#N/A,TRUE,"APPA";"PRINT",#N/A,TRUE,"APS";"PRINT",#N/A,TRUE,"BHPL";"PRINT",#N/A,TRUE,"BHPL2";"PRINT",#N/A,TRUE,"CDWR";"PRINT",#N/A,TRUE,"EWEB";"PRINT",#N/A,TRUE,"LADWP";"PRINT",#N/A,TRUE,"NEVBASE"}</definedName>
    <definedName name="cgf" localSheetId="2" hidden="1">{"PRINT",#N/A,TRUE,"APPA";"PRINT",#N/A,TRUE,"APS";"PRINT",#N/A,TRUE,"BHPL";"PRINT",#N/A,TRUE,"BHPL2";"PRINT",#N/A,TRUE,"CDWR";"PRINT",#N/A,TRUE,"EWEB";"PRINT",#N/A,TRUE,"LADWP";"PRINT",#N/A,TRUE,"NEVBASE"}</definedName>
    <definedName name="cgf" hidden="1">{"PRINT",#N/A,TRUE,"APPA";"PRINT",#N/A,TRUE,"APS";"PRINT",#N/A,TRUE,"BHPL";"PRINT",#N/A,TRUE,"BHPL2";"PRINT",#N/A,TRUE,"CDWR";"PRINT",#N/A,TRUE,"EWEB";"PRINT",#N/A,TRUE,"LADWP";"PRINT",#N/A,TRUE,"NEVBASE"}</definedName>
    <definedName name="cogs" localSheetId="0" hidden="1">{#N/A,#N/A,FALSE,"NI Sum";#N/A,#N/A,FALSE,"EBITDA";#N/A,#N/A,FALSE,"Cap Ex";#N/A,#N/A,FALSE,"Op CFLO Sum";#N/A,#N/A,FALSE,"NI MEC";#N/A,#N/A,FALSE,"EBITDA MEC";#N/A,#N/A,FALSE,"Cap Ex MEC";#N/A,#N/A,FALSE,"Op CFLO MEC Sum";#N/A,#N/A,FALSE,"NI CE";#N/A,#N/A,FALSE,"EBITDA CE";#N/A,#N/A,FALSE,"Cap Ex CE";#N/A,#N/A,FALSE,"Op CFLO CE"}</definedName>
    <definedName name="cogs" localSheetId="1" hidden="1">{#N/A,#N/A,FALSE,"NI Sum";#N/A,#N/A,FALSE,"EBITDA";#N/A,#N/A,FALSE,"Cap Ex";#N/A,#N/A,FALSE,"Op CFLO Sum";#N/A,#N/A,FALSE,"NI MEC";#N/A,#N/A,FALSE,"EBITDA MEC";#N/A,#N/A,FALSE,"Cap Ex MEC";#N/A,#N/A,FALSE,"Op CFLO MEC Sum";#N/A,#N/A,FALSE,"NI CE";#N/A,#N/A,FALSE,"EBITDA CE";#N/A,#N/A,FALSE,"Cap Ex CE";#N/A,#N/A,FALSE,"Op CFLO CE"}</definedName>
    <definedName name="cogs" localSheetId="2" hidden="1">{#N/A,#N/A,FALSE,"NI Sum";#N/A,#N/A,FALSE,"EBITDA";#N/A,#N/A,FALSE,"Cap Ex";#N/A,#N/A,FALSE,"Op CFLO Sum";#N/A,#N/A,FALSE,"NI MEC";#N/A,#N/A,FALSE,"EBITDA MEC";#N/A,#N/A,FALSE,"Cap Ex MEC";#N/A,#N/A,FALSE,"Op CFLO MEC Sum";#N/A,#N/A,FALSE,"NI CE";#N/A,#N/A,FALSE,"EBITDA CE";#N/A,#N/A,FALSE,"Cap Ex CE";#N/A,#N/A,FALSE,"Op CFLO CE"}</definedName>
    <definedName name="cogs" hidden="1">{#N/A,#N/A,FALSE,"NI Sum";#N/A,#N/A,FALSE,"EBITDA";#N/A,#N/A,FALSE,"Cap Ex";#N/A,#N/A,FALSE,"Op CFLO Sum";#N/A,#N/A,FALSE,"NI MEC";#N/A,#N/A,FALSE,"EBITDA MEC";#N/A,#N/A,FALSE,"Cap Ex MEC";#N/A,#N/A,FALSE,"Op CFLO MEC Sum";#N/A,#N/A,FALSE,"NI CE";#N/A,#N/A,FALSE,"EBITDA CE";#N/A,#N/A,FALSE,"Cap Ex CE";#N/A,#N/A,FALSE,"Op CFLO CE"}</definedName>
    <definedName name="combined1" localSheetId="0" hidden="1">{"YTD-Total",#N/A,TRUE,"Provision";"YTD-Utility",#N/A,TRUE,"Prov Utility";"YTD-NonUtility",#N/A,TRUE,"Prov NonUtility"}</definedName>
    <definedName name="combined1" localSheetId="1" hidden="1">{"YTD-Total",#N/A,TRUE,"Provision";"YTD-Utility",#N/A,TRUE,"Prov Utility";"YTD-NonUtility",#N/A,TRUE,"Prov NonUtility"}</definedName>
    <definedName name="combined1" localSheetId="2" hidden="1">{"YTD-Total",#N/A,TRUE,"Provision";"YTD-Utility",#N/A,TRUE,"Prov Utility";"YTD-NonUtility",#N/A,TRUE,"Prov NonUtility"}</definedName>
    <definedName name="combined1" hidden="1">{"YTD-Total",#N/A,TRUE,"Provision";"YTD-Utility",#N/A,TRUE,"Prov Utility";"YTD-NonUtility",#N/A,TRUE,"Prov NonUtility"}</definedName>
    <definedName name="copy" localSheetId="0" hidden="1">#REF!</definedName>
    <definedName name="copy" localSheetId="1" hidden="1">#REF!</definedName>
    <definedName name="copy" localSheetId="2" hidden="1">#REF!</definedName>
    <definedName name="copy" hidden="1">#REF!</definedName>
    <definedName name="dana" localSheetId="0" hidden="1">{#N/A,#N/A,FALSE,"Summary EPS";#N/A,#N/A,FALSE,"1st Qtr Electric";#N/A,#N/A,FALSE,"1st Qtr Australia";#N/A,#N/A,FALSE,"1st Qtr Telecom";#N/A,#N/A,FALSE,"1st QTR Other"}</definedName>
    <definedName name="dana" localSheetId="1" hidden="1">{#N/A,#N/A,FALSE,"Summary EPS";#N/A,#N/A,FALSE,"1st Qtr Electric";#N/A,#N/A,FALSE,"1st Qtr Australia";#N/A,#N/A,FALSE,"1st Qtr Telecom";#N/A,#N/A,FALSE,"1st QTR Other"}</definedName>
    <definedName name="dana" localSheetId="2" hidden="1">{#N/A,#N/A,FALSE,"Summary EPS";#N/A,#N/A,FALSE,"1st Qtr Electric";#N/A,#N/A,FALSE,"1st Qtr Australia";#N/A,#N/A,FALSE,"1st Qtr Telecom";#N/A,#N/A,FALSE,"1st QTR Other"}</definedName>
    <definedName name="dana" hidden="1">{#N/A,#N/A,FALSE,"Summary EPS";#N/A,#N/A,FALSE,"1st Qtr Electric";#N/A,#N/A,FALSE,"1st Qtr Australia";#N/A,#N/A,FALSE,"1st Qtr Telecom";#N/A,#N/A,FALSE,"1st QTR Other"}</definedName>
    <definedName name="dana1" localSheetId="0" hidden="1">{#N/A,#N/A,FALSE,"Summary 1";#N/A,#N/A,FALSE,"Domestic";#N/A,#N/A,FALSE,"Australia";#N/A,#N/A,FALSE,"Other"}</definedName>
    <definedName name="dana1" localSheetId="1" hidden="1">{#N/A,#N/A,FALSE,"Summary 1";#N/A,#N/A,FALSE,"Domestic";#N/A,#N/A,FALSE,"Australia";#N/A,#N/A,FALSE,"Other"}</definedName>
    <definedName name="dana1" localSheetId="2" hidden="1">{#N/A,#N/A,FALSE,"Summary 1";#N/A,#N/A,FALSE,"Domestic";#N/A,#N/A,FALSE,"Australia";#N/A,#N/A,FALSE,"Other"}</definedName>
    <definedName name="dana1" hidden="1">{#N/A,#N/A,FALSE,"Summary 1";#N/A,#N/A,FALSE,"Domestic";#N/A,#N/A,FALSE,"Australia";#N/A,#N/A,FALSE,"Other"}</definedName>
    <definedName name="dsd" localSheetId="0" hidden="1">#REF!</definedName>
    <definedName name="dsd" localSheetId="1" hidden="1">#REF!</definedName>
    <definedName name="dsd" localSheetId="2" hidden="1">#REF!</definedName>
    <definedName name="dsd" hidden="1">#REF!</definedName>
    <definedName name="DUDE" localSheetId="0" hidden="1">#REF!</definedName>
    <definedName name="DUDE" localSheetId="1" hidden="1">#REF!</definedName>
    <definedName name="DUDE" localSheetId="2" hidden="1">#REF!</definedName>
    <definedName name="DUDE" hidden="1">#REF!</definedName>
    <definedName name="energy" hidden="1">{#N/A,#N/A,FALSE,"Bgt";#N/A,#N/A,FALSE,"Act";#N/A,#N/A,FALSE,"Chrt Data";#N/A,#N/A,FALSE,"Bus Result";#N/A,#N/A,FALSE,"Main Charts";#N/A,#N/A,FALSE,"P&amp;L Ttl";#N/A,#N/A,FALSE,"P&amp;L C_Ttl";#N/A,#N/A,FALSE,"P&amp;L C_Oct";#N/A,#N/A,FALSE,"P&amp;L C_Sep";#N/A,#N/A,FALSE,"1996";#N/A,#N/A,FALSE,"Data"}</definedName>
    <definedName name="enrgy" localSheetId="0" hidden="1">{#N/A,#N/A,FALSE,"Bgt";#N/A,#N/A,FALSE,"Act";#N/A,#N/A,FALSE,"Chrt Data";#N/A,#N/A,FALSE,"Bus Result";#N/A,#N/A,FALSE,"Main Charts";#N/A,#N/A,FALSE,"P&amp;L Ttl";#N/A,#N/A,FALSE,"P&amp;L C_Ttl";#N/A,#N/A,FALSE,"P&amp;L C_Oct";#N/A,#N/A,FALSE,"P&amp;L C_Sep";#N/A,#N/A,FALSE,"1996";#N/A,#N/A,FALSE,"Data"}</definedName>
    <definedName name="enrgy" localSheetId="1" hidden="1">{#N/A,#N/A,FALSE,"Bgt";#N/A,#N/A,FALSE,"Act";#N/A,#N/A,FALSE,"Chrt Data";#N/A,#N/A,FALSE,"Bus Result";#N/A,#N/A,FALSE,"Main Charts";#N/A,#N/A,FALSE,"P&amp;L Ttl";#N/A,#N/A,FALSE,"P&amp;L C_Ttl";#N/A,#N/A,FALSE,"P&amp;L C_Oct";#N/A,#N/A,FALSE,"P&amp;L C_Sep";#N/A,#N/A,FALSE,"1996";#N/A,#N/A,FALSE,"Data"}</definedName>
    <definedName name="enrgy" localSheetId="2" hidden="1">{#N/A,#N/A,FALSE,"Bgt";#N/A,#N/A,FALSE,"Act";#N/A,#N/A,FALSE,"Chrt Data";#N/A,#N/A,FALSE,"Bus Result";#N/A,#N/A,FALSE,"Main Charts";#N/A,#N/A,FALSE,"P&amp;L Ttl";#N/A,#N/A,FALSE,"P&amp;L C_Ttl";#N/A,#N/A,FALSE,"P&amp;L C_Oct";#N/A,#N/A,FALSE,"P&amp;L C_Sep";#N/A,#N/A,FALSE,"1996";#N/A,#N/A,FALSE,"Data"}</definedName>
    <definedName name="enrgy" hidden="1">{#N/A,#N/A,FALSE,"Bgt";#N/A,#N/A,FALSE,"Act";#N/A,#N/A,FALSE,"Chrt Data";#N/A,#N/A,FALSE,"Bus Result";#N/A,#N/A,FALSE,"Main Charts";#N/A,#N/A,FALSE,"P&amp;L Ttl";#N/A,#N/A,FALSE,"P&amp;L C_Ttl";#N/A,#N/A,FALSE,"P&amp;L C_Oct";#N/A,#N/A,FALSE,"P&amp;L C_Sep";#N/A,#N/A,FALSE,"1996";#N/A,#N/A,FALSE,"Data"}</definedName>
    <definedName name="ert" hidden="1">#REF!</definedName>
    <definedName name="extra2" localSheetId="0" hidden="1">{#N/A,#N/A,FALSE,"Loans";#N/A,#N/A,FALSE,"Program Costs";#N/A,#N/A,FALSE,"Measures";#N/A,#N/A,FALSE,"Net Lost Rev";#N/A,#N/A,FALSE,"Incentive"}</definedName>
    <definedName name="extra2" localSheetId="1" hidden="1">{#N/A,#N/A,FALSE,"Loans";#N/A,#N/A,FALSE,"Program Costs";#N/A,#N/A,FALSE,"Measures";#N/A,#N/A,FALSE,"Net Lost Rev";#N/A,#N/A,FALSE,"Incentive"}</definedName>
    <definedName name="extra2" localSheetId="2" hidden="1">{#N/A,#N/A,FALSE,"Loans";#N/A,#N/A,FALSE,"Program Costs";#N/A,#N/A,FALSE,"Measures";#N/A,#N/A,FALSE,"Net Lost Rev";#N/A,#N/A,FALSE,"Incentive"}</definedName>
    <definedName name="extra2" hidden="1">{#N/A,#N/A,FALSE,"Loans";#N/A,#N/A,FALSE,"Program Costs";#N/A,#N/A,FALSE,"Measures";#N/A,#N/A,FALSE,"Net Lost Rev";#N/A,#N/A,FALSE,"Incentive"}</definedName>
    <definedName name="extra3" localSheetId="0" hidden="1">{#N/A,#N/A,FALSE,"Loans";#N/A,#N/A,FALSE,"Program Costs";#N/A,#N/A,FALSE,"Measures";#N/A,#N/A,FALSE,"Net Lost Rev";#N/A,#N/A,FALSE,"Incentive"}</definedName>
    <definedName name="extra3" localSheetId="1" hidden="1">{#N/A,#N/A,FALSE,"Loans";#N/A,#N/A,FALSE,"Program Costs";#N/A,#N/A,FALSE,"Measures";#N/A,#N/A,FALSE,"Net Lost Rev";#N/A,#N/A,FALSE,"Incentive"}</definedName>
    <definedName name="extra3" localSheetId="2" hidden="1">{#N/A,#N/A,FALSE,"Loans";#N/A,#N/A,FALSE,"Program Costs";#N/A,#N/A,FALSE,"Measures";#N/A,#N/A,FALSE,"Net Lost Rev";#N/A,#N/A,FALSE,"Incentive"}</definedName>
    <definedName name="extra3" hidden="1">{#N/A,#N/A,FALSE,"Loans";#N/A,#N/A,FALSE,"Program Costs";#N/A,#N/A,FALSE,"Measures";#N/A,#N/A,FALSE,"Net Lost Rev";#N/A,#N/A,FALSE,"Incentive"}</definedName>
    <definedName name="extra4" localSheetId="0" hidden="1">{#N/A,#N/A,FALSE,"Loans";#N/A,#N/A,FALSE,"Program Costs";#N/A,#N/A,FALSE,"Measures";#N/A,#N/A,FALSE,"Net Lost Rev";#N/A,#N/A,FALSE,"Incentive"}</definedName>
    <definedName name="extra4" localSheetId="1" hidden="1">{#N/A,#N/A,FALSE,"Loans";#N/A,#N/A,FALSE,"Program Costs";#N/A,#N/A,FALSE,"Measures";#N/A,#N/A,FALSE,"Net Lost Rev";#N/A,#N/A,FALSE,"Incentive"}</definedName>
    <definedName name="extra4" localSheetId="2" hidden="1">{#N/A,#N/A,FALSE,"Loans";#N/A,#N/A,FALSE,"Program Costs";#N/A,#N/A,FALSE,"Measures";#N/A,#N/A,FALSE,"Net Lost Rev";#N/A,#N/A,FALSE,"Incentive"}</definedName>
    <definedName name="extra4" hidden="1">{#N/A,#N/A,FALSE,"Loans";#N/A,#N/A,FALSE,"Program Costs";#N/A,#N/A,FALSE,"Measures";#N/A,#N/A,FALSE,"Net Lost Rev";#N/A,#N/A,FALSE,"Incentive"}</definedName>
    <definedName name="extra5" localSheetId="0" hidden="1">{#N/A,#N/A,FALSE,"Loans";#N/A,#N/A,FALSE,"Program Costs";#N/A,#N/A,FALSE,"Measures";#N/A,#N/A,FALSE,"Net Lost Rev";#N/A,#N/A,FALSE,"Incentive"}</definedName>
    <definedName name="extra5" localSheetId="1" hidden="1">{#N/A,#N/A,FALSE,"Loans";#N/A,#N/A,FALSE,"Program Costs";#N/A,#N/A,FALSE,"Measures";#N/A,#N/A,FALSE,"Net Lost Rev";#N/A,#N/A,FALSE,"Incentive"}</definedName>
    <definedName name="extra5" localSheetId="2" hidden="1">{#N/A,#N/A,FALSE,"Loans";#N/A,#N/A,FALSE,"Program Costs";#N/A,#N/A,FALSE,"Measures";#N/A,#N/A,FALSE,"Net Lost Rev";#N/A,#N/A,FALSE,"Incentive"}</definedName>
    <definedName name="extra5" hidden="1">{#N/A,#N/A,FALSE,"Loans";#N/A,#N/A,FALSE,"Program Costs";#N/A,#N/A,FALSE,"Measures";#N/A,#N/A,FALSE,"Net Lost Rev";#N/A,#N/A,FALSE,"Incentive"}</definedName>
    <definedName name="fdgfas" hidden="1">#REF!</definedName>
    <definedName name="fhfjhke" localSheetId="0" hidden="1">{0,#N/A,TRUE,0;0,#N/A,TRUE,0;0,#N/A,TRUE,0;0,#N/A,TRUE,0;0,#N/A,TRUE,0;0,#N/A,TRUE,0;0,#N/A,TRUE,0;0,#N/A,TRUE,0}</definedName>
    <definedName name="fhfjhke" localSheetId="1" hidden="1">{0,#N/A,TRUE,0;0,#N/A,TRUE,0;0,#N/A,TRUE,0;0,#N/A,TRUE,0;0,#N/A,TRUE,0;0,#N/A,TRUE,0;0,#N/A,TRUE,0;0,#N/A,TRUE,0}</definedName>
    <definedName name="fhfjhke" localSheetId="2" hidden="1">{0,#N/A,TRUE,0;0,#N/A,TRUE,0;0,#N/A,TRUE,0;0,#N/A,TRUE,0;0,#N/A,TRUE,0;0,#N/A,TRUE,0;0,#N/A,TRUE,0;0,#N/A,TRUE,0}</definedName>
    <definedName name="fhfjhke" hidden="1">{0,#N/A,TRUE,0;0,#N/A,TRUE,0;0,#N/A,TRUE,0;0,#N/A,TRUE,0;0,#N/A,TRUE,0;0,#N/A,TRUE,0;0,#N/A,TRUE,0;0,#N/A,TRUE,0}</definedName>
    <definedName name="fjljelj" localSheetId="0" hidden="1">{0,#N/A,TRUE,0;0,#N/A,TRUE,0;0,#N/A,TRUE,0;0,#N/A,TRUE,0;0,#N/A,TRUE,0;0,#N/A,TRUE,0;0,#N/A,TRUE,0;0,#N/A,TRUE,0}</definedName>
    <definedName name="fjljelj" localSheetId="1" hidden="1">{0,#N/A,TRUE,0;0,#N/A,TRUE,0;0,#N/A,TRUE,0;0,#N/A,TRUE,0;0,#N/A,TRUE,0;0,#N/A,TRUE,0;0,#N/A,TRUE,0;0,#N/A,TRUE,0}</definedName>
    <definedName name="fjljelj" localSheetId="2" hidden="1">{0,#N/A,TRUE,0;0,#N/A,TRUE,0;0,#N/A,TRUE,0;0,#N/A,TRUE,0;0,#N/A,TRUE,0;0,#N/A,TRUE,0;0,#N/A,TRUE,0;0,#N/A,TRUE,0}</definedName>
    <definedName name="fjljelj" hidden="1">{0,#N/A,TRUE,0;0,#N/A,TRUE,0;0,#N/A,TRUE,0;0,#N/A,TRUE,0;0,#N/A,TRUE,0;0,#N/A,TRUE,0;0,#N/A,TRUE,0;0,#N/A,TRUE,0}</definedName>
    <definedName name="foo" localSheetId="0" hidden="1">{#N/A,#N/A,FALSE,"Bgt";#N/A,#N/A,FALSE,"Act";#N/A,#N/A,FALSE,"Chrt Data";#N/A,#N/A,FALSE,"Bus Result";#N/A,#N/A,FALSE,"Main Charts";#N/A,#N/A,FALSE,"P&amp;L Ttl";#N/A,#N/A,FALSE,"P&amp;L C_Ttl";#N/A,#N/A,FALSE,"P&amp;L C_Oct";#N/A,#N/A,FALSE,"P&amp;L C_Sep";#N/A,#N/A,FALSE,"1996";#N/A,#N/A,FALSE,"Data"}</definedName>
    <definedName name="foo" localSheetId="1" hidden="1">{#N/A,#N/A,FALSE,"Bgt";#N/A,#N/A,FALSE,"Act";#N/A,#N/A,FALSE,"Chrt Data";#N/A,#N/A,FALSE,"Bus Result";#N/A,#N/A,FALSE,"Main Charts";#N/A,#N/A,FALSE,"P&amp;L Ttl";#N/A,#N/A,FALSE,"P&amp;L C_Ttl";#N/A,#N/A,FALSE,"P&amp;L C_Oct";#N/A,#N/A,FALSE,"P&amp;L C_Sep";#N/A,#N/A,FALSE,"1996";#N/A,#N/A,FALSE,"Data"}</definedName>
    <definedName name="foo" localSheetId="2" hidden="1">{#N/A,#N/A,FALSE,"Bgt";#N/A,#N/A,FALSE,"Act";#N/A,#N/A,FALSE,"Chrt Data";#N/A,#N/A,FALSE,"Bus Result";#N/A,#N/A,FALSE,"Main Charts";#N/A,#N/A,FALSE,"P&amp;L Ttl";#N/A,#N/A,FALSE,"P&amp;L C_Ttl";#N/A,#N/A,FALSE,"P&amp;L C_Oct";#N/A,#N/A,FALSE,"P&amp;L C_Sep";#N/A,#N/A,FALSE,"1996";#N/A,#N/A,FALSE,"Data"}</definedName>
    <definedName name="foo" hidden="1">{#N/A,#N/A,FALSE,"Bgt";#N/A,#N/A,FALSE,"Act";#N/A,#N/A,FALSE,"Chrt Data";#N/A,#N/A,FALSE,"Bus Result";#N/A,#N/A,FALSE,"Main Charts";#N/A,#N/A,FALSE,"P&amp;L Ttl";#N/A,#N/A,FALSE,"P&amp;L C_Ttl";#N/A,#N/A,FALSE,"P&amp;L C_Oct";#N/A,#N/A,FALSE,"P&amp;L C_Sep";#N/A,#N/A,FALSE,"1996";#N/A,#N/A,FALSE,"Data"}</definedName>
    <definedName name="friend" localSheetId="0" hidden="1">{"PRINT",#N/A,TRUE,"APPA";"PRINT",#N/A,TRUE,"APS";"PRINT",#N/A,TRUE,"BHPL";"PRINT",#N/A,TRUE,"BHPL2";"PRINT",#N/A,TRUE,"CDWR";"PRINT",#N/A,TRUE,"EWEB";"PRINT",#N/A,TRUE,"LADWP";"PRINT",#N/A,TRUE,"NEVBASE"}</definedName>
    <definedName name="friend" localSheetId="1" hidden="1">{"PRINT",#N/A,TRUE,"APPA";"PRINT",#N/A,TRUE,"APS";"PRINT",#N/A,TRUE,"BHPL";"PRINT",#N/A,TRUE,"BHPL2";"PRINT",#N/A,TRUE,"CDWR";"PRINT",#N/A,TRUE,"EWEB";"PRINT",#N/A,TRUE,"LADWP";"PRINT",#N/A,TRUE,"NEVBASE"}</definedName>
    <definedName name="friend" localSheetId="2" hidden="1">{"PRINT",#N/A,TRUE,"APPA";"PRINT",#N/A,TRUE,"APS";"PRINT",#N/A,TRUE,"BHPL";"PRINT",#N/A,TRUE,"BHPL2";"PRINT",#N/A,TRUE,"CDWR";"PRINT",#N/A,TRUE,"EWEB";"PRINT",#N/A,TRUE,"LADWP";"PRINT",#N/A,TRUE,"NEVBASE"}</definedName>
    <definedName name="friend" hidden="1">{"PRINT",#N/A,TRUE,"APPA";"PRINT",#N/A,TRUE,"APS";"PRINT",#N/A,TRUE,"BHPL";"PRINT",#N/A,TRUE,"BHPL2";"PRINT",#N/A,TRUE,"CDWR";"PRINT",#N/A,TRUE,"EWEB";"PRINT",#N/A,TRUE,"LADWP";"PRINT",#N/A,TRUE,"NEVBASE"}</definedName>
    <definedName name="hj" hidden="1">#REF!</definedName>
    <definedName name="HROptim" localSheetId="0" hidden="1">{#N/A,#N/A,FALSE,"Summary";#N/A,#N/A,FALSE,"SmPlants";#N/A,#N/A,FALSE,"Utah";#N/A,#N/A,FALSE,"Idaho";#N/A,#N/A,FALSE,"Lewis River";#N/A,#N/A,FALSE,"NrthUmpq";#N/A,#N/A,FALSE,"KlamRog"}</definedName>
    <definedName name="HROptim" localSheetId="1" hidden="1">{#N/A,#N/A,FALSE,"Summary";#N/A,#N/A,FALSE,"SmPlants";#N/A,#N/A,FALSE,"Utah";#N/A,#N/A,FALSE,"Idaho";#N/A,#N/A,FALSE,"Lewis River";#N/A,#N/A,FALSE,"NrthUmpq";#N/A,#N/A,FALSE,"KlamRog"}</definedName>
    <definedName name="HROptim" localSheetId="2" hidden="1">{#N/A,#N/A,FALSE,"Summary";#N/A,#N/A,FALSE,"SmPlants";#N/A,#N/A,FALSE,"Utah";#N/A,#N/A,FALSE,"Idaho";#N/A,#N/A,FALSE,"Lewis River";#N/A,#N/A,FALSE,"NrthUmpq";#N/A,#N/A,FALSE,"KlamRog"}</definedName>
    <definedName name="HROptim" hidden="1">{#N/A,#N/A,FALSE,"Summary";#N/A,#N/A,FALSE,"SmPlants";#N/A,#N/A,FALSE,"Utah";#N/A,#N/A,FALSE,"Idaho";#N/A,#N/A,FALSE,"Lewis River";#N/A,#N/A,FALSE,"NrthUmpq";#N/A,#N/A,FALSE,"KlamRog"}</definedName>
    <definedName name="inventory" localSheetId="0" hidden="1">{#N/A,#N/A,FALSE,"Summary";#N/A,#N/A,FALSE,"SmPlants";#N/A,#N/A,FALSE,"Utah";#N/A,#N/A,FALSE,"Idaho";#N/A,#N/A,FALSE,"Lewis River";#N/A,#N/A,FALSE,"NrthUmpq";#N/A,#N/A,FALSE,"KlamRog"}</definedName>
    <definedName name="inventory" localSheetId="1" hidden="1">{#N/A,#N/A,FALSE,"Summary";#N/A,#N/A,FALSE,"SmPlants";#N/A,#N/A,FALSE,"Utah";#N/A,#N/A,FALSE,"Idaho";#N/A,#N/A,FALSE,"Lewis River";#N/A,#N/A,FALSE,"NrthUmpq";#N/A,#N/A,FALSE,"KlamRog"}</definedName>
    <definedName name="inventory" localSheetId="2" hidden="1">{#N/A,#N/A,FALSE,"Summary";#N/A,#N/A,FALSE,"SmPlants";#N/A,#N/A,FALSE,"Utah";#N/A,#N/A,FALSE,"Idaho";#N/A,#N/A,FALSE,"Lewis River";#N/A,#N/A,FALSE,"NrthUmpq";#N/A,#N/A,FALSE,"KlamRog"}</definedName>
    <definedName name="inventory" hidden="1">{#N/A,#N/A,FALSE,"Summary";#N/A,#N/A,FALSE,"SmPlants";#N/A,#N/A,FALSE,"Utah";#N/A,#N/A,FALSE,"Idaho";#N/A,#N/A,FALSE,"Lewis River";#N/A,#N/A,FALSE,"NrthUmpq";#N/A,#N/A,FALSE,"KlamRog"}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LATESTK" hidden="1">1000</definedName>
    <definedName name="IQ_LATESTQ" hidden="1">500</definedName>
    <definedName name="IQ_LTMMONTH" hidden="1">120000</definedName>
    <definedName name="IQ_TODAY" hidden="1">0</definedName>
    <definedName name="IQ_YTDMONTH" hidden="1">130000</definedName>
    <definedName name="jfkejflj" localSheetId="0" hidden="1">{0,#N/A,TRUE,0;0,#N/A,TRUE,0;0,#N/A,TRUE,0;0,#N/A,TRUE,0;0,#N/A,TRUE,0;0,#N/A,TRUE,0;0,#N/A,TRUE,0;0,#N/A,TRUE,0}</definedName>
    <definedName name="jfkejflj" localSheetId="1" hidden="1">{0,#N/A,TRUE,0;0,#N/A,TRUE,0;0,#N/A,TRUE,0;0,#N/A,TRUE,0;0,#N/A,TRUE,0;0,#N/A,TRUE,0;0,#N/A,TRUE,0;0,#N/A,TRUE,0}</definedName>
    <definedName name="jfkejflj" localSheetId="2" hidden="1">{0,#N/A,TRUE,0;0,#N/A,TRUE,0;0,#N/A,TRUE,0;0,#N/A,TRUE,0;0,#N/A,TRUE,0;0,#N/A,TRUE,0;0,#N/A,TRUE,0;0,#N/A,TRUE,0}</definedName>
    <definedName name="jfkejflj" hidden="1">{0,#N/A,TRUE,0;0,#N/A,TRUE,0;0,#N/A,TRUE,0;0,#N/A,TRUE,0;0,#N/A,TRUE,0;0,#N/A,TRUE,0;0,#N/A,TRUE,0;0,#N/A,TRUE,0}</definedName>
    <definedName name="jfkjlllje" localSheetId="0" hidden="1">{0,#N/A,TRUE,0;0,#N/A,TRUE,0;0,#N/A,TRUE,0;0,#N/A,TRUE,0;0,#N/A,TRUE,0;0,#N/A,TRUE,0;0,#N/A,TRUE,0;0,#N/A,TRUE,0}</definedName>
    <definedName name="jfkjlllje" localSheetId="1" hidden="1">{0,#N/A,TRUE,0;0,#N/A,TRUE,0;0,#N/A,TRUE,0;0,#N/A,TRUE,0;0,#N/A,TRUE,0;0,#N/A,TRUE,0;0,#N/A,TRUE,0;0,#N/A,TRUE,0}</definedName>
    <definedName name="jfkjlllje" localSheetId="2" hidden="1">{0,#N/A,TRUE,0;0,#N/A,TRUE,0;0,#N/A,TRUE,0;0,#N/A,TRUE,0;0,#N/A,TRUE,0;0,#N/A,TRUE,0;0,#N/A,TRUE,0;0,#N/A,TRUE,0}</definedName>
    <definedName name="jfkjlllje" hidden="1">{0,#N/A,TRUE,0;0,#N/A,TRUE,0;0,#N/A,TRUE,0;0,#N/A,TRUE,0;0,#N/A,TRUE,0;0,#N/A,TRUE,0;0,#N/A,TRUE,0;0,#N/A,TRUE,0}</definedName>
    <definedName name="junk" localSheetId="0" hidden="1">{"PRINT",#N/A,TRUE,"APPA";"PRINT",#N/A,TRUE,"APS";"PRINT",#N/A,TRUE,"BHPL";"PRINT",#N/A,TRUE,"BHPL2";"PRINT",#N/A,TRUE,"CDWR";"PRINT",#N/A,TRUE,"EWEB";"PRINT",#N/A,TRUE,"LADWP";"PRINT",#N/A,TRUE,"NEVBASE"}</definedName>
    <definedName name="junk" localSheetId="1" hidden="1">{"PRINT",#N/A,TRUE,"APPA";"PRINT",#N/A,TRUE,"APS";"PRINT",#N/A,TRUE,"BHPL";"PRINT",#N/A,TRUE,"BHPL2";"PRINT",#N/A,TRUE,"CDWR";"PRINT",#N/A,TRUE,"EWEB";"PRINT",#N/A,TRUE,"LADWP";"PRINT",#N/A,TRUE,"NEVBASE"}</definedName>
    <definedName name="junk" localSheetId="2" hidden="1">{"PRINT",#N/A,TRUE,"APPA";"PRINT",#N/A,TRUE,"APS";"PRINT",#N/A,TRUE,"BHPL";"PRINT",#N/A,TRUE,"BHPL2";"PRINT",#N/A,TRUE,"CDWR";"PRINT",#N/A,TRUE,"EWEB";"PRINT",#N/A,TRUE,"LADWP";"PRINT",#N/A,TRUE,"NEVBASE"}</definedName>
    <definedName name="junk" hidden="1">{"PRINT",#N/A,TRUE,"APPA";"PRINT",#N/A,TRUE,"APS";"PRINT",#N/A,TRUE,"BHPL";"PRINT",#N/A,TRUE,"BHPL2";"PRINT",#N/A,TRUE,"CDWR";"PRINT",#N/A,TRUE,"EWEB";"PRINT",#N/A,TRUE,"LADWP";"PRINT",#N/A,TRUE,"NEVBASE"}</definedName>
    <definedName name="junk1" localSheetId="0" hidden="1">{"PRINT",#N/A,TRUE,"APPA";"PRINT",#N/A,TRUE,"APS";"PRINT",#N/A,TRUE,"BHPL";"PRINT",#N/A,TRUE,"BHPL2";"PRINT",#N/A,TRUE,"CDWR";"PRINT",#N/A,TRUE,"EWEB";"PRINT",#N/A,TRUE,"LADWP";"PRINT",#N/A,TRUE,"NEVBASE"}</definedName>
    <definedName name="junk1" localSheetId="1" hidden="1">{"PRINT",#N/A,TRUE,"APPA";"PRINT",#N/A,TRUE,"APS";"PRINT",#N/A,TRUE,"BHPL";"PRINT",#N/A,TRUE,"BHPL2";"PRINT",#N/A,TRUE,"CDWR";"PRINT",#N/A,TRUE,"EWEB";"PRINT",#N/A,TRUE,"LADWP";"PRINT",#N/A,TRUE,"NEVBASE"}</definedName>
    <definedName name="junk1" localSheetId="2" hidden="1">{"PRINT",#N/A,TRUE,"APPA";"PRINT",#N/A,TRUE,"APS";"PRINT",#N/A,TRUE,"BHPL";"PRINT",#N/A,TRUE,"BHPL2";"PRINT",#N/A,TRUE,"CDWR";"PRINT",#N/A,TRUE,"EWEB";"PRINT",#N/A,TRUE,"LADWP";"PRINT",#N/A,TRUE,"NEVBASE"}</definedName>
    <definedName name="junk1" hidden="1">{"PRINT",#N/A,TRUE,"APPA";"PRINT",#N/A,TRUE,"APS";"PRINT",#N/A,TRUE,"BHPL";"PRINT",#N/A,TRUE,"BHPL2";"PRINT",#N/A,TRUE,"CDWR";"PRINT",#N/A,TRUE,"EWEB";"PRINT",#N/A,TRUE,"LADWP";"PRINT",#N/A,TRUE,"NEVBASE"}</definedName>
    <definedName name="junk2" localSheetId="0" hidden="1">{"PRINT",#N/A,TRUE,"APPA";"PRINT",#N/A,TRUE,"APS";"PRINT",#N/A,TRUE,"BHPL";"PRINT",#N/A,TRUE,"BHPL2";"PRINT",#N/A,TRUE,"CDWR";"PRINT",#N/A,TRUE,"EWEB";"PRINT",#N/A,TRUE,"LADWP";"PRINT",#N/A,TRUE,"NEVBASE"}</definedName>
    <definedName name="junk2" localSheetId="1" hidden="1">{"PRINT",#N/A,TRUE,"APPA";"PRINT",#N/A,TRUE,"APS";"PRINT",#N/A,TRUE,"BHPL";"PRINT",#N/A,TRUE,"BHPL2";"PRINT",#N/A,TRUE,"CDWR";"PRINT",#N/A,TRUE,"EWEB";"PRINT",#N/A,TRUE,"LADWP";"PRINT",#N/A,TRUE,"NEVBASE"}</definedName>
    <definedName name="junk2" localSheetId="2" hidden="1">{"PRINT",#N/A,TRUE,"APPA";"PRINT",#N/A,TRUE,"APS";"PRINT",#N/A,TRUE,"BHPL";"PRINT",#N/A,TRUE,"BHPL2";"PRINT",#N/A,TRUE,"CDWR";"PRINT",#N/A,TRUE,"EWEB";"PRINT",#N/A,TRUE,"LADWP";"PRINT",#N/A,TRUE,"NEVBASE"}</definedName>
    <definedName name="junk2" hidden="1">{"PRINT",#N/A,TRUE,"APPA";"PRINT",#N/A,TRUE,"APS";"PRINT",#N/A,TRUE,"BHPL";"PRINT",#N/A,TRUE,"BHPL2";"PRINT",#N/A,TRUE,"CDWR";"PRINT",#N/A,TRUE,"EWEB";"PRINT",#N/A,TRUE,"LADWP";"PRINT",#N/A,TRUE,"NEVBASE"}</definedName>
    <definedName name="junk3" localSheetId="0" hidden="1">{"PRINT",#N/A,TRUE,"APPA";"PRINT",#N/A,TRUE,"APS";"PRINT",#N/A,TRUE,"BHPL";"PRINT",#N/A,TRUE,"BHPL2";"PRINT",#N/A,TRUE,"CDWR";"PRINT",#N/A,TRUE,"EWEB";"PRINT",#N/A,TRUE,"LADWP";"PRINT",#N/A,TRUE,"NEVBASE"}</definedName>
    <definedName name="junk3" localSheetId="1" hidden="1">{"PRINT",#N/A,TRUE,"APPA";"PRINT",#N/A,TRUE,"APS";"PRINT",#N/A,TRUE,"BHPL";"PRINT",#N/A,TRUE,"BHPL2";"PRINT",#N/A,TRUE,"CDWR";"PRINT",#N/A,TRUE,"EWEB";"PRINT",#N/A,TRUE,"LADWP";"PRINT",#N/A,TRUE,"NEVBASE"}</definedName>
    <definedName name="junk3" localSheetId="2" hidden="1">{"PRINT",#N/A,TRUE,"APPA";"PRINT",#N/A,TRUE,"APS";"PRINT",#N/A,TRUE,"BHPL";"PRINT",#N/A,TRUE,"BHPL2";"PRINT",#N/A,TRUE,"CDWR";"PRINT",#N/A,TRUE,"EWEB";"PRINT",#N/A,TRUE,"LADWP";"PRINT",#N/A,TRUE,"NEVBASE"}</definedName>
    <definedName name="junk3" hidden="1">{"PRINT",#N/A,TRUE,"APPA";"PRINT",#N/A,TRUE,"APS";"PRINT",#N/A,TRUE,"BHPL";"PRINT",#N/A,TRUE,"BHPL2";"PRINT",#N/A,TRUE,"CDWR";"PRINT",#N/A,TRUE,"EWEB";"PRINT",#N/A,TRUE,"LADWP";"PRINT",#N/A,TRUE,"NEVBASE"}</definedName>
    <definedName name="junk4" localSheetId="0" hidden="1">{"PRINT",#N/A,TRUE,"APPA";"PRINT",#N/A,TRUE,"APS";"PRINT",#N/A,TRUE,"BHPL";"PRINT",#N/A,TRUE,"BHPL2";"PRINT",#N/A,TRUE,"CDWR";"PRINT",#N/A,TRUE,"EWEB";"PRINT",#N/A,TRUE,"LADWP";"PRINT",#N/A,TRUE,"NEVBASE"}</definedName>
    <definedName name="junk4" localSheetId="1" hidden="1">{"PRINT",#N/A,TRUE,"APPA";"PRINT",#N/A,TRUE,"APS";"PRINT",#N/A,TRUE,"BHPL";"PRINT",#N/A,TRUE,"BHPL2";"PRINT",#N/A,TRUE,"CDWR";"PRINT",#N/A,TRUE,"EWEB";"PRINT",#N/A,TRUE,"LADWP";"PRINT",#N/A,TRUE,"NEVBASE"}</definedName>
    <definedName name="junk4" localSheetId="2" hidden="1">{"PRINT",#N/A,TRUE,"APPA";"PRINT",#N/A,TRUE,"APS";"PRINT",#N/A,TRUE,"BHPL";"PRINT",#N/A,TRUE,"BHPL2";"PRINT",#N/A,TRUE,"CDWR";"PRINT",#N/A,TRUE,"EWEB";"PRINT",#N/A,TRUE,"LADWP";"PRINT",#N/A,TRUE,"NEVBASE"}</definedName>
    <definedName name="junk4" hidden="1">{"PRINT",#N/A,TRUE,"APPA";"PRINT",#N/A,TRUE,"APS";"PRINT",#N/A,TRUE,"BHPL";"PRINT",#N/A,TRUE,"BHPL2";"PRINT",#N/A,TRUE,"CDWR";"PRINT",#N/A,TRUE,"EWEB";"PRINT",#N/A,TRUE,"LADWP";"PRINT",#N/A,TRUE,"NEVBASE"}</definedName>
    <definedName name="junk5" localSheetId="0" hidden="1">{"PRINT",#N/A,TRUE,"APPA";"PRINT",#N/A,TRUE,"APS";"PRINT",#N/A,TRUE,"BHPL";"PRINT",#N/A,TRUE,"BHPL2";"PRINT",#N/A,TRUE,"CDWR";"PRINT",#N/A,TRUE,"EWEB";"PRINT",#N/A,TRUE,"LADWP";"PRINT",#N/A,TRUE,"NEVBASE"}</definedName>
    <definedName name="junk5" localSheetId="1" hidden="1">{"PRINT",#N/A,TRUE,"APPA";"PRINT",#N/A,TRUE,"APS";"PRINT",#N/A,TRUE,"BHPL";"PRINT",#N/A,TRUE,"BHPL2";"PRINT",#N/A,TRUE,"CDWR";"PRINT",#N/A,TRUE,"EWEB";"PRINT",#N/A,TRUE,"LADWP";"PRINT",#N/A,TRUE,"NEVBASE"}</definedName>
    <definedName name="junk5" localSheetId="2" hidden="1">{"PRINT",#N/A,TRUE,"APPA";"PRINT",#N/A,TRUE,"APS";"PRINT",#N/A,TRUE,"BHPL";"PRINT",#N/A,TRUE,"BHPL2";"PRINT",#N/A,TRUE,"CDWR";"PRINT",#N/A,TRUE,"EWEB";"PRINT",#N/A,TRUE,"LADWP";"PRINT",#N/A,TRUE,"NEVBASE"}</definedName>
    <definedName name="junk5" hidden="1">{"PRINT",#N/A,TRUE,"APPA";"PRINT",#N/A,TRUE,"APS";"PRINT",#N/A,TRUE,"BHPL";"PRINT",#N/A,TRUE,"BHPL2";"PRINT",#N/A,TRUE,"CDWR";"PRINT",#N/A,TRUE,"EWEB";"PRINT",#N/A,TRUE,"LADWP";"PRINT",#N/A,TRUE,"NEVBASE"}</definedName>
    <definedName name="Keep" localSheetId="0" hidden="1">{"PRINT",#N/A,TRUE,"APPA";"PRINT",#N/A,TRUE,"APS";"PRINT",#N/A,TRUE,"BHPL";"PRINT",#N/A,TRUE,"BHPL2";"PRINT",#N/A,TRUE,"CDWR";"PRINT",#N/A,TRUE,"EWEB";"PRINT",#N/A,TRUE,"LADWP";"PRINT",#N/A,TRUE,"NEVBASE"}</definedName>
    <definedName name="Keep" localSheetId="1" hidden="1">{"PRINT",#N/A,TRUE,"APPA";"PRINT",#N/A,TRUE,"APS";"PRINT",#N/A,TRUE,"BHPL";"PRINT",#N/A,TRUE,"BHPL2";"PRINT",#N/A,TRUE,"CDWR";"PRINT",#N/A,TRUE,"EWEB";"PRINT",#N/A,TRUE,"LADWP";"PRINT",#N/A,TRUE,"NEVBASE"}</definedName>
    <definedName name="Keep" localSheetId="2" hidden="1">{"PRINT",#N/A,TRUE,"APPA";"PRINT",#N/A,TRUE,"APS";"PRINT",#N/A,TRUE,"BHPL";"PRINT",#N/A,TRUE,"BHPL2";"PRINT",#N/A,TRUE,"CDWR";"PRINT",#N/A,TRUE,"EWEB";"PRINT",#N/A,TRUE,"LADWP";"PRINT",#N/A,TRUE,"NEVBASE"}</definedName>
    <definedName name="Keep" hidden="1">{"PRINT",#N/A,TRUE,"APPA";"PRINT",#N/A,TRUE,"APS";"PRINT",#N/A,TRUE,"BHPL";"PRINT",#N/A,TRUE,"BHPL2";"PRINT",#N/A,TRUE,"CDWR";"PRINT",#N/A,TRUE,"EWEB";"PRINT",#N/A,TRUE,"LADWP";"PRINT",#N/A,TRUE,"NEVBASE"}</definedName>
    <definedName name="keep2" localSheetId="0" hidden="1">{"PRINT",#N/A,TRUE,"APPA";"PRINT",#N/A,TRUE,"APS";"PRINT",#N/A,TRUE,"BHPL";"PRINT",#N/A,TRUE,"BHPL2";"PRINT",#N/A,TRUE,"CDWR";"PRINT",#N/A,TRUE,"EWEB";"PRINT",#N/A,TRUE,"LADWP";"PRINT",#N/A,TRUE,"NEVBASE"}</definedName>
    <definedName name="keep2" localSheetId="1" hidden="1">{"PRINT",#N/A,TRUE,"APPA";"PRINT",#N/A,TRUE,"APS";"PRINT",#N/A,TRUE,"BHPL";"PRINT",#N/A,TRUE,"BHPL2";"PRINT",#N/A,TRUE,"CDWR";"PRINT",#N/A,TRUE,"EWEB";"PRINT",#N/A,TRUE,"LADWP";"PRINT",#N/A,TRUE,"NEVBASE"}</definedName>
    <definedName name="keep2" localSheetId="2" hidden="1">{"PRINT",#N/A,TRUE,"APPA";"PRINT",#N/A,TRUE,"APS";"PRINT",#N/A,TRUE,"BHPL";"PRINT",#N/A,TRUE,"BHPL2";"PRINT",#N/A,TRUE,"CDWR";"PRINT",#N/A,TRUE,"EWEB";"PRINT",#N/A,TRUE,"LADWP";"PRINT",#N/A,TRUE,"NEVBASE"}</definedName>
    <definedName name="keep2" hidden="1">{"PRINT",#N/A,TRUE,"APPA";"PRINT",#N/A,TRUE,"APS";"PRINT",#N/A,TRUE,"BHPL";"PRINT",#N/A,TRUE,"BHPL2";"PRINT",#N/A,TRUE,"CDWR";"PRINT",#N/A,TRUE,"EWEB";"PRINT",#N/A,TRUE,"LADWP";"PRINT",#N/A,TRUE,"NEVBASE"}</definedName>
    <definedName name="limcount" hidden="1">1</definedName>
    <definedName name="ListOffset" hidden="1">1</definedName>
    <definedName name="Master" localSheetId="0" hidden="1">{#N/A,#N/A,FALSE,"Actual";#N/A,#N/A,FALSE,"Normalized";#N/A,#N/A,FALSE,"Electric Actual";#N/A,#N/A,FALSE,"Electric Normalized"}</definedName>
    <definedName name="Master" localSheetId="1" hidden="1">{#N/A,#N/A,FALSE,"Actual";#N/A,#N/A,FALSE,"Normalized";#N/A,#N/A,FALSE,"Electric Actual";#N/A,#N/A,FALSE,"Electric Normalized"}</definedName>
    <definedName name="Master" localSheetId="2" hidden="1">{#N/A,#N/A,FALSE,"Actual";#N/A,#N/A,FALSE,"Normalized";#N/A,#N/A,FALSE,"Electric Actual";#N/A,#N/A,FALSE,"Electric Normalized"}</definedName>
    <definedName name="Master" hidden="1">{#N/A,#N/A,FALSE,"Actual";#N/A,#N/A,FALSE,"Normalized";#N/A,#N/A,FALSE,"Electric Actual";#N/A,#N/A,FALSE,"Electric Normalized"}</definedName>
    <definedName name="mmm" localSheetId="0" hidden="1">{"PRINT",#N/A,TRUE,"APPA";"PRINT",#N/A,TRUE,"APS";"PRINT",#N/A,TRUE,"BHPL";"PRINT",#N/A,TRUE,"BHPL2";"PRINT",#N/A,TRUE,"CDWR";"PRINT",#N/A,TRUE,"EWEB";"PRINT",#N/A,TRUE,"LADWP";"PRINT",#N/A,TRUE,"NEVBASE"}</definedName>
    <definedName name="mmm" localSheetId="1" hidden="1">{"PRINT",#N/A,TRUE,"APPA";"PRINT",#N/A,TRUE,"APS";"PRINT",#N/A,TRUE,"BHPL";"PRINT",#N/A,TRUE,"BHPL2";"PRINT",#N/A,TRUE,"CDWR";"PRINT",#N/A,TRUE,"EWEB";"PRINT",#N/A,TRUE,"LADWP";"PRINT",#N/A,TRUE,"NEVBASE"}</definedName>
    <definedName name="mmm" localSheetId="2" hidden="1">{"PRINT",#N/A,TRUE,"APPA";"PRINT",#N/A,TRUE,"APS";"PRINT",#N/A,TRUE,"BHPL";"PRINT",#N/A,TRUE,"BHPL2";"PRINT",#N/A,TRUE,"CDWR";"PRINT",#N/A,TRUE,"EWEB";"PRINT",#N/A,TRUE,"LADWP";"PRINT",#N/A,TRUE,"NEVBASE"}</definedName>
    <definedName name="mmm" hidden="1">{"PRINT",#N/A,TRUE,"APPA";"PRINT",#N/A,TRUE,"APS";"PRINT",#N/A,TRUE,"BHPL";"PRINT",#N/A,TRUE,"BHPL2";"PRINT",#N/A,TRUE,"CDWR";"PRINT",#N/A,TRUE,"EWEB";"PRINT",#N/A,TRUE,"LADWP";"PRINT",#N/A,TRUE,"NEVBASE"}</definedName>
    <definedName name="new" localSheetId="0" hidden="1">{#N/A,#N/A,TRUE,"Section6";#N/A,#N/A,TRUE,"OHcycles";#N/A,#N/A,TRUE,"OHtiming";#N/A,#N/A,TRUE,"OHcosts";#N/A,#N/A,TRUE,"GTdegradation";#N/A,#N/A,TRUE,"GTperformance";#N/A,#N/A,TRUE,"GraphEquip"}</definedName>
    <definedName name="new" localSheetId="1" hidden="1">{#N/A,#N/A,TRUE,"Section6";#N/A,#N/A,TRUE,"OHcycles";#N/A,#N/A,TRUE,"OHtiming";#N/A,#N/A,TRUE,"OHcosts";#N/A,#N/A,TRUE,"GTdegradation";#N/A,#N/A,TRUE,"GTperformance";#N/A,#N/A,TRUE,"GraphEquip"}</definedName>
    <definedName name="new" localSheetId="2" hidden="1">{#N/A,#N/A,TRUE,"Section6";#N/A,#N/A,TRUE,"OHcycles";#N/A,#N/A,TRUE,"OHtiming";#N/A,#N/A,TRUE,"OHcosts";#N/A,#N/A,TRUE,"GTdegradation";#N/A,#N/A,TRUE,"GTperformance";#N/A,#N/A,TRUE,"GraphEquip"}</definedName>
    <definedName name="new" hidden="1">{#N/A,#N/A,TRUE,"Section6";#N/A,#N/A,TRUE,"OHcycles";#N/A,#N/A,TRUE,"OHtiming";#N/A,#N/A,TRUE,"OHcosts";#N/A,#N/A,TRUE,"GTdegradation";#N/A,#N/A,TRUE,"GTperformance";#N/A,#N/A,TRUE,"GraphEquip"}</definedName>
    <definedName name="newcogs" localSheetId="0" hidden="1">{#N/A,#N/A,FALSE,"NI Sum";#N/A,#N/A,FALSE,"EBITDA";#N/A,#N/A,FALSE,"Cap Ex";#N/A,#N/A,FALSE,"Op CFLO Sum";#N/A,#N/A,FALSE,"NI MEC";#N/A,#N/A,FALSE,"EBITDA MEC";#N/A,#N/A,FALSE,"Cap Ex MEC";#N/A,#N/A,FALSE,"Op CFLO MEC Sum";#N/A,#N/A,FALSE,"NI CE";#N/A,#N/A,FALSE,"EBITDA CE";#N/A,#N/A,FALSE,"Cap Ex CE";#N/A,#N/A,FALSE,"Op CFLO CE"}</definedName>
    <definedName name="newcogs" localSheetId="1" hidden="1">{#N/A,#N/A,FALSE,"NI Sum";#N/A,#N/A,FALSE,"EBITDA";#N/A,#N/A,FALSE,"Cap Ex";#N/A,#N/A,FALSE,"Op CFLO Sum";#N/A,#N/A,FALSE,"NI MEC";#N/A,#N/A,FALSE,"EBITDA MEC";#N/A,#N/A,FALSE,"Cap Ex MEC";#N/A,#N/A,FALSE,"Op CFLO MEC Sum";#N/A,#N/A,FALSE,"NI CE";#N/A,#N/A,FALSE,"EBITDA CE";#N/A,#N/A,FALSE,"Cap Ex CE";#N/A,#N/A,FALSE,"Op CFLO CE"}</definedName>
    <definedName name="newcogs" localSheetId="2" hidden="1">{#N/A,#N/A,FALSE,"NI Sum";#N/A,#N/A,FALSE,"EBITDA";#N/A,#N/A,FALSE,"Cap Ex";#N/A,#N/A,FALSE,"Op CFLO Sum";#N/A,#N/A,FALSE,"NI MEC";#N/A,#N/A,FALSE,"EBITDA MEC";#N/A,#N/A,FALSE,"Cap Ex MEC";#N/A,#N/A,FALSE,"Op CFLO MEC Sum";#N/A,#N/A,FALSE,"NI CE";#N/A,#N/A,FALSE,"EBITDA CE";#N/A,#N/A,FALSE,"Cap Ex CE";#N/A,#N/A,FALSE,"Op CFLO CE"}</definedName>
    <definedName name="newcogs" hidden="1">{#N/A,#N/A,FALSE,"NI Sum";#N/A,#N/A,FALSE,"EBITDA";#N/A,#N/A,FALSE,"Cap Ex";#N/A,#N/A,FALSE,"Op CFLO Sum";#N/A,#N/A,FALSE,"NI MEC";#N/A,#N/A,FALSE,"EBITDA MEC";#N/A,#N/A,FALSE,"Cap Ex MEC";#N/A,#N/A,FALSE,"Op CFLO MEC Sum";#N/A,#N/A,FALSE,"NI CE";#N/A,#N/A,FALSE,"EBITDA CE";#N/A,#N/A,FALSE,"Cap Ex CE";#N/A,#N/A,FALSE,"Op CFLO CE"}</definedName>
    <definedName name="OHSch10YR" localSheetId="0" hidden="1">{#N/A,#N/A,FALSE,"Summary";#N/A,#N/A,FALSE,"SmPlants";#N/A,#N/A,FALSE,"Utah";#N/A,#N/A,FALSE,"Idaho";#N/A,#N/A,FALSE,"Lewis River";#N/A,#N/A,FALSE,"NrthUmpq";#N/A,#N/A,FALSE,"KlamRog"}</definedName>
    <definedName name="OHSch10YR" localSheetId="1" hidden="1">{#N/A,#N/A,FALSE,"Summary";#N/A,#N/A,FALSE,"SmPlants";#N/A,#N/A,FALSE,"Utah";#N/A,#N/A,FALSE,"Idaho";#N/A,#N/A,FALSE,"Lewis River";#N/A,#N/A,FALSE,"NrthUmpq";#N/A,#N/A,FALSE,"KlamRog"}</definedName>
    <definedName name="OHSch10YR" localSheetId="2" hidden="1">{#N/A,#N/A,FALSE,"Summary";#N/A,#N/A,FALSE,"SmPlants";#N/A,#N/A,FALSE,"Utah";#N/A,#N/A,FALSE,"Idaho";#N/A,#N/A,FALSE,"Lewis River";#N/A,#N/A,FALSE,"NrthUmpq";#N/A,#N/A,FALSE,"KlamRog"}</definedName>
    <definedName name="OHSch10YR" hidden="1">{#N/A,#N/A,FALSE,"Summary";#N/A,#N/A,FALSE,"SmPlants";#N/A,#N/A,FALSE,"Utah";#N/A,#N/A,FALSE,"Idaho";#N/A,#N/A,FALSE,"Lewis River";#N/A,#N/A,FALSE,"NrthUmpq";#N/A,#N/A,FALSE,"KlamRog"}</definedName>
    <definedName name="om" localSheetId="0" hidden="1">{#N/A,#N/A,FALSE,"Summary";#N/A,#N/A,FALSE,"SmPlants";#N/A,#N/A,FALSE,"Utah";#N/A,#N/A,FALSE,"Idaho";#N/A,#N/A,FALSE,"Lewis River";#N/A,#N/A,FALSE,"NrthUmpq";#N/A,#N/A,FALSE,"KlamRog"}</definedName>
    <definedName name="om" localSheetId="1" hidden="1">{#N/A,#N/A,FALSE,"Summary";#N/A,#N/A,FALSE,"SmPlants";#N/A,#N/A,FALSE,"Utah";#N/A,#N/A,FALSE,"Idaho";#N/A,#N/A,FALSE,"Lewis River";#N/A,#N/A,FALSE,"NrthUmpq";#N/A,#N/A,FALSE,"KlamRog"}</definedName>
    <definedName name="om" localSheetId="2" hidden="1">{#N/A,#N/A,FALSE,"Summary";#N/A,#N/A,FALSE,"SmPlants";#N/A,#N/A,FALSE,"Utah";#N/A,#N/A,FALSE,"Idaho";#N/A,#N/A,FALSE,"Lewis River";#N/A,#N/A,FALSE,"NrthUmpq";#N/A,#N/A,FALSE,"KlamRog"}</definedName>
    <definedName name="om" hidden="1">{#N/A,#N/A,FALSE,"Summary";#N/A,#N/A,FALSE,"SmPlants";#N/A,#N/A,FALSE,"Utah";#N/A,#N/A,FALSE,"Idaho";#N/A,#N/A,FALSE,"Lewis River";#N/A,#N/A,FALSE,"NrthUmpq";#N/A,#N/A,FALSE,"KlamRog"}</definedName>
    <definedName name="others" localSheetId="0" hidden="1">{"Factors Pages 1-2",#N/A,FALSE,"Factors";"Factors Page 3",#N/A,FALSE,"Factors";"Factors Page 4",#N/A,FALSE,"Factors";"Factors Page 5",#N/A,FALSE,"Factors";"Factors Pages 8-27",#N/A,FALSE,"Factors"}</definedName>
    <definedName name="others" localSheetId="1" hidden="1">{"Factors Pages 1-2",#N/A,FALSE,"Factors";"Factors Page 3",#N/A,FALSE,"Factors";"Factors Page 4",#N/A,FALSE,"Factors";"Factors Page 5",#N/A,FALSE,"Factors";"Factors Pages 8-27",#N/A,FALSE,"Factors"}</definedName>
    <definedName name="others" localSheetId="2" hidden="1">{"Factors Pages 1-2",#N/A,FALSE,"Factors";"Factors Page 3",#N/A,FALSE,"Factors";"Factors Page 4",#N/A,FALSE,"Factors";"Factors Page 5",#N/A,FALSE,"Factors";"Factors Pages 8-27",#N/A,FALSE,"Factors"}</definedName>
    <definedName name="others" hidden="1">{"Factors Pages 1-2",#N/A,FALSE,"Factors";"Factors Page 3",#N/A,FALSE,"Factors";"Factors Page 4",#N/A,FALSE,"Factors";"Factors Page 5",#N/A,FALSE,"Factors";"Factors Pages 8-27",#N/A,FALSE,"Factors"}</definedName>
    <definedName name="pete" localSheetId="0" hidden="1">{#N/A,#N/A,FALSE,"Bgt";#N/A,#N/A,FALSE,"Act";#N/A,#N/A,FALSE,"Chrt Data";#N/A,#N/A,FALSE,"Bus Result";#N/A,#N/A,FALSE,"Main Charts";#N/A,#N/A,FALSE,"P&amp;L Ttl";#N/A,#N/A,FALSE,"P&amp;L C_Ttl";#N/A,#N/A,FALSE,"P&amp;L C_Oct";#N/A,#N/A,FALSE,"P&amp;L C_Sep";#N/A,#N/A,FALSE,"1996";#N/A,#N/A,FALSE,"Data"}</definedName>
    <definedName name="pete" localSheetId="1" hidden="1">{#N/A,#N/A,FALSE,"Bgt";#N/A,#N/A,FALSE,"Act";#N/A,#N/A,FALSE,"Chrt Data";#N/A,#N/A,FALSE,"Bus Result";#N/A,#N/A,FALSE,"Main Charts";#N/A,#N/A,FALSE,"P&amp;L Ttl";#N/A,#N/A,FALSE,"P&amp;L C_Ttl";#N/A,#N/A,FALSE,"P&amp;L C_Oct";#N/A,#N/A,FALSE,"P&amp;L C_Sep";#N/A,#N/A,FALSE,"1996";#N/A,#N/A,FALSE,"Data"}</definedName>
    <definedName name="pete" localSheetId="2" hidden="1">{#N/A,#N/A,FALSE,"Bgt";#N/A,#N/A,FALSE,"Act";#N/A,#N/A,FALSE,"Chrt Data";#N/A,#N/A,FALSE,"Bus Result";#N/A,#N/A,FALSE,"Main Charts";#N/A,#N/A,FALSE,"P&amp;L Ttl";#N/A,#N/A,FALSE,"P&amp;L C_Ttl";#N/A,#N/A,FALSE,"P&amp;L C_Oct";#N/A,#N/A,FALSE,"P&amp;L C_Sep";#N/A,#N/A,FALSE,"1996";#N/A,#N/A,FALSE,"Data"}</definedName>
    <definedName name="pete" hidden="1">{#N/A,#N/A,FALSE,"Bgt";#N/A,#N/A,FALSE,"Act";#N/A,#N/A,FALSE,"Chrt Data";#N/A,#N/A,FALSE,"Bus Result";#N/A,#N/A,FALSE,"Main Charts";#N/A,#N/A,FALSE,"P&amp;L Ttl";#N/A,#N/A,FALSE,"P&amp;L C_Ttl";#N/A,#N/A,FALSE,"P&amp;L C_Oct";#N/A,#N/A,FALSE,"P&amp;L C_Sep";#N/A,#N/A,FALSE,"1996";#N/A,#N/A,FALSE,"Data"}</definedName>
    <definedName name="PricingInfo" localSheetId="0" hidden="1">#REF!</definedName>
    <definedName name="PricingInfo" localSheetId="1" hidden="1">#REF!</definedName>
    <definedName name="PricingInfo" localSheetId="2" hidden="1">#REF!</definedName>
    <definedName name="PricingInfo" hidden="1">#REF!</definedName>
    <definedName name="_xlnm.Print_Area" localSheetId="3">'Rate Design'!$A$1:$M$1285</definedName>
    <definedName name="_xlnm.Print_Area" localSheetId="0">'Rate Impact-GRC Incremental'!$A$1:$Q$52</definedName>
    <definedName name="_xlnm.Print_Area" localSheetId="1">'Rate Impact-GRC Total'!$A$1:$Q$52</definedName>
    <definedName name="_xlnm.Print_Area" localSheetId="2">'Rate Spread'!$A$1:$S$72</definedName>
    <definedName name="_xlnm.Print_Area" localSheetId="4">'Sch31-32 Rate'!$A$1:$L$112</definedName>
    <definedName name="qw" hidden="1">#REF!</definedName>
    <definedName name="retail" localSheetId="0" hidden="1">{#N/A,#N/A,FALSE,"Loans";#N/A,#N/A,FALSE,"Program Costs";#N/A,#N/A,FALSE,"Measures";#N/A,#N/A,FALSE,"Net Lost Rev";#N/A,#N/A,FALSE,"Incentive"}</definedName>
    <definedName name="retail" localSheetId="1" hidden="1">{#N/A,#N/A,FALSE,"Loans";#N/A,#N/A,FALSE,"Program Costs";#N/A,#N/A,FALSE,"Measures";#N/A,#N/A,FALSE,"Net Lost Rev";#N/A,#N/A,FALSE,"Incentive"}</definedName>
    <definedName name="retail" localSheetId="2" hidden="1">{#N/A,#N/A,FALSE,"Loans";#N/A,#N/A,FALSE,"Program Costs";#N/A,#N/A,FALSE,"Measures";#N/A,#N/A,FALSE,"Net Lost Rev";#N/A,#N/A,FALSE,"Incentive"}</definedName>
    <definedName name="retail" hidden="1">{#N/A,#N/A,FALSE,"Loans";#N/A,#N/A,FALSE,"Program Costs";#N/A,#N/A,FALSE,"Measures";#N/A,#N/A,FALSE,"Net Lost Rev";#N/A,#N/A,FALSE,"Incentive"}</definedName>
    <definedName name="retail_CC" localSheetId="3" hidden="1">{#N/A,#N/A,FALSE,"Loans";#N/A,#N/A,FALSE,"Program Costs";#N/A,#N/A,FALSE,"Measures";#N/A,#N/A,FALSE,"Net Lost Rev";#N/A,#N/A,FALSE,"Incentive"}</definedName>
    <definedName name="retail_CC" localSheetId="0" hidden="1">{#N/A,#N/A,FALSE,"Loans";#N/A,#N/A,FALSE,"Program Costs";#N/A,#N/A,FALSE,"Measures";#N/A,#N/A,FALSE,"Net Lost Rev";#N/A,#N/A,FALSE,"Incentive"}</definedName>
    <definedName name="retail_CC" localSheetId="1" hidden="1">{#N/A,#N/A,FALSE,"Loans";#N/A,#N/A,FALSE,"Program Costs";#N/A,#N/A,FALSE,"Measures";#N/A,#N/A,FALSE,"Net Lost Rev";#N/A,#N/A,FALSE,"Incentive"}</definedName>
    <definedName name="retail_CC" localSheetId="2" hidden="1">{#N/A,#N/A,FALSE,"Loans";#N/A,#N/A,FALSE,"Program Costs";#N/A,#N/A,FALSE,"Measures";#N/A,#N/A,FALSE,"Net Lost Rev";#N/A,#N/A,FALSE,"Incentive"}</definedName>
    <definedName name="retail_CC" hidden="1">{#N/A,#N/A,FALSE,"Loans";#N/A,#N/A,FALSE,"Program Costs";#N/A,#N/A,FALSE,"Measures";#N/A,#N/A,FALSE,"Net Lost Rev";#N/A,#N/A,FALSE,"Incentive"}</definedName>
    <definedName name="retail_CC1" localSheetId="3" hidden="1">{#N/A,#N/A,FALSE,"Loans";#N/A,#N/A,FALSE,"Program Costs";#N/A,#N/A,FALSE,"Measures";#N/A,#N/A,FALSE,"Net Lost Rev";#N/A,#N/A,FALSE,"Incentive"}</definedName>
    <definedName name="retail_CC1" localSheetId="0" hidden="1">{#N/A,#N/A,FALSE,"Loans";#N/A,#N/A,FALSE,"Program Costs";#N/A,#N/A,FALSE,"Measures";#N/A,#N/A,FALSE,"Net Lost Rev";#N/A,#N/A,FALSE,"Incentive"}</definedName>
    <definedName name="retail_CC1" localSheetId="1" hidden="1">{#N/A,#N/A,FALSE,"Loans";#N/A,#N/A,FALSE,"Program Costs";#N/A,#N/A,FALSE,"Measures";#N/A,#N/A,FALSE,"Net Lost Rev";#N/A,#N/A,FALSE,"Incentive"}</definedName>
    <definedName name="retail_CC1" localSheetId="2" hidden="1">{#N/A,#N/A,FALSE,"Loans";#N/A,#N/A,FALSE,"Program Costs";#N/A,#N/A,FALSE,"Measures";#N/A,#N/A,FALSE,"Net Lost Rev";#N/A,#N/A,FALSE,"Incentive"}</definedName>
    <definedName name="retail_CC1" hidden="1">{#N/A,#N/A,FALSE,"Loans";#N/A,#N/A,FALSE,"Program Costs";#N/A,#N/A,FALSE,"Measures";#N/A,#N/A,FALSE,"Net Lost Rev";#N/A,#N/A,FALSE,"Incentive"}</definedName>
    <definedName name="rrr" localSheetId="0" hidden="1">{"PRINT",#N/A,TRUE,"APPA";"PRINT",#N/A,TRUE,"APS";"PRINT",#N/A,TRUE,"BHPL";"PRINT",#N/A,TRUE,"BHPL2";"PRINT",#N/A,TRUE,"CDWR";"PRINT",#N/A,TRUE,"EWEB";"PRINT",#N/A,TRUE,"LADWP";"PRINT",#N/A,TRUE,"NEVBASE"}</definedName>
    <definedName name="rrr" localSheetId="1" hidden="1">{"PRINT",#N/A,TRUE,"APPA";"PRINT",#N/A,TRUE,"APS";"PRINT",#N/A,TRUE,"BHPL";"PRINT",#N/A,TRUE,"BHPL2";"PRINT",#N/A,TRUE,"CDWR";"PRINT",#N/A,TRUE,"EWEB";"PRINT",#N/A,TRUE,"LADWP";"PRINT",#N/A,TRUE,"NEVBASE"}</definedName>
    <definedName name="rrr" localSheetId="2" hidden="1">{"PRINT",#N/A,TRUE,"APPA";"PRINT",#N/A,TRUE,"APS";"PRINT",#N/A,TRUE,"BHPL";"PRINT",#N/A,TRUE,"BHPL2";"PRINT",#N/A,TRUE,"CDWR";"PRINT",#N/A,TRUE,"EWEB";"PRINT",#N/A,TRUE,"LADWP";"PRINT",#N/A,TRUE,"NEVBASE"}</definedName>
    <definedName name="rrr" hidden="1">{"PRINT",#N/A,TRUE,"APPA";"PRINT",#N/A,TRUE,"APS";"PRINT",#N/A,TRUE,"BHPL";"PRINT",#N/A,TRUE,"BHPL2";"PRINT",#N/A,TRUE,"CDWR";"PRINT",#N/A,TRUE,"EWEB";"PRINT",#N/A,TRUE,"LADWP";"PRINT",#N/A,TRUE,"NEVBASE"}</definedName>
    <definedName name="SAPBEXrevision" hidden="1">1</definedName>
    <definedName name="SAPBEXsysID" hidden="1">"BWP"</definedName>
    <definedName name="SAPBEXwbID" hidden="1">"45EQYSCWE9WJMGB34OOD1BOQZ"</definedName>
    <definedName name="shit" localSheetId="0" hidden="1">{"PRINT",#N/A,TRUE,"APPA";"PRINT",#N/A,TRUE,"APS";"PRINT",#N/A,TRUE,"BHPL";"PRINT",#N/A,TRUE,"BHPL2";"PRINT",#N/A,TRUE,"CDWR";"PRINT",#N/A,TRUE,"EWEB";"PRINT",#N/A,TRUE,"LADWP";"PRINT",#N/A,TRUE,"NEVBASE"}</definedName>
    <definedName name="shit" localSheetId="1" hidden="1">{"PRINT",#N/A,TRUE,"APPA";"PRINT",#N/A,TRUE,"APS";"PRINT",#N/A,TRUE,"BHPL";"PRINT",#N/A,TRUE,"BHPL2";"PRINT",#N/A,TRUE,"CDWR";"PRINT",#N/A,TRUE,"EWEB";"PRINT",#N/A,TRUE,"LADWP";"PRINT",#N/A,TRUE,"NEVBASE"}</definedName>
    <definedName name="shit" localSheetId="2" hidden="1">{"PRINT",#N/A,TRUE,"APPA";"PRINT",#N/A,TRUE,"APS";"PRINT",#N/A,TRUE,"BHPL";"PRINT",#N/A,TRUE,"BHPL2";"PRINT",#N/A,TRUE,"CDWR";"PRINT",#N/A,TRUE,"EWEB";"PRINT",#N/A,TRUE,"LADWP";"PRINT",#N/A,TRUE,"NEVBASE"}</definedName>
    <definedName name="shit" hidden="1">{"PRINT",#N/A,TRUE,"APPA";"PRINT",#N/A,TRUE,"APS";"PRINT",#N/A,TRUE,"BHPL";"PRINT",#N/A,TRUE,"BHPL2";"PRINT",#N/A,TRUE,"CDWR";"PRINT",#N/A,TRUE,"EWEB";"PRINT",#N/A,TRUE,"LADWP";"PRINT",#N/A,TRUE,"NEVBASE"}</definedName>
    <definedName name="solver_adj" localSheetId="3" hidden="1">'Rate Design'!#REF!</definedName>
    <definedName name="solver_cvg" localSheetId="3" hidden="1">0.001</definedName>
    <definedName name="solver_drv" localSheetId="3" hidden="1">1</definedName>
    <definedName name="solver_est" localSheetId="3" hidden="1">1</definedName>
    <definedName name="solver_itr" localSheetId="3" hidden="1">100</definedName>
    <definedName name="solver_lin" localSheetId="3" hidden="1">2</definedName>
    <definedName name="solver_neg" localSheetId="3" hidden="1">2</definedName>
    <definedName name="solver_num" localSheetId="3" hidden="1">0</definedName>
    <definedName name="solver_nwt" localSheetId="3" hidden="1">1</definedName>
    <definedName name="solver_opt" localSheetId="3" hidden="1">'Rate Design'!#REF!</definedName>
    <definedName name="solver_pre" localSheetId="3" hidden="1">0.000001</definedName>
    <definedName name="solver_scl" localSheetId="3" hidden="1">2</definedName>
    <definedName name="solver_sho" localSheetId="3" hidden="1">2</definedName>
    <definedName name="solver_tim" localSheetId="3" hidden="1">100</definedName>
    <definedName name="solver_tol" localSheetId="3" hidden="1">0.05</definedName>
    <definedName name="solver_typ" localSheetId="3" hidden="1">2</definedName>
    <definedName name="solver_val" localSheetId="3" hidden="1">0</definedName>
    <definedName name="SpecMaint" localSheetId="0" hidden="1">{#N/A,#N/A,FALSE,"Summary";#N/A,#N/A,FALSE,"SmPlants";#N/A,#N/A,FALSE,"Utah";#N/A,#N/A,FALSE,"Idaho";#N/A,#N/A,FALSE,"Lewis River";#N/A,#N/A,FALSE,"NrthUmpq";#N/A,#N/A,FALSE,"KlamRog"}</definedName>
    <definedName name="SpecMaint" localSheetId="1" hidden="1">{#N/A,#N/A,FALSE,"Summary";#N/A,#N/A,FALSE,"SmPlants";#N/A,#N/A,FALSE,"Utah";#N/A,#N/A,FALSE,"Idaho";#N/A,#N/A,FALSE,"Lewis River";#N/A,#N/A,FALSE,"NrthUmpq";#N/A,#N/A,FALSE,"KlamRog"}</definedName>
    <definedName name="SpecMaint" localSheetId="2" hidden="1">{#N/A,#N/A,FALSE,"Summary";#N/A,#N/A,FALSE,"SmPlants";#N/A,#N/A,FALSE,"Utah";#N/A,#N/A,FALSE,"Idaho";#N/A,#N/A,FALSE,"Lewis River";#N/A,#N/A,FALSE,"NrthUmpq";#N/A,#N/A,FALSE,"KlamRog"}</definedName>
    <definedName name="SpecMaint" hidden="1">{#N/A,#N/A,FALSE,"Summary";#N/A,#N/A,FALSE,"SmPlants";#N/A,#N/A,FALSE,"Utah";#N/A,#N/A,FALSE,"Idaho";#N/A,#N/A,FALSE,"Lewis River";#N/A,#N/A,FALSE,"NrthUmpq";#N/A,#N/A,FALSE,"KlamRog"}</definedName>
    <definedName name="spippw" localSheetId="0" hidden="1">{#N/A,#N/A,FALSE,"Actual";#N/A,#N/A,FALSE,"Normalized";#N/A,#N/A,FALSE,"Electric Actual";#N/A,#N/A,FALSE,"Electric Normalized"}</definedName>
    <definedName name="spippw" localSheetId="1" hidden="1">{#N/A,#N/A,FALSE,"Actual";#N/A,#N/A,FALSE,"Normalized";#N/A,#N/A,FALSE,"Electric Actual";#N/A,#N/A,FALSE,"Electric Normalized"}</definedName>
    <definedName name="spippw" localSheetId="2" hidden="1">{#N/A,#N/A,FALSE,"Actual";#N/A,#N/A,FALSE,"Normalized";#N/A,#N/A,FALSE,"Electric Actual";#N/A,#N/A,FALSE,"Electric Normalized"}</definedName>
    <definedName name="spippw" hidden="1">{#N/A,#N/A,FALSE,"Actual";#N/A,#N/A,FALSE,"Normalized";#N/A,#N/A,FALSE,"Electric Actual";#N/A,#N/A,FALSE,"Electric Normalized"}</definedName>
    <definedName name="ss" localSheetId="0" hidden="1">{"PRINT",#N/A,TRUE,"APPA";"PRINT",#N/A,TRUE,"APS";"PRINT",#N/A,TRUE,"BHPL";"PRINT",#N/A,TRUE,"BHPL2";"PRINT",#N/A,TRUE,"CDWR";"PRINT",#N/A,TRUE,"EWEB";"PRINT",#N/A,TRUE,"LADWP";"PRINT",#N/A,TRUE,"NEVBASE"}</definedName>
    <definedName name="ss" localSheetId="1" hidden="1">{"PRINT",#N/A,TRUE,"APPA";"PRINT",#N/A,TRUE,"APS";"PRINT",#N/A,TRUE,"BHPL";"PRINT",#N/A,TRUE,"BHPL2";"PRINT",#N/A,TRUE,"CDWR";"PRINT",#N/A,TRUE,"EWEB";"PRINT",#N/A,TRUE,"LADWP";"PRINT",#N/A,TRUE,"NEVBASE"}</definedName>
    <definedName name="ss" localSheetId="2" hidden="1">{"PRINT",#N/A,TRUE,"APPA";"PRINT",#N/A,TRUE,"APS";"PRINT",#N/A,TRUE,"BHPL";"PRINT",#N/A,TRUE,"BHPL2";"PRINT",#N/A,TRUE,"CDWR";"PRINT",#N/A,TRUE,"EWEB";"PRINT",#N/A,TRUE,"LADWP";"PRINT",#N/A,TRUE,"NEVBASE"}</definedName>
    <definedName name="ss" hidden="1">{"PRINT",#N/A,TRUE,"APPA";"PRINT",#N/A,TRUE,"APS";"PRINT",#N/A,TRUE,"BHPL";"PRINT",#N/A,TRUE,"BHPL2";"PRINT",#N/A,TRUE,"CDWR";"PRINT",#N/A,TRUE,"EWEB";"PRINT",#N/A,TRUE,"LADWP";"PRINT",#N/A,TRUE,"NEVBASE"}</definedName>
    <definedName name="standard1" localSheetId="0" hidden="1">{"YTD-Total",#N/A,FALSE,"Provision"}</definedName>
    <definedName name="standard1" localSheetId="1" hidden="1">{"YTD-Total",#N/A,FALSE,"Provision"}</definedName>
    <definedName name="standard1" localSheetId="2" hidden="1">{"YTD-Total",#N/A,FALSE,"Provision"}</definedName>
    <definedName name="standard1" hidden="1">{"YTD-Total",#N/A,FALSE,"Provision"}</definedName>
    <definedName name="temp" hidden="1">{#N/A,#N/A,FALSE,"Summary";#N/A,#N/A,FALSE,"SmPlants";#N/A,#N/A,FALSE,"Utah";#N/A,#N/A,FALSE,"Idaho";#N/A,#N/A,FALSE,"Lewis River";#N/A,#N/A,FALSE,"NrthUmpq";#N/A,#N/A,FALSE,"KlamRog"}</definedName>
    <definedName name="UNI_FILT_OFFSPEC" hidden="1">2</definedName>
    <definedName name="UNI_FILT_ONSPEC" hidden="1">1</definedName>
    <definedName name="UNI_NOTHING" hidden="1">0</definedName>
    <definedName name="UNI_PRES_FILTER" hidden="1">1</definedName>
    <definedName name="UNI_PRES_HEADINGS" hidden="1">16</definedName>
    <definedName name="UNI_PRES_INVERT" hidden="1">2</definedName>
    <definedName name="UNI_PRES_MATRIX" hidden="1">4</definedName>
    <definedName name="UNI_PRES_MERGED" hidden="1">8</definedName>
    <definedName name="UNI_PRES_OUTLIERS" hidden="1">32</definedName>
    <definedName name="UNI_RET_ATTRIB" hidden="1">64</definedName>
    <definedName name="UNI_RET_CONF" hidden="1">32</definedName>
    <definedName name="UNI_RET_DESC" hidden="1">4</definedName>
    <definedName name="UNI_RET_EQUIP" hidden="1">1</definedName>
    <definedName name="UNI_RET_OFFSPEC" hidden="1">512</definedName>
    <definedName name="UNI_RET_ONSPEC" hidden="1">256</definedName>
    <definedName name="UNI_RET_PROP" hidden="1">32</definedName>
    <definedName name="UNI_RET_PROPDESC" hidden="1">64</definedName>
    <definedName name="UNI_RET_SMPLPNT" hidden="1">4</definedName>
    <definedName name="UNI_RET_SPECMAX" hidden="1">2048</definedName>
    <definedName name="UNI_RET_SPECMIN" hidden="1">1024</definedName>
    <definedName name="UNI_RET_TAG" hidden="1">1</definedName>
    <definedName name="UNI_RET_TESTTIME" hidden="1">128</definedName>
    <definedName name="UNI_RET_TIME" hidden="1">8</definedName>
    <definedName name="UNI_RET_UNIT" hidden="1">2</definedName>
    <definedName name="UNI_RET_VALUE" hidden="1">16</definedName>
    <definedName name="w" localSheetId="0" hidden="1">#REF!</definedName>
    <definedName name="w" localSheetId="1" hidden="1">#REF!</definedName>
    <definedName name="w" localSheetId="2" hidden="1">#REF!</definedName>
    <definedName name="w" hidden="1">#REF!</definedName>
    <definedName name="we" hidden="1">#REF!</definedName>
    <definedName name="wrn.1996._.Hydro._.5._.Year._.Forecast._.Budget." localSheetId="0" hidden="1">{#N/A,#N/A,FALSE,"Summary";#N/A,#N/A,FALSE,"SmPlants";#N/A,#N/A,FALSE,"Utah";#N/A,#N/A,FALSE,"Idaho";#N/A,#N/A,FALSE,"Lewis River";#N/A,#N/A,FALSE,"NrthUmpq";#N/A,#N/A,FALSE,"KlamRog"}</definedName>
    <definedName name="wrn.1996._.Hydro._.5._.Year._.Forecast._.Budget." localSheetId="1" hidden="1">{#N/A,#N/A,FALSE,"Summary";#N/A,#N/A,FALSE,"SmPlants";#N/A,#N/A,FALSE,"Utah";#N/A,#N/A,FALSE,"Idaho";#N/A,#N/A,FALSE,"Lewis River";#N/A,#N/A,FALSE,"NrthUmpq";#N/A,#N/A,FALSE,"KlamRog"}</definedName>
    <definedName name="wrn.1996._.Hydro._.5._.Year._.Forecast._.Budget." localSheetId="2" hidden="1">{#N/A,#N/A,FALSE,"Summary";#N/A,#N/A,FALSE,"SmPlants";#N/A,#N/A,FALSE,"Utah";#N/A,#N/A,FALSE,"Idaho";#N/A,#N/A,FALSE,"Lewis River";#N/A,#N/A,FALSE,"NrthUmpq";#N/A,#N/A,FALSE,"KlamRog"}</definedName>
    <definedName name="wrn.1996._.Hydro._.5._.Year._.Forecast._.Budget." hidden="1">{#N/A,#N/A,FALSE,"Summary";#N/A,#N/A,FALSE,"SmPlants";#N/A,#N/A,FALSE,"Utah";#N/A,#N/A,FALSE,"Idaho";#N/A,#N/A,FALSE,"Lewis River";#N/A,#N/A,FALSE,"NrthUmpq";#N/A,#N/A,FALSE,"KlamRog"}</definedName>
    <definedName name="wrn.Adj._.Back_Up." localSheetId="0" hidden="1">{"Page 3.4.1",#N/A,FALSE,"Totals";"Page 3.4.2",#N/A,FALSE,"Totals"}</definedName>
    <definedName name="wrn.Adj._.Back_Up." localSheetId="1" hidden="1">{"Page 3.4.1",#N/A,FALSE,"Totals";"Page 3.4.2",#N/A,FALSE,"Totals"}</definedName>
    <definedName name="wrn.Adj._.Back_Up." localSheetId="2" hidden="1">{"Page 3.4.1",#N/A,FALSE,"Totals";"Page 3.4.2",#N/A,FALSE,"Totals"}</definedName>
    <definedName name="wrn.Adj._.Back_Up." hidden="1">{"Page 3.4.1",#N/A,FALSE,"Totals";"Page 3.4.2",#N/A,FALSE,"Totals"}</definedName>
    <definedName name="wrn.ALL." localSheetId="0" hidden="1">{#N/A,#N/A,FALSE,"Summary EPS";#N/A,#N/A,FALSE,"1st Qtr Electric";#N/A,#N/A,FALSE,"1st Qtr Australia";#N/A,#N/A,FALSE,"1st Qtr Telecom";#N/A,#N/A,FALSE,"1st QTR Other"}</definedName>
    <definedName name="wrn.ALL." localSheetId="1" hidden="1">{#N/A,#N/A,FALSE,"Summary EPS";#N/A,#N/A,FALSE,"1st Qtr Electric";#N/A,#N/A,FALSE,"1st Qtr Australia";#N/A,#N/A,FALSE,"1st Qtr Telecom";#N/A,#N/A,FALSE,"1st QTR Other"}</definedName>
    <definedName name="wrn.ALL." localSheetId="2" hidden="1">{#N/A,#N/A,FALSE,"Summary EPS";#N/A,#N/A,FALSE,"1st Qtr Electric";#N/A,#N/A,FALSE,"1st Qtr Australia";#N/A,#N/A,FALSE,"1st Qtr Telecom";#N/A,#N/A,FALSE,"1st QTR Other"}</definedName>
    <definedName name="wrn.ALL." hidden="1">{#N/A,#N/A,FALSE,"Summary EPS";#N/A,#N/A,FALSE,"1st Qtr Electric";#N/A,#N/A,FALSE,"1st Qtr Australia";#N/A,#N/A,FALSE,"1st Qtr Telecom";#N/A,#N/A,FALSE,"1st QTR Other"}</definedName>
    <definedName name="wrn.All._.BSs._.and._.JEs." localSheetId="0" hidden="1">{#N/A,#N/A,FALSE,"Top level";#N/A,#N/A,FALSE,"Top level JEs";#N/A,#N/A,FALSE,"PHI";#N/A,#N/A,FALSE,"PHI JEs";#N/A,#N/A,FALSE,"PacifiCorp";#N/A,#N/A,FALSE,"PacifiCorp JEs";#N/A,#N/A,FALSE,"PGHC";#N/A,#N/A,FALSE,"PGHC JEs";#N/A,#N/A,FALSE,"Domestic"}</definedName>
    <definedName name="wrn.All._.BSs._.and._.JEs." localSheetId="1" hidden="1">{#N/A,#N/A,FALSE,"Top level";#N/A,#N/A,FALSE,"Top level JEs";#N/A,#N/A,FALSE,"PHI";#N/A,#N/A,FALSE,"PHI JEs";#N/A,#N/A,FALSE,"PacifiCorp";#N/A,#N/A,FALSE,"PacifiCorp JEs";#N/A,#N/A,FALSE,"PGHC";#N/A,#N/A,FALSE,"PGHC JEs";#N/A,#N/A,FALSE,"Domestic"}</definedName>
    <definedName name="wrn.All._.BSs._.and._.JEs." localSheetId="2" hidden="1">{#N/A,#N/A,FALSE,"Top level";#N/A,#N/A,FALSE,"Top level JEs";#N/A,#N/A,FALSE,"PHI";#N/A,#N/A,FALSE,"PHI JEs";#N/A,#N/A,FALSE,"PacifiCorp";#N/A,#N/A,FALSE,"PacifiCorp JEs";#N/A,#N/A,FALSE,"PGHC";#N/A,#N/A,FALSE,"PGHC JEs";#N/A,#N/A,FALSE,"Domestic"}</definedName>
    <definedName name="wrn.All._.BSs._.and._.JEs." hidden="1">{#N/A,#N/A,FALSE,"Top level";#N/A,#N/A,FALSE,"Top level JEs";#N/A,#N/A,FALSE,"PHI";#N/A,#N/A,FALSE,"PHI JEs";#N/A,#N/A,FALSE,"PacifiCorp";#N/A,#N/A,FALSE,"PacifiCorp JEs";#N/A,#N/A,FALSE,"PGHC";#N/A,#N/A,FALSE,"PGHC JEs";#N/A,#N/A,FALSE,"Domestic"}</definedName>
    <definedName name="wrn.All._.but._.Syn._.and._.JE." localSheetId="0" hidden="1">{#N/A,#N/A,FALSE,"June 01 Mapping";#N/A,#N/A,FALSE,"June 01 conv";#N/A,#N/A,FALSE,"reclass";#N/A,#N/A,FALSE,"US FV";#N/A,#N/A,FALSE,"UK FV";#N/A,#N/A,FALSE,"UK GAAP"}</definedName>
    <definedName name="wrn.All._.but._.Syn._.and._.JE." localSheetId="1" hidden="1">{#N/A,#N/A,FALSE,"June 01 Mapping";#N/A,#N/A,FALSE,"June 01 conv";#N/A,#N/A,FALSE,"reclass";#N/A,#N/A,FALSE,"US FV";#N/A,#N/A,FALSE,"UK FV";#N/A,#N/A,FALSE,"UK GAAP"}</definedName>
    <definedName name="wrn.All._.but._.Syn._.and._.JE." localSheetId="2" hidden="1">{#N/A,#N/A,FALSE,"June 01 Mapping";#N/A,#N/A,FALSE,"June 01 conv";#N/A,#N/A,FALSE,"reclass";#N/A,#N/A,FALSE,"US FV";#N/A,#N/A,FALSE,"UK FV";#N/A,#N/A,FALSE,"UK GAAP"}</definedName>
    <definedName name="wrn.All._.but._.Syn._.and._.JE." hidden="1">{#N/A,#N/A,FALSE,"June 01 Mapping";#N/A,#N/A,FALSE,"June 01 conv";#N/A,#N/A,FALSE,"reclass";#N/A,#N/A,FALSE,"US FV";#N/A,#N/A,FALSE,"UK FV";#N/A,#N/A,FALSE,"UK GAAP"}</definedName>
    <definedName name="wrn.All._.ISs._.and._.JEs." localSheetId="0" hidden="1">{#N/A,#N/A,FALSE,"Top level MTD";#N/A,#N/A,FALSE,"PHI MTD";#N/A,#N/A,FALSE,"PacifiCorp MTD";#N/A,#N/A,FALSE,"PGHC MTD";#N/A,#N/A,FALSE,"Top level QTD";#N/A,#N/A,FALSE,"PHI QTD";#N/A,#N/A,FALSE,"PacifiCorp QTD";#N/A,#N/A,FALSE,"PGHC QTD";#N/A,#N/A,FALSE,"Top level YTD";#N/A,#N/A,FALSE,"PHI YTD";#N/A,#N/A,FALSE,"PacifiCorp YTD";#N/A,#N/A,FALSE,"PGHC YTD"}</definedName>
    <definedName name="wrn.All._.ISs._.and._.JEs." localSheetId="1" hidden="1">{#N/A,#N/A,FALSE,"Top level MTD";#N/A,#N/A,FALSE,"PHI MTD";#N/A,#N/A,FALSE,"PacifiCorp MTD";#N/A,#N/A,FALSE,"PGHC MTD";#N/A,#N/A,FALSE,"Top level QTD";#N/A,#N/A,FALSE,"PHI QTD";#N/A,#N/A,FALSE,"PacifiCorp QTD";#N/A,#N/A,FALSE,"PGHC QTD";#N/A,#N/A,FALSE,"Top level YTD";#N/A,#N/A,FALSE,"PHI YTD";#N/A,#N/A,FALSE,"PacifiCorp YTD";#N/A,#N/A,FALSE,"PGHC YTD"}</definedName>
    <definedName name="wrn.All._.ISs._.and._.JEs." localSheetId="2" hidden="1">{#N/A,#N/A,FALSE,"Top level MTD";#N/A,#N/A,FALSE,"PHI MTD";#N/A,#N/A,FALSE,"PacifiCorp MTD";#N/A,#N/A,FALSE,"PGHC MTD";#N/A,#N/A,FALSE,"Top level QTD";#N/A,#N/A,FALSE,"PHI QTD";#N/A,#N/A,FALSE,"PacifiCorp QTD";#N/A,#N/A,FALSE,"PGHC QTD";#N/A,#N/A,FALSE,"Top level YTD";#N/A,#N/A,FALSE,"PHI YTD";#N/A,#N/A,FALSE,"PacifiCorp YTD";#N/A,#N/A,FALSE,"PGHC YTD"}</definedName>
    <definedName name="wrn.All._.ISs._.and._.JEs." hidden="1">{#N/A,#N/A,FALSE,"Top level MTD";#N/A,#N/A,FALSE,"PHI MTD";#N/A,#N/A,FALSE,"PacifiCorp MTD";#N/A,#N/A,FALSE,"PGHC MTD";#N/A,#N/A,FALSE,"Top level QTD";#N/A,#N/A,FALSE,"PHI QTD";#N/A,#N/A,FALSE,"PacifiCorp QTD";#N/A,#N/A,FALSE,"PGHC QTD";#N/A,#N/A,FALSE,"Top level YTD";#N/A,#N/A,FALSE,"PHI YTD";#N/A,#N/A,FALSE,"PacifiCorp YTD";#N/A,#N/A,FALSE,"PGHC YTD"}</definedName>
    <definedName name="wrn.All._.other._.months." localSheetId="0" hidden="1">{#N/A,#N/A,FALSE,"Top level MTD";#N/A,#N/A,FALSE,"PHI MTD";#N/A,#N/A,FALSE,"PacifiCorp MTD";#N/A,#N/A,FALSE,"PGHC MTD";#N/A,#N/A,FALSE,"Top level YTD";#N/A,#N/A,FALSE,"PHI YTD";#N/A,#N/A,FALSE,"PacifiCorp YTD";#N/A,#N/A,FALSE,"PGHC YTD"}</definedName>
    <definedName name="wrn.All._.other._.months." localSheetId="1" hidden="1">{#N/A,#N/A,FALSE,"Top level MTD";#N/A,#N/A,FALSE,"PHI MTD";#N/A,#N/A,FALSE,"PacifiCorp MTD";#N/A,#N/A,FALSE,"PGHC MTD";#N/A,#N/A,FALSE,"Top level YTD";#N/A,#N/A,FALSE,"PHI YTD";#N/A,#N/A,FALSE,"PacifiCorp YTD";#N/A,#N/A,FALSE,"PGHC YTD"}</definedName>
    <definedName name="wrn.All._.other._.months." localSheetId="2" hidden="1">{#N/A,#N/A,FALSE,"Top level MTD";#N/A,#N/A,FALSE,"PHI MTD";#N/A,#N/A,FALSE,"PacifiCorp MTD";#N/A,#N/A,FALSE,"PGHC MTD";#N/A,#N/A,FALSE,"Top level YTD";#N/A,#N/A,FALSE,"PHI YTD";#N/A,#N/A,FALSE,"PacifiCorp YTD";#N/A,#N/A,FALSE,"PGHC YTD"}</definedName>
    <definedName name="wrn.All._.other._.months." hidden="1">{#N/A,#N/A,FALSE,"Top level MTD";#N/A,#N/A,FALSE,"PHI MTD";#N/A,#N/A,FALSE,"PacifiCorp MTD";#N/A,#N/A,FALSE,"PGHC MTD";#N/A,#N/A,FALSE,"Top level YTD";#N/A,#N/A,FALSE,"PHI YTD";#N/A,#N/A,FALSE,"PacifiCorp YTD";#N/A,#N/A,FALSE,"PGHC YTD"}</definedName>
    <definedName name="wrn.All._.Pages." localSheetId="0" hidden="1">{#N/A,#N/A,FALSE,"cover";#N/A,#N/A,FALSE,"lead sheet";#N/A,#N/A,FALSE,"Adj backup";#N/A,#N/A,FALSE,"t Accounts"}</definedName>
    <definedName name="wrn.All._.Pages." localSheetId="1" hidden="1">{#N/A,#N/A,FALSE,"cover";#N/A,#N/A,FALSE,"lead sheet";#N/A,#N/A,FALSE,"Adj backup";#N/A,#N/A,FALSE,"t Accounts"}</definedName>
    <definedName name="wrn.All._.Pages." localSheetId="2" hidden="1">{#N/A,#N/A,FALSE,"cover";#N/A,#N/A,FALSE,"lead sheet";#N/A,#N/A,FALSE,"Adj backup";#N/A,#N/A,FALSE,"t Accounts"}</definedName>
    <definedName name="wrn.All._.Pages." hidden="1">{#N/A,#N/A,FALSE,"cover";#N/A,#N/A,FALSE,"lead sheet";#N/A,#N/A,FALSE,"Adj backup";#N/A,#N/A,FALSE,"t Accounts"}</definedName>
    <definedName name="wrn.Allocation._.factor." localSheetId="0" hidden="1">{#N/A,#N/A,TRUE,"11.1";#N/A,#N/A,TRUE,"11.2";#N/A,#N/A,TRUE,"11.3-.4";#N/A,#N/A,TRUE,"11.5-11.6";#N/A,#N/A,TRUE,"11.7-.10";#N/A,#N/A,TRUE,"11.11-11.22";#N/A,#N/A,TRUE,"11.23_ECD"}</definedName>
    <definedName name="wrn.Allocation._.factor." localSheetId="1" hidden="1">{#N/A,#N/A,TRUE,"11.1";#N/A,#N/A,TRUE,"11.2";#N/A,#N/A,TRUE,"11.3-.4";#N/A,#N/A,TRUE,"11.5-11.6";#N/A,#N/A,TRUE,"11.7-.10";#N/A,#N/A,TRUE,"11.11-11.22";#N/A,#N/A,TRUE,"11.23_ECD"}</definedName>
    <definedName name="wrn.Allocation._.factor." localSheetId="2" hidden="1">{#N/A,#N/A,TRUE,"11.1";#N/A,#N/A,TRUE,"11.2";#N/A,#N/A,TRUE,"11.3-.4";#N/A,#N/A,TRUE,"11.5-11.6";#N/A,#N/A,TRUE,"11.7-.10";#N/A,#N/A,TRUE,"11.11-11.22";#N/A,#N/A,TRUE,"11.23_ECD"}</definedName>
    <definedName name="wrn.Allocation._.factor." hidden="1">{#N/A,#N/A,TRUE,"11.1";#N/A,#N/A,TRUE,"11.2";#N/A,#N/A,TRUE,"11.3-.4";#N/A,#N/A,TRUE,"11.5-11.6";#N/A,#N/A,TRUE,"11.7-.10";#N/A,#N/A,TRUE,"11.11-11.22";#N/A,#N/A,TRUE,"11.23_ECD"}</definedName>
    <definedName name="wrn.BUS._.RPT." localSheetId="0" hidden="1">{#N/A,#N/A,FALSE,"P&amp;L Ttl";#N/A,#N/A,FALSE,"P&amp;L C_Ttl New";#N/A,#N/A,FALSE,"Bus Res";#N/A,#N/A,FALSE,"Chrts";#N/A,#N/A,FALSE,"pcf";#N/A,#N/A,FALSE,"pcr ";#N/A,#N/A,FALSE,"Exp Stmt ";#N/A,#N/A,FALSE,"Exp Stmt BU";#N/A,#N/A,FALSE,"Cap";#N/A,#N/A,FALSE,"IT Ytd"}</definedName>
    <definedName name="wrn.BUS._.RPT." localSheetId="1" hidden="1">{#N/A,#N/A,FALSE,"P&amp;L Ttl";#N/A,#N/A,FALSE,"P&amp;L C_Ttl New";#N/A,#N/A,FALSE,"Bus Res";#N/A,#N/A,FALSE,"Chrts";#N/A,#N/A,FALSE,"pcf";#N/A,#N/A,FALSE,"pcr ";#N/A,#N/A,FALSE,"Exp Stmt ";#N/A,#N/A,FALSE,"Exp Stmt BU";#N/A,#N/A,FALSE,"Cap";#N/A,#N/A,FALSE,"IT Ytd"}</definedName>
    <definedName name="wrn.BUS._.RPT." localSheetId="2" hidden="1">{#N/A,#N/A,FALSE,"P&amp;L Ttl";#N/A,#N/A,FALSE,"P&amp;L C_Ttl New";#N/A,#N/A,FALSE,"Bus Res";#N/A,#N/A,FALSE,"Chrts";#N/A,#N/A,FALSE,"pcf";#N/A,#N/A,FALSE,"pcr ";#N/A,#N/A,FALSE,"Exp Stmt ";#N/A,#N/A,FALSE,"Exp Stmt BU";#N/A,#N/A,FALSE,"Cap";#N/A,#N/A,FALSE,"IT Ytd"}</definedName>
    <definedName name="wrn.BUS._.RPT." hidden="1">{#N/A,#N/A,FALSE,"P&amp;L Ttl";#N/A,#N/A,FALSE,"P&amp;L C_Ttl New";#N/A,#N/A,FALSE,"Bus Res";#N/A,#N/A,FALSE,"Chrts";#N/A,#N/A,FALSE,"pcf";#N/A,#N/A,FALSE,"pcr ";#N/A,#N/A,FALSE,"Exp Stmt ";#N/A,#N/A,FALSE,"Exp Stmt BU";#N/A,#N/A,FALSE,"Cap";#N/A,#N/A,FALSE,"IT Ytd"}</definedName>
    <definedName name="wrn.Combined._.YTD." localSheetId="0" hidden="1">{"YTD-Total",#N/A,TRUE,"Provision";"YTD-Utility",#N/A,TRUE,"Prov Utility";"YTD-NonUtility",#N/A,TRUE,"Prov NonUtility"}</definedName>
    <definedName name="wrn.Combined._.YTD." localSheetId="1" hidden="1">{"YTD-Total",#N/A,TRUE,"Provision";"YTD-Utility",#N/A,TRUE,"Prov Utility";"YTD-NonUtility",#N/A,TRUE,"Prov NonUtility"}</definedName>
    <definedName name="wrn.Combined._.YTD." localSheetId="2" hidden="1">{"YTD-Total",#N/A,TRUE,"Provision";"YTD-Utility",#N/A,TRUE,"Prov Utility";"YTD-NonUtility",#N/A,TRUE,"Prov NonUtility"}</definedName>
    <definedName name="wrn.Combined._.YTD." hidden="1">{"YTD-Total",#N/A,TRUE,"Provision";"YTD-Utility",#N/A,TRUE,"Prov Utility";"YTD-NonUtility",#N/A,TRUE,"Prov NonUtility"}</definedName>
    <definedName name="wrn.ConsolGrossGrp." localSheetId="0" hidden="1">{"Conol gross povision grouped",#N/A,FALSE,"Consol Gross";"Consol Gross Grouped",#N/A,FALSE,"Consol Gross"}</definedName>
    <definedName name="wrn.ConsolGrossGrp." localSheetId="1" hidden="1">{"Conol gross povision grouped",#N/A,FALSE,"Consol Gross";"Consol Gross Grouped",#N/A,FALSE,"Consol Gross"}</definedName>
    <definedName name="wrn.ConsolGrossGrp." localSheetId="2" hidden="1">{"Conol gross povision grouped",#N/A,FALSE,"Consol Gross";"Consol Gross Grouped",#N/A,FALSE,"Consol Gross"}</definedName>
    <definedName name="wrn.ConsolGrossGrp." hidden="1">{"Conol gross povision grouped",#N/A,FALSE,"Consol Gross";"Consol Gross Grouped",#N/A,FALSE,"Consol Gross"}</definedName>
    <definedName name="wrn.Cover." localSheetId="0" hidden="1">{#N/A,#N/A,TRUE,"Cover";#N/A,#N/A,TRUE,"Contents"}</definedName>
    <definedName name="wrn.Cover." localSheetId="1" hidden="1">{#N/A,#N/A,TRUE,"Cover";#N/A,#N/A,TRUE,"Contents"}</definedName>
    <definedName name="wrn.Cover." localSheetId="2" hidden="1">{#N/A,#N/A,TRUE,"Cover";#N/A,#N/A,TRUE,"Contents"}</definedName>
    <definedName name="wrn.Cover." hidden="1">{#N/A,#N/A,TRUE,"Cover";#N/A,#N/A,TRUE,"Contents"}</definedName>
    <definedName name="wrn.CoverContents." localSheetId="0" hidden="1">{#N/A,#N/A,FALSE,"Cover";#N/A,#N/A,FALSE,"Contents"}</definedName>
    <definedName name="wrn.CoverContents." localSheetId="1" hidden="1">{#N/A,#N/A,FALSE,"Cover";#N/A,#N/A,FALSE,"Contents"}</definedName>
    <definedName name="wrn.CoverContents." localSheetId="2" hidden="1">{#N/A,#N/A,FALSE,"Cover";#N/A,#N/A,FALSE,"Contents"}</definedName>
    <definedName name="wrn.CoverContents." hidden="1">{#N/A,#N/A,FALSE,"Cover";#N/A,#N/A,FALSE,"Contents"}</definedName>
    <definedName name="wrn.El._.Paso._.Offshore." localSheetId="0" hidden="1">{#N/A,#N/A,TRUE,"EPEsum";#N/A,#N/A,TRUE,"Approve1";#N/A,#N/A,TRUE,"Approve2";#N/A,#N/A,TRUE,"Approve3";#N/A,#N/A,TRUE,"EPE1";#N/A,#N/A,TRUE,"EPE2";#N/A,#N/A,TRUE,"CashCompare";#N/A,#N/A,TRUE,"XIRR";#N/A,#N/A,TRUE,"EPEloan";#N/A,#N/A,TRUE,"GraphEPE";#N/A,#N/A,TRUE,"OrgChart";#N/A,#N/A,TRUE,"SA08B"}</definedName>
    <definedName name="wrn.El._.Paso._.Offshore." localSheetId="1" hidden="1">{#N/A,#N/A,TRUE,"EPEsum";#N/A,#N/A,TRUE,"Approve1";#N/A,#N/A,TRUE,"Approve2";#N/A,#N/A,TRUE,"Approve3";#N/A,#N/A,TRUE,"EPE1";#N/A,#N/A,TRUE,"EPE2";#N/A,#N/A,TRUE,"CashCompare";#N/A,#N/A,TRUE,"XIRR";#N/A,#N/A,TRUE,"EPEloan";#N/A,#N/A,TRUE,"GraphEPE";#N/A,#N/A,TRUE,"OrgChart";#N/A,#N/A,TRUE,"SA08B"}</definedName>
    <definedName name="wrn.El._.Paso._.Offshore." localSheetId="2" hidden="1">{#N/A,#N/A,TRUE,"EPEsum";#N/A,#N/A,TRUE,"Approve1";#N/A,#N/A,TRUE,"Approve2";#N/A,#N/A,TRUE,"Approve3";#N/A,#N/A,TRUE,"EPE1";#N/A,#N/A,TRUE,"EPE2";#N/A,#N/A,TRUE,"CashCompare";#N/A,#N/A,TRUE,"XIRR";#N/A,#N/A,TRUE,"EPEloan";#N/A,#N/A,TRUE,"GraphEPE";#N/A,#N/A,TRUE,"OrgChart";#N/A,#N/A,TRUE,"SA08B"}</definedName>
    <definedName name="wrn.El._.Paso._.Offshore." hidden="1">{#N/A,#N/A,TRUE,"EPEsum";#N/A,#N/A,TRUE,"Approve1";#N/A,#N/A,TRUE,"Approve2";#N/A,#N/A,TRUE,"Approve3";#N/A,#N/A,TRUE,"EPE1";#N/A,#N/A,TRUE,"EPE2";#N/A,#N/A,TRUE,"CashCompare";#N/A,#N/A,TRUE,"XIRR";#N/A,#N/A,TRUE,"EPEloan";#N/A,#N/A,TRUE,"GraphEPE";#N/A,#N/A,TRUE,"OrgChart";#N/A,#N/A,TRUE,"SA08B"}</definedName>
    <definedName name="wrn.Exec._.Summary." localSheetId="0" hidden="1">{#N/A,#N/A,FALSE,"Output Ass";#N/A,#N/A,FALSE,"Sum Tot";#N/A,#N/A,FALSE,"Ex Sum Year";#N/A,#N/A,FALSE,"Sum Qtr"}</definedName>
    <definedName name="wrn.Exec._.Summary." localSheetId="1" hidden="1">{#N/A,#N/A,FALSE,"Output Ass";#N/A,#N/A,FALSE,"Sum Tot";#N/A,#N/A,FALSE,"Ex Sum Year";#N/A,#N/A,FALSE,"Sum Qtr"}</definedName>
    <definedName name="wrn.Exec._.Summary." localSheetId="2" hidden="1">{#N/A,#N/A,FALSE,"Output Ass";#N/A,#N/A,FALSE,"Sum Tot";#N/A,#N/A,FALSE,"Ex Sum Year";#N/A,#N/A,FALSE,"Sum Qtr"}</definedName>
    <definedName name="wrn.Exec._.Summary." hidden="1">{#N/A,#N/A,FALSE,"Output Ass";#N/A,#N/A,FALSE,"Sum Tot";#N/A,#N/A,FALSE,"Ex Sum Year";#N/A,#N/A,FALSE,"Sum Qtr"}</definedName>
    <definedName name="wrn.Factors._.Tab._.10." localSheetId="3" hidden="1">{"Factors Pages 1-2",#N/A,FALSE,"Factors";"Factors Page 3",#N/A,FALSE,"Factors";"Factors Page 4",#N/A,FALSE,"Factors";"Factors Page 5",#N/A,FALSE,"Factors";"Factors Pages 8-27",#N/A,FALSE,"Factors"}</definedName>
    <definedName name="wrn.Factors._.Tab._.10." localSheetId="0" hidden="1">{"Factors Pages 1-2",#N/A,FALSE,"Factors";"Factors Page 3",#N/A,FALSE,"Factors";"Factors Page 4",#N/A,FALSE,"Factors";"Factors Page 5",#N/A,FALSE,"Factors";"Factors Pages 8-27",#N/A,FALSE,"Factors"}</definedName>
    <definedName name="wrn.Factors._.Tab._.10." localSheetId="1" hidden="1">{"Factors Pages 1-2",#N/A,FALSE,"Factors";"Factors Page 3",#N/A,FALSE,"Factors";"Factors Page 4",#N/A,FALSE,"Factors";"Factors Page 5",#N/A,FALSE,"Factors";"Factors Pages 8-27",#N/A,FALSE,"Factors"}</definedName>
    <definedName name="wrn.Factors._.Tab._.10." localSheetId="2" hidden="1">{"Factors Pages 1-2",#N/A,FALSE,"Factors";"Factors Page 3",#N/A,FALSE,"Factors";"Factors Page 4",#N/A,FALSE,"Factors";"Factors Page 5",#N/A,FALSE,"Factors";"Factors Pages 8-27",#N/A,FALSE,"Factors"}</definedName>
    <definedName name="wrn.Factors._.Tab._.10." hidden="1">{"Factors Pages 1-2",#N/A,FALSE,"Factors";"Factors Page 3",#N/A,FALSE,"Factors";"Factors Page 4",#N/A,FALSE,"Factors";"Factors Page 5",#N/A,FALSE,"Factors";"Factors Pages 8-27",#N/A,FALSE,"Factors"}</definedName>
    <definedName name="wrn.full._.report." localSheetId="0" hidden="1">{"print_su",#N/A,TRUE,"bond_size1";"print_cf",#N/A,TRUE,"bond_size1";"print_sads",#N/A,TRUE,"bond_size1";"print_capi",#N/A,TRUE,"bond_size1";"print_ads",#N/A,TRUE,"bond_size1";"print_bp",#N/A,TRUE,"bond_size1";"print_nds",#N/A,TRUE,"bond_size1";"print_yield",#N/A,TRUE,"bond_size1"}</definedName>
    <definedName name="wrn.full._.report." localSheetId="1" hidden="1">{"print_su",#N/A,TRUE,"bond_size1";"print_cf",#N/A,TRUE,"bond_size1";"print_sads",#N/A,TRUE,"bond_size1";"print_capi",#N/A,TRUE,"bond_size1";"print_ads",#N/A,TRUE,"bond_size1";"print_bp",#N/A,TRUE,"bond_size1";"print_nds",#N/A,TRUE,"bond_size1";"print_yield",#N/A,TRUE,"bond_size1"}</definedName>
    <definedName name="wrn.full._.report." localSheetId="2" hidden="1">{"print_su",#N/A,TRUE,"bond_size1";"print_cf",#N/A,TRUE,"bond_size1";"print_sads",#N/A,TRUE,"bond_size1";"print_capi",#N/A,TRUE,"bond_size1";"print_ads",#N/A,TRUE,"bond_size1";"print_bp",#N/A,TRUE,"bond_size1";"print_nds",#N/A,TRUE,"bond_size1";"print_yield",#N/A,TRUE,"bond_size1"}</definedName>
    <definedName name="wrn.full._.report." hidden="1">{"print_su",#N/A,TRUE,"bond_size1";"print_cf",#N/A,TRUE,"bond_size1";"print_sads",#N/A,TRUE,"bond_size1";"print_capi",#N/A,TRUE,"bond_size1";"print_ads",#N/A,TRUE,"bond_size1";"print_bp",#N/A,TRUE,"bond_size1";"print_nds",#N/A,TRUE,"bond_size1";"print_yield",#N/A,TRUE,"bond_size1"}</definedName>
    <definedName name="wrn.Full._.View." localSheetId="0" hidden="1">{"FullView",#N/A,FALSE,"Consltd-For contngcy"}</definedName>
    <definedName name="wrn.Full._.View." localSheetId="1" hidden="1">{"FullView",#N/A,FALSE,"Consltd-For contngcy"}</definedName>
    <definedName name="wrn.Full._.View." localSheetId="2" hidden="1">{"FullView",#N/A,FALSE,"Consltd-For contngcy"}</definedName>
    <definedName name="wrn.Full._.View." hidden="1">{"FullView",#N/A,FALSE,"Consltd-For contngcy"}</definedName>
    <definedName name="wrn.GLReport." localSheetId="0" hidden="1">{#N/A,#N/A,FALSE,"Forecast";#N/A,#N/A,FALSE,"SumWBS";#N/A,#N/A,FALSE,"SumGL";#N/A,#N/A,FALSE,"Klam";#N/A,#N/A,FALSE,"Yale";#N/A,#N/A,FALSE,"Merw";#N/A,#N/A,FALSE,"Swif";#N/A,#N/A,FALSE,"Umpq";#N/A,#N/A,FALSE,"Powe";#N/A,#N/A,FALSE,"PDDec";#N/A,#N/A,FALSE,"Bigf";#N/A,#N/A,FALSE,"Cond";#N/A,#N/A,FALSE,"Grac";#N/A,#N/A,FALSE,"Onei";#N/A,#N/A,FALSE,"Amer";#N/A,#N/A,FALSE,"Soda";#N/A,#N/A,FALSE,"Pros"}</definedName>
    <definedName name="wrn.GLReport." localSheetId="1" hidden="1">{#N/A,#N/A,FALSE,"Forecast";#N/A,#N/A,FALSE,"SumWBS";#N/A,#N/A,FALSE,"SumGL";#N/A,#N/A,FALSE,"Klam";#N/A,#N/A,FALSE,"Yale";#N/A,#N/A,FALSE,"Merw";#N/A,#N/A,FALSE,"Swif";#N/A,#N/A,FALSE,"Umpq";#N/A,#N/A,FALSE,"Powe";#N/A,#N/A,FALSE,"PDDec";#N/A,#N/A,FALSE,"Bigf";#N/A,#N/A,FALSE,"Cond";#N/A,#N/A,FALSE,"Grac";#N/A,#N/A,FALSE,"Onei";#N/A,#N/A,FALSE,"Amer";#N/A,#N/A,FALSE,"Soda";#N/A,#N/A,FALSE,"Pros"}</definedName>
    <definedName name="wrn.GLReport." localSheetId="2" hidden="1">{#N/A,#N/A,FALSE,"Forecast";#N/A,#N/A,FALSE,"SumWBS";#N/A,#N/A,FALSE,"SumGL";#N/A,#N/A,FALSE,"Klam";#N/A,#N/A,FALSE,"Yale";#N/A,#N/A,FALSE,"Merw";#N/A,#N/A,FALSE,"Swif";#N/A,#N/A,FALSE,"Umpq";#N/A,#N/A,FALSE,"Powe";#N/A,#N/A,FALSE,"PDDec";#N/A,#N/A,FALSE,"Bigf";#N/A,#N/A,FALSE,"Cond";#N/A,#N/A,FALSE,"Grac";#N/A,#N/A,FALSE,"Onei";#N/A,#N/A,FALSE,"Amer";#N/A,#N/A,FALSE,"Soda";#N/A,#N/A,FALSE,"Pros"}</definedName>
    <definedName name="wrn.GLReport." hidden="1">{#N/A,#N/A,FALSE,"Forecast";#N/A,#N/A,FALSE,"SumWBS";#N/A,#N/A,FALSE,"SumGL";#N/A,#N/A,FALSE,"Klam";#N/A,#N/A,FALSE,"Yale";#N/A,#N/A,FALSE,"Merw";#N/A,#N/A,FALSE,"Swif";#N/A,#N/A,FALSE,"Umpq";#N/A,#N/A,FALSE,"Powe";#N/A,#N/A,FALSE,"PDDec";#N/A,#N/A,FALSE,"Bigf";#N/A,#N/A,FALSE,"Cond";#N/A,#N/A,FALSE,"Grac";#N/A,#N/A,FALSE,"Onei";#N/A,#N/A,FALSE,"Amer";#N/A,#N/A,FALSE,"Soda";#N/A,#N/A,FALSE,"Pros"}</definedName>
    <definedName name="wrn.life." localSheetId="0" hidden="1">{"life_te",#N/A,TRUE,"life";"duration_te",#N/A,TRUE,"duration";"life_ab",#N/A,TRUE,"life";"duration_ab",#N/A,TRUE,"duration";"life_fed_tax",#N/A,TRUE,"life";"duration_tax",#N/A,TRUE,"duration";"life_tax",#N/A,TRUE,"life";"life_fed",#N/A,TRUE,"life";"duration_cd_fed",#N/A,TRUE,"duration"}</definedName>
    <definedName name="wrn.life." localSheetId="1" hidden="1">{"life_te",#N/A,TRUE,"life";"duration_te",#N/A,TRUE,"duration";"life_ab",#N/A,TRUE,"life";"duration_ab",#N/A,TRUE,"duration";"life_fed_tax",#N/A,TRUE,"life";"duration_tax",#N/A,TRUE,"duration";"life_tax",#N/A,TRUE,"life";"life_fed",#N/A,TRUE,"life";"duration_cd_fed",#N/A,TRUE,"duration"}</definedName>
    <definedName name="wrn.life." localSheetId="2" hidden="1">{"life_te",#N/A,TRUE,"life";"duration_te",#N/A,TRUE,"duration";"life_ab",#N/A,TRUE,"life";"duration_ab",#N/A,TRUE,"duration";"life_fed_tax",#N/A,TRUE,"life";"duration_tax",#N/A,TRUE,"duration";"life_tax",#N/A,TRUE,"life";"life_fed",#N/A,TRUE,"life";"duration_cd_fed",#N/A,TRUE,"duration"}</definedName>
    <definedName name="wrn.life." hidden="1">{"life_te",#N/A,TRUE,"life";"duration_te",#N/A,TRUE,"duration";"life_ab",#N/A,TRUE,"life";"duration_ab",#N/A,TRUE,"duration";"life_fed_tax",#N/A,TRUE,"life";"duration_tax",#N/A,TRUE,"duration";"life_tax",#N/A,TRUE,"life";"life_fed",#N/A,TRUE,"life";"duration_cd_fed",#N/A,TRUE,"duration"}</definedName>
    <definedName name="wrn.new." localSheetId="0" hidden="1">{#N/A,#N/A,TRUE,"Filing Back-Up Pages_4.8.4-7";#N/A,#N/A,TRUE,"GI Back-up Page_4.8.8"}</definedName>
    <definedName name="wrn.new." localSheetId="1" hidden="1">{#N/A,#N/A,TRUE,"Filing Back-Up Pages_4.8.4-7";#N/A,#N/A,TRUE,"GI Back-up Page_4.8.8"}</definedName>
    <definedName name="wrn.new." localSheetId="2" hidden="1">{#N/A,#N/A,TRUE,"Filing Back-Up Pages_4.8.4-7";#N/A,#N/A,TRUE,"GI Back-up Page_4.8.8"}</definedName>
    <definedName name="wrn.new." hidden="1">{#N/A,#N/A,TRUE,"Filing Back-Up Pages_4.8.4-7";#N/A,#N/A,TRUE,"GI Back-up Page_4.8.8"}</definedName>
    <definedName name="wrn.om." localSheetId="0" hidden="1">{#N/A,#N/A,TRUE,"Detail Lead Sheet_4.8.1-3";#N/A,#N/A,TRUE,"Filing Back-Up Pages_4.8.4-7";#N/A,#N/A,TRUE,"GI Back-up Page_4.8.8"}</definedName>
    <definedName name="wrn.om." localSheetId="1" hidden="1">{#N/A,#N/A,TRUE,"Detail Lead Sheet_4.8.1-3";#N/A,#N/A,TRUE,"Filing Back-Up Pages_4.8.4-7";#N/A,#N/A,TRUE,"GI Back-up Page_4.8.8"}</definedName>
    <definedName name="wrn.om." localSheetId="2" hidden="1">{#N/A,#N/A,TRUE,"Detail Lead Sheet_4.8.1-3";#N/A,#N/A,TRUE,"Filing Back-Up Pages_4.8.4-7";#N/A,#N/A,TRUE,"GI Back-up Page_4.8.8"}</definedName>
    <definedName name="wrn.om." hidden="1">{#N/A,#N/A,TRUE,"Detail Lead Sheet_4.8.1-3";#N/A,#N/A,TRUE,"Filing Back-Up Pages_4.8.4-7";#N/A,#N/A,TRUE,"GI Back-up Page_4.8.8"}</definedName>
    <definedName name="wrn.Open._.Issues._.Only." localSheetId="0" hidden="1">{"Open issues Only",#N/A,FALSE,"TIMELINE"}</definedName>
    <definedName name="wrn.Open._.Issues._.Only." localSheetId="1" hidden="1">{"Open issues Only",#N/A,FALSE,"TIMELINE"}</definedName>
    <definedName name="wrn.Open._.Issues._.Only." localSheetId="2" hidden="1">{"Open issues Only",#N/A,FALSE,"TIMELINE"}</definedName>
    <definedName name="wrn.Open._.Issues._.Only." hidden="1">{"Open issues Only",#N/A,FALSE,"TIMELINE"}</definedName>
    <definedName name="wrn.OR._.Carrying._.Charge._.JV." localSheetId="3" hidden="1">{#N/A,#N/A,FALSE,"Loans";#N/A,#N/A,FALSE,"Program Costs";#N/A,#N/A,FALSE,"Measures";#N/A,#N/A,FALSE,"Net Lost Rev";#N/A,#N/A,FALSE,"Incentive"}</definedName>
    <definedName name="wrn.OR._.Carrying._.Charge._.JV." localSheetId="0" hidden="1">{#N/A,#N/A,FALSE,"Loans";#N/A,#N/A,FALSE,"Program Costs";#N/A,#N/A,FALSE,"Measures";#N/A,#N/A,FALSE,"Net Lost Rev";#N/A,#N/A,FALSE,"Incentive"}</definedName>
    <definedName name="wrn.OR._.Carrying._.Charge._.JV." localSheetId="1" hidden="1">{#N/A,#N/A,FALSE,"Loans";#N/A,#N/A,FALSE,"Program Costs";#N/A,#N/A,FALSE,"Measures";#N/A,#N/A,FALSE,"Net Lost Rev";#N/A,#N/A,FALSE,"Incentive"}</definedName>
    <definedName name="wrn.OR._.Carrying._.Charge._.JV." localSheetId="2" hidden="1">{#N/A,#N/A,FALSE,"Loans";#N/A,#N/A,FALSE,"Program Costs";#N/A,#N/A,FALSE,"Measures";#N/A,#N/A,FALSE,"Net Lost Rev";#N/A,#N/A,FALSE,"Incentive"}</definedName>
    <definedName name="wrn.OR._.Carrying._.Charge._.JV." hidden="1">{#N/A,#N/A,FALSE,"Loans";#N/A,#N/A,FALSE,"Program Costs";#N/A,#N/A,FALSE,"Measures";#N/A,#N/A,FALSE,"Net Lost Rev";#N/A,#N/A,FALSE,"Incentive"}</definedName>
    <definedName name="wrn.OR._.Carrying._.Charge._.JV.1" localSheetId="3" hidden="1">{#N/A,#N/A,FALSE,"Loans";#N/A,#N/A,FALSE,"Program Costs";#N/A,#N/A,FALSE,"Measures";#N/A,#N/A,FALSE,"Net Lost Rev";#N/A,#N/A,FALSE,"Incentive"}</definedName>
    <definedName name="wrn.OR._.Carrying._.Charge._.JV.1" localSheetId="0" hidden="1">{#N/A,#N/A,FALSE,"Loans";#N/A,#N/A,FALSE,"Program Costs";#N/A,#N/A,FALSE,"Measures";#N/A,#N/A,FALSE,"Net Lost Rev";#N/A,#N/A,FALSE,"Incentive"}</definedName>
    <definedName name="wrn.OR._.Carrying._.Charge._.JV.1" localSheetId="1" hidden="1">{#N/A,#N/A,FALSE,"Loans";#N/A,#N/A,FALSE,"Program Costs";#N/A,#N/A,FALSE,"Measures";#N/A,#N/A,FALSE,"Net Lost Rev";#N/A,#N/A,FALSE,"Incentive"}</definedName>
    <definedName name="wrn.OR._.Carrying._.Charge._.JV.1" localSheetId="2" hidden="1">{#N/A,#N/A,FALSE,"Loans";#N/A,#N/A,FALSE,"Program Costs";#N/A,#N/A,FALSE,"Measures";#N/A,#N/A,FALSE,"Net Lost Rev";#N/A,#N/A,FALSE,"Incentive"}</definedName>
    <definedName name="wrn.OR._.Carrying._.Charge._.JV.1" hidden="1">{#N/A,#N/A,FALSE,"Loans";#N/A,#N/A,FALSE,"Program Costs";#N/A,#N/A,FALSE,"Measures";#N/A,#N/A,FALSE,"Net Lost Rev";#N/A,#N/A,FALSE,"Incentive"}</definedName>
    <definedName name="wrn.Oregon._.Rate._.case." localSheetId="0" hidden="1">{#N/A,#N/A,TRUE,"10.1_Historical Cover Sheet";#N/A,#N/A,TRUE,"10.2-10.3_Historical";#N/A,#N/A,TRUE,"10.4_Historical";#N/A,#N/A,TRUE,"10.4.1_Historical";#N/A,#N/A,TRUE,"10.7-10.17_Historical"}</definedName>
    <definedName name="wrn.Oregon._.Rate._.case." localSheetId="1" hidden="1">{#N/A,#N/A,TRUE,"10.1_Historical Cover Sheet";#N/A,#N/A,TRUE,"10.2-10.3_Historical";#N/A,#N/A,TRUE,"10.4_Historical";#N/A,#N/A,TRUE,"10.4.1_Historical";#N/A,#N/A,TRUE,"10.7-10.17_Historical"}</definedName>
    <definedName name="wrn.Oregon._.Rate._.case." localSheetId="2" hidden="1">{#N/A,#N/A,TRUE,"10.1_Historical Cover Sheet";#N/A,#N/A,TRUE,"10.2-10.3_Historical";#N/A,#N/A,TRUE,"10.4_Historical";#N/A,#N/A,TRUE,"10.4.1_Historical";#N/A,#N/A,TRUE,"10.7-10.17_Historical"}</definedName>
    <definedName name="wrn.Oregon._.Rate._.case." hidden="1">{#N/A,#N/A,TRUE,"10.1_Historical Cover Sheet";#N/A,#N/A,TRUE,"10.2-10.3_Historical";#N/A,#N/A,TRUE,"10.4_Historical";#N/A,#N/A,TRUE,"10.4.1_Historical";#N/A,#N/A,TRUE,"10.7-10.17_Historical"}</definedName>
    <definedName name="wrn.pages." localSheetId="0" hidden="1">{#N/A,#N/A,FALSE,"Bgt";#N/A,#N/A,FALSE,"Act";#N/A,#N/A,FALSE,"Chrt Data";#N/A,#N/A,FALSE,"Bus Result";#N/A,#N/A,FALSE,"Main Charts";#N/A,#N/A,FALSE,"P&amp;L Ttl";#N/A,#N/A,FALSE,"P&amp;L C_Ttl";#N/A,#N/A,FALSE,"P&amp;L C_Oct";#N/A,#N/A,FALSE,"P&amp;L C_Sep";#N/A,#N/A,FALSE,"1996";#N/A,#N/A,FALSE,"Data"}</definedName>
    <definedName name="wrn.pages." localSheetId="1" hidden="1">{#N/A,#N/A,FALSE,"Bgt";#N/A,#N/A,FALSE,"Act";#N/A,#N/A,FALSE,"Chrt Data";#N/A,#N/A,FALSE,"Bus Result";#N/A,#N/A,FALSE,"Main Charts";#N/A,#N/A,FALSE,"P&amp;L Ttl";#N/A,#N/A,FALSE,"P&amp;L C_Ttl";#N/A,#N/A,FALSE,"P&amp;L C_Oct";#N/A,#N/A,FALSE,"P&amp;L C_Sep";#N/A,#N/A,FALSE,"1996";#N/A,#N/A,FALSE,"Data"}</definedName>
    <definedName name="wrn.pages." localSheetId="2" hidden="1">{#N/A,#N/A,FALSE,"Bgt";#N/A,#N/A,FALSE,"Act";#N/A,#N/A,FALSE,"Chrt Data";#N/A,#N/A,FALSE,"Bus Result";#N/A,#N/A,FALSE,"Main Charts";#N/A,#N/A,FALSE,"P&amp;L Ttl";#N/A,#N/A,FALSE,"P&amp;L C_Ttl";#N/A,#N/A,FALSE,"P&amp;L C_Oct";#N/A,#N/A,FALSE,"P&amp;L C_Sep";#N/A,#N/A,FALSE,"1996";#N/A,#N/A,FALSE,"Data"}</definedName>
    <definedName name="wrn.pages." hidden="1">{#N/A,#N/A,FALSE,"Bgt";#N/A,#N/A,FALSE,"Act";#N/A,#N/A,FALSE,"Chrt Data";#N/A,#N/A,FALSE,"Bus Result";#N/A,#N/A,FALSE,"Main Charts";#N/A,#N/A,FALSE,"P&amp;L Ttl";#N/A,#N/A,FALSE,"P&amp;L C_Ttl";#N/A,#N/A,FALSE,"P&amp;L C_Oct";#N/A,#N/A,FALSE,"P&amp;L C_Sep";#N/A,#N/A,FALSE,"1996";#N/A,#N/A,FALSE,"Data"}</definedName>
    <definedName name="wrn.partial." localSheetId="0" hidden="1">{"summary",#N/A,TRUE,"summary";"su_annual",#N/A,TRUE,"project";"su_quarter",#N/A,TRUE,"project";"cf_ann1",#N/A,TRUE,"cf_sum";"cf_ann2",#N/A,TRUE,"cf_sum";"nonrailom",#N/A,TRUE,"nonrailo&amp;m";"chart",#N/A,TRUE,"chart";"parity",#N/A,TRUE,"parity";"federal_loan",#N/A,TRUE,"federal_loan";"fed_loan2",#N/A,TRUE,"fed_loan_adj";"ds_sum",#N/A,TRUE,"combbond";"benefit_amt",#N/A,TRUE,"bond_siz1";"life_te",#N/A,TRUE,"life";"duration_te",#N/A,TRUE,"duration";"life_fed_tax",#N/A,TRUE,"life";"duration_tax",#N/A,TRUE,"duration";"su_recon",#N/A,TRUE,"cfdraw_proof"}</definedName>
    <definedName name="wrn.partial." localSheetId="1" hidden="1">{"summary",#N/A,TRUE,"summary";"su_annual",#N/A,TRUE,"project";"su_quarter",#N/A,TRUE,"project";"cf_ann1",#N/A,TRUE,"cf_sum";"cf_ann2",#N/A,TRUE,"cf_sum";"nonrailom",#N/A,TRUE,"nonrailo&amp;m";"chart",#N/A,TRUE,"chart";"parity",#N/A,TRUE,"parity";"federal_loan",#N/A,TRUE,"federal_loan";"fed_loan2",#N/A,TRUE,"fed_loan_adj";"ds_sum",#N/A,TRUE,"combbond";"benefit_amt",#N/A,TRUE,"bond_siz1";"life_te",#N/A,TRUE,"life";"duration_te",#N/A,TRUE,"duration";"life_fed_tax",#N/A,TRUE,"life";"duration_tax",#N/A,TRUE,"duration";"su_recon",#N/A,TRUE,"cfdraw_proof"}</definedName>
    <definedName name="wrn.partial." localSheetId="2" hidden="1">{"summary",#N/A,TRUE,"summary";"su_annual",#N/A,TRUE,"project";"su_quarter",#N/A,TRUE,"project";"cf_ann1",#N/A,TRUE,"cf_sum";"cf_ann2",#N/A,TRUE,"cf_sum";"nonrailom",#N/A,TRUE,"nonrailo&amp;m";"chart",#N/A,TRUE,"chart";"parity",#N/A,TRUE,"parity";"federal_loan",#N/A,TRUE,"federal_loan";"fed_loan2",#N/A,TRUE,"fed_loan_adj";"ds_sum",#N/A,TRUE,"combbond";"benefit_amt",#N/A,TRUE,"bond_siz1";"life_te",#N/A,TRUE,"life";"duration_te",#N/A,TRUE,"duration";"life_fed_tax",#N/A,TRUE,"life";"duration_tax",#N/A,TRUE,"duration";"su_recon",#N/A,TRUE,"cfdraw_proof"}</definedName>
    <definedName name="wrn.partial." hidden="1">{"summary",#N/A,TRUE,"summary";"su_annual",#N/A,TRUE,"project";"su_quarter",#N/A,TRUE,"project";"cf_ann1",#N/A,TRUE,"cf_sum";"cf_ann2",#N/A,TRUE,"cf_sum";"nonrailom",#N/A,TRUE,"nonrailo&amp;m";"chart",#N/A,TRUE,"chart";"parity",#N/A,TRUE,"parity";"federal_loan",#N/A,TRUE,"federal_loan";"fed_loan2",#N/A,TRUE,"fed_loan_adj";"ds_sum",#N/A,TRUE,"combbond";"benefit_amt",#N/A,TRUE,"bond_siz1";"life_te",#N/A,TRUE,"life";"duration_te",#N/A,TRUE,"duration";"life_fed_tax",#N/A,TRUE,"life";"duration_tax",#N/A,TRUE,"duration";"su_recon",#N/A,TRUE,"cfdraw_proof"}</definedName>
    <definedName name="wrn.Payment._.View." localSheetId="0" hidden="1">{#N/A,#N/A,FALSE,"Consltd-For contngcy";"PaymentView",#N/A,FALSE,"Consltd-For contngcy"}</definedName>
    <definedName name="wrn.Payment._.View." localSheetId="1" hidden="1">{#N/A,#N/A,FALSE,"Consltd-For contngcy";"PaymentView",#N/A,FALSE,"Consltd-For contngcy"}</definedName>
    <definedName name="wrn.Payment._.View." localSheetId="2" hidden="1">{#N/A,#N/A,FALSE,"Consltd-For contngcy";"PaymentView",#N/A,FALSE,"Consltd-For contngcy"}</definedName>
    <definedName name="wrn.Payment._.View." hidden="1">{#N/A,#N/A,FALSE,"Consltd-For contngcy";"PaymentView",#N/A,FALSE,"Consltd-For contngcy"}</definedName>
    <definedName name="wrn.PFSreconview." localSheetId="0" hidden="1">{"PFS recon view",#N/A,FALSE,"Hyperion Proof"}</definedName>
    <definedName name="wrn.PFSreconview." localSheetId="1" hidden="1">{"PFS recon view",#N/A,FALSE,"Hyperion Proof"}</definedName>
    <definedName name="wrn.PFSreconview." localSheetId="2" hidden="1">{"PFS recon view",#N/A,FALSE,"Hyperion Proof"}</definedName>
    <definedName name="wrn.PFSreconview." hidden="1">{"PFS recon view",#N/A,FALSE,"Hyperion Proof"}</definedName>
    <definedName name="wrn.PGHCreconview." localSheetId="0" hidden="1">{"PGHC recon view",#N/A,FALSE,"Hyperion Proof"}</definedName>
    <definedName name="wrn.PGHCreconview." localSheetId="1" hidden="1">{"PGHC recon view",#N/A,FALSE,"Hyperion Proof"}</definedName>
    <definedName name="wrn.PGHCreconview." localSheetId="2" hidden="1">{"PGHC recon view",#N/A,FALSE,"Hyperion Proof"}</definedName>
    <definedName name="wrn.PGHCreconview." hidden="1">{"PGHC recon view",#N/A,FALSE,"Hyperion Proof"}</definedName>
    <definedName name="wrn.PHI._.all._.other._.months." localSheetId="0" hidden="1">{#N/A,#N/A,FALSE,"PHI MTD";#N/A,#N/A,FALSE,"PHI YTD"}</definedName>
    <definedName name="wrn.PHI._.all._.other._.months." localSheetId="1" hidden="1">{#N/A,#N/A,FALSE,"PHI MTD";#N/A,#N/A,FALSE,"PHI YTD"}</definedName>
    <definedName name="wrn.PHI._.all._.other._.months." localSheetId="2" hidden="1">{#N/A,#N/A,FALSE,"PHI MTD";#N/A,#N/A,FALSE,"PHI YTD"}</definedName>
    <definedName name="wrn.PHI._.all._.other._.months." hidden="1">{#N/A,#N/A,FALSE,"PHI MTD";#N/A,#N/A,FALSE,"PHI YTD"}</definedName>
    <definedName name="wrn.PHI._.only." localSheetId="0" hidden="1">{#N/A,#N/A,FALSE,"PHI"}</definedName>
    <definedName name="wrn.PHI._.only." localSheetId="1" hidden="1">{#N/A,#N/A,FALSE,"PHI"}</definedName>
    <definedName name="wrn.PHI._.only." localSheetId="2" hidden="1">{#N/A,#N/A,FALSE,"PHI"}</definedName>
    <definedName name="wrn.PHI._.only." hidden="1">{#N/A,#N/A,FALSE,"PHI"}</definedName>
    <definedName name="wrn.PHI._.Sept._.Dec._.March." localSheetId="0" hidden="1">{#N/A,#N/A,FALSE,"PHI MTD";#N/A,#N/A,FALSE,"PHI QTD";#N/A,#N/A,FALSE,"PHI YTD"}</definedName>
    <definedName name="wrn.PHI._.Sept._.Dec._.March." localSheetId="1" hidden="1">{#N/A,#N/A,FALSE,"PHI MTD";#N/A,#N/A,FALSE,"PHI QTD";#N/A,#N/A,FALSE,"PHI YTD"}</definedName>
    <definedName name="wrn.PHI._.Sept._.Dec._.March." localSheetId="2" hidden="1">{#N/A,#N/A,FALSE,"PHI MTD";#N/A,#N/A,FALSE,"PHI QTD";#N/A,#N/A,FALSE,"PHI YTD"}</definedName>
    <definedName name="wrn.PHI._.Sept._.Dec._.March." hidden="1">{#N/A,#N/A,FALSE,"PHI MTD";#N/A,#N/A,FALSE,"PHI QTD";#N/A,#N/A,FALSE,"PHI YTD"}</definedName>
    <definedName name="wrn.PPMCoCodeView." localSheetId="0" hidden="1">{"PPM Co Code View",#N/A,FALSE,"Comp Codes"}</definedName>
    <definedName name="wrn.PPMCoCodeView." localSheetId="1" hidden="1">{"PPM Co Code View",#N/A,FALSE,"Comp Codes"}</definedName>
    <definedName name="wrn.PPMCoCodeView." localSheetId="2" hidden="1">{"PPM Co Code View",#N/A,FALSE,"Comp Codes"}</definedName>
    <definedName name="wrn.PPMCoCodeView." hidden="1">{"PPM Co Code View",#N/A,FALSE,"Comp Codes"}</definedName>
    <definedName name="wrn.PPMreconview." localSheetId="0" hidden="1">{"PPM Recon View",#N/A,FALSE,"Hyperion Proof"}</definedName>
    <definedName name="wrn.PPMreconview." localSheetId="1" hidden="1">{"PPM Recon View",#N/A,FALSE,"Hyperion Proof"}</definedName>
    <definedName name="wrn.PPMreconview." localSheetId="2" hidden="1">{"PPM Recon View",#N/A,FALSE,"Hyperion Proof"}</definedName>
    <definedName name="wrn.PPMreconview." hidden="1">{"PPM Recon View",#N/A,FALSE,"Hyperion Proof"}</definedName>
    <definedName name="wrn.print._.reports." localSheetId="0" hidden="1">{#N/A,#N/A,FALSE,"NI Sum";#N/A,#N/A,FALSE,"EBITDA";#N/A,#N/A,FALSE,"Cap Ex";#N/A,#N/A,FALSE,"Op CFLO Sum";#N/A,#N/A,FALSE,"NI MEC";#N/A,#N/A,FALSE,"EBITDA MEC";#N/A,#N/A,FALSE,"Cap Ex MEC";#N/A,#N/A,FALSE,"Op CFLO MEC Sum";#N/A,#N/A,FALSE,"NI CE";#N/A,#N/A,FALSE,"EBITDA CE";#N/A,#N/A,FALSE,"Cap Ex CE";#N/A,#N/A,FALSE,"Op CFLO CE"}</definedName>
    <definedName name="wrn.print._.reports." localSheetId="1" hidden="1">{#N/A,#N/A,FALSE,"NI Sum";#N/A,#N/A,FALSE,"EBITDA";#N/A,#N/A,FALSE,"Cap Ex";#N/A,#N/A,FALSE,"Op CFLO Sum";#N/A,#N/A,FALSE,"NI MEC";#N/A,#N/A,FALSE,"EBITDA MEC";#N/A,#N/A,FALSE,"Cap Ex MEC";#N/A,#N/A,FALSE,"Op CFLO MEC Sum";#N/A,#N/A,FALSE,"NI CE";#N/A,#N/A,FALSE,"EBITDA CE";#N/A,#N/A,FALSE,"Cap Ex CE";#N/A,#N/A,FALSE,"Op CFLO CE"}</definedName>
    <definedName name="wrn.print._.reports." localSheetId="2" hidden="1">{#N/A,#N/A,FALSE,"NI Sum";#N/A,#N/A,FALSE,"EBITDA";#N/A,#N/A,FALSE,"Cap Ex";#N/A,#N/A,FALSE,"Op CFLO Sum";#N/A,#N/A,FALSE,"NI MEC";#N/A,#N/A,FALSE,"EBITDA MEC";#N/A,#N/A,FALSE,"Cap Ex MEC";#N/A,#N/A,FALSE,"Op CFLO MEC Sum";#N/A,#N/A,FALSE,"NI CE";#N/A,#N/A,FALSE,"EBITDA CE";#N/A,#N/A,FALSE,"Cap Ex CE";#N/A,#N/A,FALSE,"Op CFLO CE"}</definedName>
    <definedName name="wrn.print._.reports." hidden="1">{#N/A,#N/A,FALSE,"NI Sum";#N/A,#N/A,FALSE,"EBITDA";#N/A,#N/A,FALSE,"Cap Ex";#N/A,#N/A,FALSE,"Op CFLO Sum";#N/A,#N/A,FALSE,"NI MEC";#N/A,#N/A,FALSE,"EBITDA MEC";#N/A,#N/A,FALSE,"Cap Ex MEC";#N/A,#N/A,FALSE,"Op CFLO MEC Sum";#N/A,#N/A,FALSE,"NI CE";#N/A,#N/A,FALSE,"EBITDA CE";#N/A,#N/A,FALSE,"Cap Ex CE";#N/A,#N/A,FALSE,"Op CFLO CE"}</definedName>
    <definedName name="wrn.PRINT._.SOURCE._.DATA." localSheetId="0" hidden="1">{"DATA_SET",#N/A,FALSE,"HOURLY SPREAD"}</definedName>
    <definedName name="wrn.PRINT._.SOURCE._.DATA." localSheetId="1" hidden="1">{"DATA_SET",#N/A,FALSE,"HOURLY SPREAD"}</definedName>
    <definedName name="wrn.PRINT._.SOURCE._.DATA." localSheetId="2" hidden="1">{"DATA_SET",#N/A,FALSE,"HOURLY SPREAD"}</definedName>
    <definedName name="wrn.PRINT._.SOURCE._.DATA." hidden="1">{"DATA_SET",#N/A,FALSE,"HOURLY SPREAD"}</definedName>
    <definedName name="wrn.PrintHistory." localSheetId="0" hidden="1">{#N/A,#N/A,FALSE,"6004";#N/A,#N/A,FALSE,"6006";#N/A,#N/A,FALSE,"6011";#N/A,#N/A,FALSE,"6019";#N/A,#N/A,FALSE,"6024";#N/A,#N/A,FALSE,"6030";#N/A,#N/A,FALSE,"6031";#N/A,#N/A,FALSE,"6035";#N/A,#N/A,FALSE,"6037";#N/A,#N/A,FALSE,"6051";#N/A,#N/A,FALSE,"6052";#N/A,#N/A,FALSE,"6056";#N/A,#N/A,FALSE,"6057";#N/A,#N/A,FALSE,"6058";#N/A,#N/A,FALSE,"6063";#N/A,#N/A,FALSE,"6087";#N/A,#N/A,FALSE,"6090";#N/A,#N/A,FALSE,"6091";#N/A,#N/A,FALSE,"6092";#N/A,#N/A,FALSE,"6094";#N/A,#N/A,FALSE,"6095";#N/A,#N/A,FALSE,"6097";#N/A,#N/A,FALSE,"6098";#N/A,#N/A,FALSE,"6114";#N/A,#N/A,FALSE,"6118";#N/A,#N/A,FALSE,"6213";#N/A,#N/A,FALSE,"6234";#N/A,#N/A,FALSE,"6236"}</definedName>
    <definedName name="wrn.PrintHistory." localSheetId="1" hidden="1">{#N/A,#N/A,FALSE,"6004";#N/A,#N/A,FALSE,"6006";#N/A,#N/A,FALSE,"6011";#N/A,#N/A,FALSE,"6019";#N/A,#N/A,FALSE,"6024";#N/A,#N/A,FALSE,"6030";#N/A,#N/A,FALSE,"6031";#N/A,#N/A,FALSE,"6035";#N/A,#N/A,FALSE,"6037";#N/A,#N/A,FALSE,"6051";#N/A,#N/A,FALSE,"6052";#N/A,#N/A,FALSE,"6056";#N/A,#N/A,FALSE,"6057";#N/A,#N/A,FALSE,"6058";#N/A,#N/A,FALSE,"6063";#N/A,#N/A,FALSE,"6087";#N/A,#N/A,FALSE,"6090";#N/A,#N/A,FALSE,"6091";#N/A,#N/A,FALSE,"6092";#N/A,#N/A,FALSE,"6094";#N/A,#N/A,FALSE,"6095";#N/A,#N/A,FALSE,"6097";#N/A,#N/A,FALSE,"6098";#N/A,#N/A,FALSE,"6114";#N/A,#N/A,FALSE,"6118";#N/A,#N/A,FALSE,"6213";#N/A,#N/A,FALSE,"6234";#N/A,#N/A,FALSE,"6236"}</definedName>
    <definedName name="wrn.PrintHistory." localSheetId="2" hidden="1">{#N/A,#N/A,FALSE,"6004";#N/A,#N/A,FALSE,"6006";#N/A,#N/A,FALSE,"6011";#N/A,#N/A,FALSE,"6019";#N/A,#N/A,FALSE,"6024";#N/A,#N/A,FALSE,"6030";#N/A,#N/A,FALSE,"6031";#N/A,#N/A,FALSE,"6035";#N/A,#N/A,FALSE,"6037";#N/A,#N/A,FALSE,"6051";#N/A,#N/A,FALSE,"6052";#N/A,#N/A,FALSE,"6056";#N/A,#N/A,FALSE,"6057";#N/A,#N/A,FALSE,"6058";#N/A,#N/A,FALSE,"6063";#N/A,#N/A,FALSE,"6087";#N/A,#N/A,FALSE,"6090";#N/A,#N/A,FALSE,"6091";#N/A,#N/A,FALSE,"6092";#N/A,#N/A,FALSE,"6094";#N/A,#N/A,FALSE,"6095";#N/A,#N/A,FALSE,"6097";#N/A,#N/A,FALSE,"6098";#N/A,#N/A,FALSE,"6114";#N/A,#N/A,FALSE,"6118";#N/A,#N/A,FALSE,"6213";#N/A,#N/A,FALSE,"6234";#N/A,#N/A,FALSE,"6236"}</definedName>
    <definedName name="wrn.PrintHistory." hidden="1">{#N/A,#N/A,FALSE,"6004";#N/A,#N/A,FALSE,"6006";#N/A,#N/A,FALSE,"6011";#N/A,#N/A,FALSE,"6019";#N/A,#N/A,FALSE,"6024";#N/A,#N/A,FALSE,"6030";#N/A,#N/A,FALSE,"6031";#N/A,#N/A,FALSE,"6035";#N/A,#N/A,FALSE,"6037";#N/A,#N/A,FALSE,"6051";#N/A,#N/A,FALSE,"6052";#N/A,#N/A,FALSE,"6056";#N/A,#N/A,FALSE,"6057";#N/A,#N/A,FALSE,"6058";#N/A,#N/A,FALSE,"6063";#N/A,#N/A,FALSE,"6087";#N/A,#N/A,FALSE,"6090";#N/A,#N/A,FALSE,"6091";#N/A,#N/A,FALSE,"6092";#N/A,#N/A,FALSE,"6094";#N/A,#N/A,FALSE,"6095";#N/A,#N/A,FALSE,"6097";#N/A,#N/A,FALSE,"6098";#N/A,#N/A,FALSE,"6114";#N/A,#N/A,FALSE,"6118";#N/A,#N/A,FALSE,"6213";#N/A,#N/A,FALSE,"6234";#N/A,#N/A,FALSE,"6236"}</definedName>
    <definedName name="wrn.PrintOther." localSheetId="0" hidden="1">{#N/A,#N/A,FALSE,"Cover";#N/A,#N/A,FALSE,"ProjectSelector";#N/A,#N/A,FALSE,"ProjectTable";#N/A,#N/A,FALSE,"SanGorgonio";#N/A,#N/A,FALSE,"Tehachapi";#N/A,#N/A,FALSE,"Results";#N/A,#N/A,FALSE,"ReplaceForecast"}</definedName>
    <definedName name="wrn.PrintOther." localSheetId="1" hidden="1">{#N/A,#N/A,FALSE,"Cover";#N/A,#N/A,FALSE,"ProjectSelector";#N/A,#N/A,FALSE,"ProjectTable";#N/A,#N/A,FALSE,"SanGorgonio";#N/A,#N/A,FALSE,"Tehachapi";#N/A,#N/A,FALSE,"Results";#N/A,#N/A,FALSE,"ReplaceForecast"}</definedName>
    <definedName name="wrn.PrintOther." localSheetId="2" hidden="1">{#N/A,#N/A,FALSE,"Cover";#N/A,#N/A,FALSE,"ProjectSelector";#N/A,#N/A,FALSE,"ProjectTable";#N/A,#N/A,FALSE,"SanGorgonio";#N/A,#N/A,FALSE,"Tehachapi";#N/A,#N/A,FALSE,"Results";#N/A,#N/A,FALSE,"ReplaceForecast"}</definedName>
    <definedName name="wrn.PrintOther." hidden="1">{#N/A,#N/A,FALSE,"Cover";#N/A,#N/A,FALSE,"ProjectSelector";#N/A,#N/A,FALSE,"ProjectTable";#N/A,#N/A,FALSE,"SanGorgonio";#N/A,#N/A,FALSE,"Tehachapi";#N/A,#N/A,FALSE,"Results";#N/A,#N/A,FALSE,"ReplaceForecast"}</definedName>
    <definedName name="wrn.ProofElectricOnly." localSheetId="0" hidden="1">{"Electric Only",#N/A,FALSE,"Hyperion Proof"}</definedName>
    <definedName name="wrn.ProofElectricOnly." localSheetId="1" hidden="1">{"Electric Only",#N/A,FALSE,"Hyperion Proof"}</definedName>
    <definedName name="wrn.ProofElectricOnly." localSheetId="2" hidden="1">{"Electric Only",#N/A,FALSE,"Hyperion Proof"}</definedName>
    <definedName name="wrn.ProofElectricOnly." hidden="1">{"Electric Only",#N/A,FALSE,"Hyperion Proof"}</definedName>
    <definedName name="wrn.ProofTotal." localSheetId="0" hidden="1">{"Proof Total",#N/A,FALSE,"Hyperion Proof"}</definedName>
    <definedName name="wrn.ProofTotal." localSheetId="1" hidden="1">{"Proof Total",#N/A,FALSE,"Hyperion Proof"}</definedName>
    <definedName name="wrn.ProofTotal." localSheetId="2" hidden="1">{"Proof Total",#N/A,FALSE,"Hyperion Proof"}</definedName>
    <definedName name="wrn.ProofTotal." hidden="1">{"Proof Total",#N/A,FALSE,"Hyperion Proof"}</definedName>
    <definedName name="wrn.Reformat._.only." localSheetId="0" hidden="1">{#N/A,#N/A,FALSE,"Dec 1999 mapping"}</definedName>
    <definedName name="wrn.Reformat._.only." localSheetId="1" hidden="1">{#N/A,#N/A,FALSE,"Dec 1999 mapping"}</definedName>
    <definedName name="wrn.Reformat._.only." localSheetId="2" hidden="1">{#N/A,#N/A,FALSE,"Dec 1999 mapping"}</definedName>
    <definedName name="wrn.Reformat._.only." hidden="1">{#N/A,#N/A,FALSE,"Dec 1999 mapping"}</definedName>
    <definedName name="wrn.SALES._.VAR._.95._.BUDGET." localSheetId="0" hidden="1">{"PRINT",#N/A,TRUE,"APPA";"PRINT",#N/A,TRUE,"APS";"PRINT",#N/A,TRUE,"BHPL";"PRINT",#N/A,TRUE,"BHPL2";"PRINT",#N/A,TRUE,"CDWR";"PRINT",#N/A,TRUE,"EWEB";"PRINT",#N/A,TRUE,"LADWP";"PRINT",#N/A,TRUE,"NEVBASE"}</definedName>
    <definedName name="wrn.SALES._.VAR._.95._.BUDGET." localSheetId="1" hidden="1">{"PRINT",#N/A,TRUE,"APPA";"PRINT",#N/A,TRUE,"APS";"PRINT",#N/A,TRUE,"BHPL";"PRINT",#N/A,TRUE,"BHPL2";"PRINT",#N/A,TRUE,"CDWR";"PRINT",#N/A,TRUE,"EWEB";"PRINT",#N/A,TRUE,"LADWP";"PRINT",#N/A,TRUE,"NEVBASE"}</definedName>
    <definedName name="wrn.SALES._.VAR._.95._.BUDGET." localSheetId="2" hidden="1">{"PRINT",#N/A,TRUE,"APPA";"PRINT",#N/A,TRUE,"APS";"PRINT",#N/A,TRUE,"BHPL";"PRINT",#N/A,TRUE,"BHPL2";"PRINT",#N/A,TRUE,"CDWR";"PRINT",#N/A,TRUE,"EWEB";"PRINT",#N/A,TRUE,"LADWP";"PRINT",#N/A,TRUE,"NEVBASE"}</definedName>
    <definedName name="wrn.SALES._.VAR._.95._.BUDGET." hidden="1">{"PRINT",#N/A,TRUE,"APPA";"PRINT",#N/A,TRUE,"APS";"PRINT",#N/A,TRUE,"BHPL";"PRINT",#N/A,TRUE,"BHPL2";"PRINT",#N/A,TRUE,"CDWR";"PRINT",#N/A,TRUE,"EWEB";"PRINT",#N/A,TRUE,"LADWP";"PRINT",#N/A,TRUE,"NEVBASE"}</definedName>
    <definedName name="wrn.Section1." localSheetId="0" hidden="1">{#N/A,#N/A,TRUE,"Section1";"SavingsTop",#N/A,TRUE,"SumSavings";#N/A,#N/A,TRUE,"GraphSum";"SavingsAll",#N/A,TRUE,"SumSavings";#N/A,#N/A,TRUE,"Inputs";#N/A,#N/A,TRUE,"Scenarios";#N/A,#N/A,TRUE,"LineLoss";#N/A,#N/A,TRUE,"Summary";#N/A,#N/A,TRUE,"TermSummary";#N/A,#N/A,TRUE,"NetRates";#N/A,#N/A,TRUE,"PPAtypes"}</definedName>
    <definedName name="wrn.Section1." localSheetId="1" hidden="1">{#N/A,#N/A,TRUE,"Section1";"SavingsTop",#N/A,TRUE,"SumSavings";#N/A,#N/A,TRUE,"GraphSum";"SavingsAll",#N/A,TRUE,"SumSavings";#N/A,#N/A,TRUE,"Inputs";#N/A,#N/A,TRUE,"Scenarios";#N/A,#N/A,TRUE,"LineLoss";#N/A,#N/A,TRUE,"Summary";#N/A,#N/A,TRUE,"TermSummary";#N/A,#N/A,TRUE,"NetRates";#N/A,#N/A,TRUE,"PPAtypes"}</definedName>
    <definedName name="wrn.Section1." localSheetId="2" hidden="1">{#N/A,#N/A,TRUE,"Section1";"SavingsTop",#N/A,TRUE,"SumSavings";#N/A,#N/A,TRUE,"GraphSum";"SavingsAll",#N/A,TRUE,"SumSavings";#N/A,#N/A,TRUE,"Inputs";#N/A,#N/A,TRUE,"Scenarios";#N/A,#N/A,TRUE,"LineLoss";#N/A,#N/A,TRUE,"Summary";#N/A,#N/A,TRUE,"TermSummary";#N/A,#N/A,TRUE,"NetRates";#N/A,#N/A,TRUE,"PPAtypes"}</definedName>
    <definedName name="wrn.Section1." hidden="1">{#N/A,#N/A,TRUE,"Section1";"SavingsTop",#N/A,TRUE,"SumSavings";#N/A,#N/A,TRUE,"GraphSum";"SavingsAll",#N/A,TRUE,"SumSavings";#N/A,#N/A,TRUE,"Inputs";#N/A,#N/A,TRUE,"Scenarios";#N/A,#N/A,TRUE,"LineLoss";#N/A,#N/A,TRUE,"Summary";#N/A,#N/A,TRUE,"TermSummary";#N/A,#N/A,TRUE,"NetRates";#N/A,#N/A,TRUE,"PPAtypes"}</definedName>
    <definedName name="wrn.Section1Summaries." localSheetId="0" hidden="1">{#N/A,#N/A,TRUE,"Section1";#N/A,#N/A,TRUE,"SumF";#N/A,#N/A,TRUE,"FigExchange";#N/A,#N/A,TRUE,"Escalation";#N/A,#N/A,TRUE,"GraphEscalate";#N/A,#N/A,TRUE,"Scenarios"}</definedName>
    <definedName name="wrn.Section1Summaries." localSheetId="1" hidden="1">{#N/A,#N/A,TRUE,"Section1";#N/A,#N/A,TRUE,"SumF";#N/A,#N/A,TRUE,"FigExchange";#N/A,#N/A,TRUE,"Escalation";#N/A,#N/A,TRUE,"GraphEscalate";#N/A,#N/A,TRUE,"Scenarios"}</definedName>
    <definedName name="wrn.Section1Summaries." localSheetId="2" hidden="1">{#N/A,#N/A,TRUE,"Section1";#N/A,#N/A,TRUE,"SumF";#N/A,#N/A,TRUE,"FigExchange";#N/A,#N/A,TRUE,"Escalation";#N/A,#N/A,TRUE,"GraphEscalate";#N/A,#N/A,TRUE,"Scenarios"}</definedName>
    <definedName name="wrn.Section1Summaries." hidden="1">{#N/A,#N/A,TRUE,"Section1";#N/A,#N/A,TRUE,"SumF";#N/A,#N/A,TRUE,"FigExchange";#N/A,#N/A,TRUE,"Escalation";#N/A,#N/A,TRUE,"GraphEscalate";#N/A,#N/A,TRUE,"Scenarios"}</definedName>
    <definedName name="wrn.Section2." localSheetId="0" hidden="1">{#N/A,#N/A,TRUE,"Section2";#N/A,#N/A,TRUE,"OverPymt";#N/A,#N/A,TRUE,"Energy";#N/A,#N/A,TRUE,"EnergyDiff1";#N/A,#N/A,TRUE,"EnergyDiff2";#N/A,#N/A,TRUE,"CapPerformance";#N/A,#N/A,TRUE,"BonusPerformance";#N/A,#N/A,TRUE,"BonusFormula";#N/A,#N/A,TRUE,"GraphPymt"}</definedName>
    <definedName name="wrn.Section2." localSheetId="1" hidden="1">{#N/A,#N/A,TRUE,"Section2";#N/A,#N/A,TRUE,"OverPymt";#N/A,#N/A,TRUE,"Energy";#N/A,#N/A,TRUE,"EnergyDiff1";#N/A,#N/A,TRUE,"EnergyDiff2";#N/A,#N/A,TRUE,"CapPerformance";#N/A,#N/A,TRUE,"BonusPerformance";#N/A,#N/A,TRUE,"BonusFormula";#N/A,#N/A,TRUE,"GraphPymt"}</definedName>
    <definedName name="wrn.Section2." localSheetId="2" hidden="1">{#N/A,#N/A,TRUE,"Section2";#N/A,#N/A,TRUE,"OverPymt";#N/A,#N/A,TRUE,"Energy";#N/A,#N/A,TRUE,"EnergyDiff1";#N/A,#N/A,TRUE,"EnergyDiff2";#N/A,#N/A,TRUE,"CapPerformance";#N/A,#N/A,TRUE,"BonusPerformance";#N/A,#N/A,TRUE,"BonusFormula";#N/A,#N/A,TRUE,"GraphPymt"}</definedName>
    <definedName name="wrn.Section2." hidden="1">{#N/A,#N/A,TRUE,"Section2";#N/A,#N/A,TRUE,"OverPymt";#N/A,#N/A,TRUE,"Energy";#N/A,#N/A,TRUE,"EnergyDiff1";#N/A,#N/A,TRUE,"EnergyDiff2";#N/A,#N/A,TRUE,"CapPerformance";#N/A,#N/A,TRUE,"BonusPerformance";#N/A,#N/A,TRUE,"BonusFormula";#N/A,#N/A,TRUE,"GraphPymt"}</definedName>
    <definedName name="wrn.Section2TotalProjectCost." localSheetId="0" hidden="1">{#N/A,#N/A,TRUE,"Section2";#N/A,#N/A,TRUE,"TPCestimate";#N/A,#N/A,TRUE,"SumTPC";#N/A,#N/A,TRUE,"ConstrLoan";#N/A,#N/A,TRUE,"FigBalance";#N/A,#N/A,TRUE,"DEV27air";#N/A,#N/A,TRUE,"Graph27air";#N/A,#N/A,TRUE,"PreOp"}</definedName>
    <definedName name="wrn.Section2TotalProjectCost." localSheetId="1" hidden="1">{#N/A,#N/A,TRUE,"Section2";#N/A,#N/A,TRUE,"TPCestimate";#N/A,#N/A,TRUE,"SumTPC";#N/A,#N/A,TRUE,"ConstrLoan";#N/A,#N/A,TRUE,"FigBalance";#N/A,#N/A,TRUE,"DEV27air";#N/A,#N/A,TRUE,"Graph27air";#N/A,#N/A,TRUE,"PreOp"}</definedName>
    <definedName name="wrn.Section2TotalProjectCost." localSheetId="2" hidden="1">{#N/A,#N/A,TRUE,"Section2";#N/A,#N/A,TRUE,"TPCestimate";#N/A,#N/A,TRUE,"SumTPC";#N/A,#N/A,TRUE,"ConstrLoan";#N/A,#N/A,TRUE,"FigBalance";#N/A,#N/A,TRUE,"DEV27air";#N/A,#N/A,TRUE,"Graph27air";#N/A,#N/A,TRUE,"PreOp"}</definedName>
    <definedName name="wrn.Section2TotalProjectCost." hidden="1">{#N/A,#N/A,TRUE,"Section2";#N/A,#N/A,TRUE,"TPCestimate";#N/A,#N/A,TRUE,"SumTPC";#N/A,#N/A,TRUE,"ConstrLoan";#N/A,#N/A,TRUE,"FigBalance";#N/A,#N/A,TRUE,"DEV27air";#N/A,#N/A,TRUE,"Graph27air";#N/A,#N/A,TRUE,"PreOp"}</definedName>
    <definedName name="wrn.Section3." localSheetId="0" hidden="1">{#N/A,#N/A,TRUE,"Section3";#N/A,#N/A,TRUE,"BaseYear";#N/A,#N/A,TRUE,"GenHistory";#N/A,#N/A,TRUE,"GenGraph";#N/A,#N/A,TRUE,"MonthCompare";#N/A,#N/A,TRUE,"HourHistory";#N/A,#N/A,TRUE,"PayHistory";#N/A,#N/A,TRUE,"PayGraphs";#N/A,#N/A,TRUE,"ReplaceForecast";#N/A,#N/A,TRUE,"PPAforecast";#N/A,#N/A,TRUE,"OLSier"}</definedName>
    <definedName name="wrn.Section3." localSheetId="1" hidden="1">{#N/A,#N/A,TRUE,"Section3";#N/A,#N/A,TRUE,"BaseYear";#N/A,#N/A,TRUE,"GenHistory";#N/A,#N/A,TRUE,"GenGraph";#N/A,#N/A,TRUE,"MonthCompare";#N/A,#N/A,TRUE,"HourHistory";#N/A,#N/A,TRUE,"PayHistory";#N/A,#N/A,TRUE,"PayGraphs";#N/A,#N/A,TRUE,"ReplaceForecast";#N/A,#N/A,TRUE,"PPAforecast";#N/A,#N/A,TRUE,"OLSier"}</definedName>
    <definedName name="wrn.Section3." localSheetId="2" hidden="1">{#N/A,#N/A,TRUE,"Section3";#N/A,#N/A,TRUE,"BaseYear";#N/A,#N/A,TRUE,"GenHistory";#N/A,#N/A,TRUE,"GenGraph";#N/A,#N/A,TRUE,"MonthCompare";#N/A,#N/A,TRUE,"HourHistory";#N/A,#N/A,TRUE,"PayHistory";#N/A,#N/A,TRUE,"PayGraphs";#N/A,#N/A,TRUE,"ReplaceForecast";#N/A,#N/A,TRUE,"PPAforecast";#N/A,#N/A,TRUE,"OLSier"}</definedName>
    <definedName name="wrn.Section3." hidden="1">{#N/A,#N/A,TRUE,"Section3";#N/A,#N/A,TRUE,"BaseYear";#N/A,#N/A,TRUE,"GenHistory";#N/A,#N/A,TRUE,"GenGraph";#N/A,#N/A,TRUE,"MonthCompare";#N/A,#N/A,TRUE,"HourHistory";#N/A,#N/A,TRUE,"PayHistory";#N/A,#N/A,TRUE,"PayGraphs";#N/A,#N/A,TRUE,"ReplaceForecast";#N/A,#N/A,TRUE,"PPAforecast";#N/A,#N/A,TRUE,"OLSier"}</definedName>
    <definedName name="wrn.Section3PowerPlantCompany." localSheetId="0" hidden="1">{#N/A,#N/A,TRUE,"Section3";#N/A,#N/A,TRUE,"Tax";#N/A,#N/A,TRUE,"Dividend";#N/A,#N/A,TRUE,"Depreciation";#N/A,#N/A,TRUE,"Balance";#N/A,#N/A,TRUE,"SaleGain";#N/A,#N/A,TRUE,"RevExp";#N/A,#N/A,TRUE,"PIG";#N/A,#N/A,TRUE,"GraphPlant"}</definedName>
    <definedName name="wrn.Section3PowerPlantCompany." localSheetId="1" hidden="1">{#N/A,#N/A,TRUE,"Section3";#N/A,#N/A,TRUE,"Tax";#N/A,#N/A,TRUE,"Dividend";#N/A,#N/A,TRUE,"Depreciation";#N/A,#N/A,TRUE,"Balance";#N/A,#N/A,TRUE,"SaleGain";#N/A,#N/A,TRUE,"RevExp";#N/A,#N/A,TRUE,"PIG";#N/A,#N/A,TRUE,"GraphPlant"}</definedName>
    <definedName name="wrn.Section3PowerPlantCompany." localSheetId="2" hidden="1">{#N/A,#N/A,TRUE,"Section3";#N/A,#N/A,TRUE,"Tax";#N/A,#N/A,TRUE,"Dividend";#N/A,#N/A,TRUE,"Depreciation";#N/A,#N/A,TRUE,"Balance";#N/A,#N/A,TRUE,"SaleGain";#N/A,#N/A,TRUE,"RevExp";#N/A,#N/A,TRUE,"PIG";#N/A,#N/A,TRUE,"GraphPlant"}</definedName>
    <definedName name="wrn.Section3PowerPlantCompany." hidden="1">{#N/A,#N/A,TRUE,"Section3";#N/A,#N/A,TRUE,"Tax";#N/A,#N/A,TRUE,"Dividend";#N/A,#N/A,TRUE,"Depreciation";#N/A,#N/A,TRUE,"Balance";#N/A,#N/A,TRUE,"SaleGain";#N/A,#N/A,TRUE,"RevExp";#N/A,#N/A,TRUE,"PIG";#N/A,#N/A,TRUE,"GraphPlant"}</definedName>
    <definedName name="wrn.Section4." localSheetId="0" hidden="1">{#N/A,#N/A,TRUE,"Section4";#N/A,#N/A,TRUE,"Tariffwksht";#N/A,#N/A,TRUE,"TariffINFO";#N/A,#N/A,TRUE,"Generation";#N/A,#N/A,TRUE,"PPAsum";#N/A,#N/A,TRUE,"PPApayments";#N/A,#N/A,TRUE,"RevExp";#N/A,#N/A,TRUE,"GraphRevenue";#N/A,#N/A,TRUE,"GraphRevExp"}</definedName>
    <definedName name="wrn.Section4." localSheetId="1" hidden="1">{#N/A,#N/A,TRUE,"Section4";#N/A,#N/A,TRUE,"Tariffwksht";#N/A,#N/A,TRUE,"TariffINFO";#N/A,#N/A,TRUE,"Generation";#N/A,#N/A,TRUE,"PPAsum";#N/A,#N/A,TRUE,"PPApayments";#N/A,#N/A,TRUE,"RevExp";#N/A,#N/A,TRUE,"GraphRevenue";#N/A,#N/A,TRUE,"GraphRevExp"}</definedName>
    <definedName name="wrn.Section4." localSheetId="2" hidden="1">{#N/A,#N/A,TRUE,"Section4";#N/A,#N/A,TRUE,"Tariffwksht";#N/A,#N/A,TRUE,"TariffINFO";#N/A,#N/A,TRUE,"Generation";#N/A,#N/A,TRUE,"PPAsum";#N/A,#N/A,TRUE,"PPApayments";#N/A,#N/A,TRUE,"RevExp";#N/A,#N/A,TRUE,"GraphRevenue";#N/A,#N/A,TRUE,"GraphRevExp"}</definedName>
    <definedName name="wrn.Section4." hidden="1">{#N/A,#N/A,TRUE,"Section4";#N/A,#N/A,TRUE,"Tariffwksht";#N/A,#N/A,TRUE,"TariffINFO";#N/A,#N/A,TRUE,"Generation";#N/A,#N/A,TRUE,"PPAsum";#N/A,#N/A,TRUE,"PPApayments";#N/A,#N/A,TRUE,"RevExp";#N/A,#N/A,TRUE,"GraphRevenue";#N/A,#N/A,TRUE,"GraphRevExp"}</definedName>
    <definedName name="wrn.Section4Revenue." localSheetId="0" hidden="1">{#N/A,#N/A,TRUE,"Section4";#N/A,#N/A,TRUE,"PPAtable";#N/A,#N/A,TRUE,"RFPtable";#N/A,#N/A,TRUE,"RevCap";#N/A,#N/A,TRUE,"RevOther";#N/A,#N/A,TRUE,"RevGas";#N/A,#N/A,TRUE,"GraphRev"}</definedName>
    <definedName name="wrn.Section4Revenue." localSheetId="1" hidden="1">{#N/A,#N/A,TRUE,"Section4";#N/A,#N/A,TRUE,"PPAtable";#N/A,#N/A,TRUE,"RFPtable";#N/A,#N/A,TRUE,"RevCap";#N/A,#N/A,TRUE,"RevOther";#N/A,#N/A,TRUE,"RevGas";#N/A,#N/A,TRUE,"GraphRev"}</definedName>
    <definedName name="wrn.Section4Revenue." localSheetId="2" hidden="1">{#N/A,#N/A,TRUE,"Section4";#N/A,#N/A,TRUE,"PPAtable";#N/A,#N/A,TRUE,"RFPtable";#N/A,#N/A,TRUE,"RevCap";#N/A,#N/A,TRUE,"RevOther";#N/A,#N/A,TRUE,"RevGas";#N/A,#N/A,TRUE,"GraphRev"}</definedName>
    <definedName name="wrn.Section4Revenue." hidden="1">{#N/A,#N/A,TRUE,"Section4";#N/A,#N/A,TRUE,"PPAtable";#N/A,#N/A,TRUE,"RFPtable";#N/A,#N/A,TRUE,"RevCap";#N/A,#N/A,TRUE,"RevOther";#N/A,#N/A,TRUE,"RevGas";#N/A,#N/A,TRUE,"GraphRev"}</definedName>
    <definedName name="wrn.Section5." localSheetId="0" hidden="1">{#N/A,#N/A,TRUE,"Section5";#N/A,#N/A,TRUE,"Coal";#N/A,#N/A,TRUE,"Fuel";#N/A,#N/A,TRUE,"OMwksht";#N/A,#N/A,TRUE,"VOM";#N/A,#N/A,TRUE,"FOM";#N/A,#N/A,TRUE,"Debt";#N/A,#N/A,TRUE,"LoanSchedules";#N/A,#N/A,TRUE,"GraphExp";#N/A,#N/A,TRUE,"Conversions"}</definedName>
    <definedName name="wrn.Section5." localSheetId="1" hidden="1">{#N/A,#N/A,TRUE,"Section5";#N/A,#N/A,TRUE,"Coal";#N/A,#N/A,TRUE,"Fuel";#N/A,#N/A,TRUE,"OMwksht";#N/A,#N/A,TRUE,"VOM";#N/A,#N/A,TRUE,"FOM";#N/A,#N/A,TRUE,"Debt";#N/A,#N/A,TRUE,"LoanSchedules";#N/A,#N/A,TRUE,"GraphExp";#N/A,#N/A,TRUE,"Conversions"}</definedName>
    <definedName name="wrn.Section5." localSheetId="2" hidden="1">{#N/A,#N/A,TRUE,"Section5";#N/A,#N/A,TRUE,"Coal";#N/A,#N/A,TRUE,"Fuel";#N/A,#N/A,TRUE,"OMwksht";#N/A,#N/A,TRUE,"VOM";#N/A,#N/A,TRUE,"FOM";#N/A,#N/A,TRUE,"Debt";#N/A,#N/A,TRUE,"LoanSchedules";#N/A,#N/A,TRUE,"GraphExp";#N/A,#N/A,TRUE,"Conversions"}</definedName>
    <definedName name="wrn.Section5." hidden="1">{#N/A,#N/A,TRUE,"Section5";#N/A,#N/A,TRUE,"Coal";#N/A,#N/A,TRUE,"Fuel";#N/A,#N/A,TRUE,"OMwksht";#N/A,#N/A,TRUE,"VOM";#N/A,#N/A,TRUE,"FOM";#N/A,#N/A,TRUE,"Debt";#N/A,#N/A,TRUE,"LoanSchedules";#N/A,#N/A,TRUE,"GraphExp";#N/A,#N/A,TRUE,"Conversions"}</definedName>
    <definedName name="wrn.Section6Equipment." localSheetId="0" hidden="1">{#N/A,#N/A,TRUE,"Section6";#N/A,#N/A,TRUE,"OHcycles";#N/A,#N/A,TRUE,"OHtiming";#N/A,#N/A,TRUE,"OHcosts";#N/A,#N/A,TRUE,"GTdegradation";#N/A,#N/A,TRUE,"GTperformance";#N/A,#N/A,TRUE,"GraphEquip"}</definedName>
    <definedName name="wrn.Section6Equipment." localSheetId="1" hidden="1">{#N/A,#N/A,TRUE,"Section6";#N/A,#N/A,TRUE,"OHcycles";#N/A,#N/A,TRUE,"OHtiming";#N/A,#N/A,TRUE,"OHcosts";#N/A,#N/A,TRUE,"GTdegradation";#N/A,#N/A,TRUE,"GTperformance";#N/A,#N/A,TRUE,"GraphEquip"}</definedName>
    <definedName name="wrn.Section6Equipment." localSheetId="2" hidden="1">{#N/A,#N/A,TRUE,"Section6";#N/A,#N/A,TRUE,"OHcycles";#N/A,#N/A,TRUE,"OHtiming";#N/A,#N/A,TRUE,"OHcosts";#N/A,#N/A,TRUE,"GTdegradation";#N/A,#N/A,TRUE,"GTperformance";#N/A,#N/A,TRUE,"GraphEquip"}</definedName>
    <definedName name="wrn.Section6Equipment." hidden="1">{#N/A,#N/A,TRUE,"Section6";#N/A,#N/A,TRUE,"OHcycles";#N/A,#N/A,TRUE,"OHtiming";#N/A,#N/A,TRUE,"OHcosts";#N/A,#N/A,TRUE,"GTdegradation";#N/A,#N/A,TRUE,"GTperformance";#N/A,#N/A,TRUE,"GraphEquip"}</definedName>
    <definedName name="wrn.Section7DebtService." localSheetId="0" hidden="1">{#N/A,#N/A,TRUE,"Section7";#N/A,#N/A,TRUE,"DebtService";#N/A,#N/A,TRUE,"LoanSchedules";#N/A,#N/A,TRUE,"GraphDebt"}</definedName>
    <definedName name="wrn.Section7DebtService." localSheetId="1" hidden="1">{#N/A,#N/A,TRUE,"Section7";#N/A,#N/A,TRUE,"DebtService";#N/A,#N/A,TRUE,"LoanSchedules";#N/A,#N/A,TRUE,"GraphDebt"}</definedName>
    <definedName name="wrn.Section7DebtService." localSheetId="2" hidden="1">{#N/A,#N/A,TRUE,"Section7";#N/A,#N/A,TRUE,"DebtService";#N/A,#N/A,TRUE,"LoanSchedules";#N/A,#N/A,TRUE,"GraphDebt"}</definedName>
    <definedName name="wrn.Section7DebtService." hidden="1">{#N/A,#N/A,TRUE,"Section7";#N/A,#N/A,TRUE,"DebtService";#N/A,#N/A,TRUE,"LoanSchedules";#N/A,#N/A,TRUE,"GraphDebt"}</definedName>
    <definedName name="wrn.Sept._.Dec._.March._.IS." localSheetId="0" hidden="1">{#N/A,#N/A,FALSE,"Top level MTD";#N/A,#N/A,FALSE,"PHI MTD";#N/A,#N/A,FALSE,"PacifiCorp MTD";#N/A,#N/A,FALSE,"PGHC MTD";#N/A,#N/A,FALSE,"Top level QTD";#N/A,#N/A,FALSE,"PHI QTD";#N/A,#N/A,FALSE,"PacifiCorp QTD";#N/A,#N/A,FALSE,"PGHC QTD";#N/A,#N/A,FALSE,"Top level YTD";#N/A,#N/A,FALSE,"PHI YTD";#N/A,#N/A,FALSE,"PacifiCorp YTD";#N/A,#N/A,FALSE,"PGHC YTD"}</definedName>
    <definedName name="wrn.Sept._.Dec._.March._.IS." localSheetId="1" hidden="1">{#N/A,#N/A,FALSE,"Top level MTD";#N/A,#N/A,FALSE,"PHI MTD";#N/A,#N/A,FALSE,"PacifiCorp MTD";#N/A,#N/A,FALSE,"PGHC MTD";#N/A,#N/A,FALSE,"Top level QTD";#N/A,#N/A,FALSE,"PHI QTD";#N/A,#N/A,FALSE,"PacifiCorp QTD";#N/A,#N/A,FALSE,"PGHC QTD";#N/A,#N/A,FALSE,"Top level YTD";#N/A,#N/A,FALSE,"PHI YTD";#N/A,#N/A,FALSE,"PacifiCorp YTD";#N/A,#N/A,FALSE,"PGHC YTD"}</definedName>
    <definedName name="wrn.Sept._.Dec._.March._.IS." localSheetId="2" hidden="1">{#N/A,#N/A,FALSE,"Top level MTD";#N/A,#N/A,FALSE,"PHI MTD";#N/A,#N/A,FALSE,"PacifiCorp MTD";#N/A,#N/A,FALSE,"PGHC MTD";#N/A,#N/A,FALSE,"Top level QTD";#N/A,#N/A,FALSE,"PHI QTD";#N/A,#N/A,FALSE,"PacifiCorp QTD";#N/A,#N/A,FALSE,"PGHC QTD";#N/A,#N/A,FALSE,"Top level YTD";#N/A,#N/A,FALSE,"PHI YTD";#N/A,#N/A,FALSE,"PacifiCorp YTD";#N/A,#N/A,FALSE,"PGHC YTD"}</definedName>
    <definedName name="wrn.Sept._.Dec._.March._.IS." hidden="1">{#N/A,#N/A,FALSE,"Top level MTD";#N/A,#N/A,FALSE,"PHI MTD";#N/A,#N/A,FALSE,"PacifiCorp MTD";#N/A,#N/A,FALSE,"PGHC MTD";#N/A,#N/A,FALSE,"Top level QTD";#N/A,#N/A,FALSE,"PHI QTD";#N/A,#N/A,FALSE,"PacifiCorp QTD";#N/A,#N/A,FALSE,"PGHC QTD";#N/A,#N/A,FALSE,"Top level YTD";#N/A,#N/A,FALSE,"PHI YTD";#N/A,#N/A,FALSE,"PacifiCorp YTD";#N/A,#N/A,FALSE,"PGHC YTD"}</definedName>
    <definedName name="wrn.SponsorSection." localSheetId="0" hidden="1">{#N/A,#N/A,TRUE,"Cover";#N/A,#N/A,TRUE,"Contents";#N/A,#N/A,TRUE,"Organization";#N/A,#N/A,TRUE,"SumSponsor";#N/A,#N/A,TRUE,"Plant1";#N/A,#N/A,TRUE,"Plant2";#N/A,#N/A,TRUE,"Sponsors";#N/A,#N/A,TRUE,"ElPaso1";#N/A,#N/A,TRUE,"GraphSponsor"}</definedName>
    <definedName name="wrn.SponsorSection." localSheetId="1" hidden="1">{#N/A,#N/A,TRUE,"Cover";#N/A,#N/A,TRUE,"Contents";#N/A,#N/A,TRUE,"Organization";#N/A,#N/A,TRUE,"SumSponsor";#N/A,#N/A,TRUE,"Plant1";#N/A,#N/A,TRUE,"Plant2";#N/A,#N/A,TRUE,"Sponsors";#N/A,#N/A,TRUE,"ElPaso1";#N/A,#N/A,TRUE,"GraphSponsor"}</definedName>
    <definedName name="wrn.SponsorSection." localSheetId="2" hidden="1">{#N/A,#N/A,TRUE,"Cover";#N/A,#N/A,TRUE,"Contents";#N/A,#N/A,TRUE,"Organization";#N/A,#N/A,TRUE,"SumSponsor";#N/A,#N/A,TRUE,"Plant1";#N/A,#N/A,TRUE,"Plant2";#N/A,#N/A,TRUE,"Sponsors";#N/A,#N/A,TRUE,"ElPaso1";#N/A,#N/A,TRUE,"GraphSponsor"}</definedName>
    <definedName name="wrn.SponsorSection." hidden="1">{#N/A,#N/A,TRUE,"Cover";#N/A,#N/A,TRUE,"Contents";#N/A,#N/A,TRUE,"Organization";#N/A,#N/A,TRUE,"SumSponsor";#N/A,#N/A,TRUE,"Plant1";#N/A,#N/A,TRUE,"Plant2";#N/A,#N/A,TRUE,"Sponsors";#N/A,#N/A,TRUE,"ElPaso1";#N/A,#N/A,TRUE,"GraphSponsor"}</definedName>
    <definedName name="wrn.Standard." localSheetId="0" hidden="1">{"YTD-Total",#N/A,FALSE,"Provision"}</definedName>
    <definedName name="wrn.Standard." localSheetId="1" hidden="1">{"YTD-Total",#N/A,FALSE,"Provision"}</definedName>
    <definedName name="wrn.Standard." localSheetId="2" hidden="1">{"YTD-Total",#N/A,FALSE,"Provision"}</definedName>
    <definedName name="wrn.Standard." hidden="1">{"YTD-Total",#N/A,FALSE,"Provision"}</definedName>
    <definedName name="wrn.Standard._.NonUtility._.Only." localSheetId="0" hidden="1">{"YTD-NonUtility",#N/A,FALSE,"Prov NonUtility"}</definedName>
    <definedName name="wrn.Standard._.NonUtility._.Only." localSheetId="1" hidden="1">{"YTD-NonUtility",#N/A,FALSE,"Prov NonUtility"}</definedName>
    <definedName name="wrn.Standard._.NonUtility._.Only." localSheetId="2" hidden="1">{"YTD-NonUtility",#N/A,FALSE,"Prov NonUtility"}</definedName>
    <definedName name="wrn.Standard._.NonUtility._.Only." hidden="1">{"YTD-NonUtility",#N/A,FALSE,"Prov NonUtility"}</definedName>
    <definedName name="wrn.Standard._.Utility._.Only." localSheetId="0" hidden="1">{"YTD-Utility",#N/A,FALSE,"Prov Utility"}</definedName>
    <definedName name="wrn.Standard._.Utility._.Only." localSheetId="1" hidden="1">{"YTD-Utility",#N/A,FALSE,"Prov Utility"}</definedName>
    <definedName name="wrn.Standard._.Utility._.Only." localSheetId="2" hidden="1">{"YTD-Utility",#N/A,FALSE,"Prov Utility"}</definedName>
    <definedName name="wrn.Standard._.Utility._.Only." hidden="1">{"YTD-Utility",#N/A,FALSE,"Prov Utility"}</definedName>
    <definedName name="wrn.Summary." localSheetId="0" hidden="1">{#N/A,#N/A,FALSE,"Sum Qtr";#N/A,#N/A,FALSE,"Oper Sum";#N/A,#N/A,FALSE,"Land Sales";#N/A,#N/A,FALSE,"Finance";#N/A,#N/A,FALSE,"Oper Ass"}</definedName>
    <definedName name="wrn.Summary." localSheetId="1" hidden="1">{#N/A,#N/A,FALSE,"Sum Qtr";#N/A,#N/A,FALSE,"Oper Sum";#N/A,#N/A,FALSE,"Land Sales";#N/A,#N/A,FALSE,"Finance";#N/A,#N/A,FALSE,"Oper Ass"}</definedName>
    <definedName name="wrn.Summary." localSheetId="2" hidden="1">{#N/A,#N/A,FALSE,"Sum Qtr";#N/A,#N/A,FALSE,"Oper Sum";#N/A,#N/A,FALSE,"Land Sales";#N/A,#N/A,FALSE,"Finance";#N/A,#N/A,FALSE,"Oper Ass"}</definedName>
    <definedName name="wrn.Summary." hidden="1">{#N/A,#N/A,FALSE,"Sum Qtr";#N/A,#N/A,FALSE,"Oper Sum";#N/A,#N/A,FALSE,"Land Sales";#N/A,#N/A,FALSE,"Finance";#N/A,#N/A,FALSE,"Oper Ass"}</definedName>
    <definedName name="wrn.Summary._.View." localSheetId="0" hidden="1">{#N/A,#N/A,FALSE,"Consltd-For contngcy"}</definedName>
    <definedName name="wrn.Summary._.View." localSheetId="1" hidden="1">{#N/A,#N/A,FALSE,"Consltd-For contngcy"}</definedName>
    <definedName name="wrn.Summary._.View." localSheetId="2" hidden="1">{#N/A,#N/A,FALSE,"Consltd-For contngcy"}</definedName>
    <definedName name="wrn.Summary._.View." hidden="1">{#N/A,#N/A,FALSE,"Consltd-For contngcy"}</definedName>
    <definedName name="wrn.test." localSheetId="0" hidden="1">{#N/A,#N/A,TRUE,"10.1_Historical Cover Sheet";#N/A,#N/A,TRUE,"10.2-10.3_Historical"}</definedName>
    <definedName name="wrn.test." localSheetId="1" hidden="1">{#N/A,#N/A,TRUE,"10.1_Historical Cover Sheet";#N/A,#N/A,TRUE,"10.2-10.3_Historical"}</definedName>
    <definedName name="wrn.test." localSheetId="2" hidden="1">{#N/A,#N/A,TRUE,"10.1_Historical Cover Sheet";#N/A,#N/A,TRUE,"10.2-10.3_Historical"}</definedName>
    <definedName name="wrn.test." hidden="1">{#N/A,#N/A,TRUE,"10.1_Historical Cover Sheet";#N/A,#N/A,TRUE,"10.2-10.3_Historical"}</definedName>
    <definedName name="wrn.Total._.Summary." localSheetId="0" hidden="1">{"Total Summary",#N/A,FALSE,"Summary"}</definedName>
    <definedName name="wrn.Total._.Summary." localSheetId="1" hidden="1">{"Total Summary",#N/A,FALSE,"Summary"}</definedName>
    <definedName name="wrn.Total._.Summary." localSheetId="2" hidden="1">{"Total Summary",#N/A,FALSE,"Summary"}</definedName>
    <definedName name="wrn.Total._.Summary." hidden="1">{"Total Summary",#N/A,FALSE,"Summary"}</definedName>
    <definedName name="wrn.UK._.Conversion._.Only." localSheetId="0" hidden="1">{#N/A,#N/A,FALSE,"Dec 1999 UK Continuing Ops"}</definedName>
    <definedName name="wrn.UK._.Conversion._.Only." localSheetId="1" hidden="1">{#N/A,#N/A,FALSE,"Dec 1999 UK Continuing Ops"}</definedName>
    <definedName name="wrn.UK._.Conversion._.Only." localSheetId="2" hidden="1">{#N/A,#N/A,FALSE,"Dec 1999 UK Continuing Ops"}</definedName>
    <definedName name="wrn.UK._.Conversion._.Only." hidden="1">{#N/A,#N/A,FALSE,"Dec 1999 UK Continuing Ops"}</definedName>
    <definedName name="wrn.YearEnd." localSheetId="3" hidden="1">{"Factors Pages 1-2",#N/A,FALSE,"Variables";"Factors Page 3",#N/A,FALSE,"Variables";"Factors Page 4",#N/A,FALSE,"Variables";"Factors Page 5",#N/A,FALSE,"Variables";"YE Pages 7-26",#N/A,FALSE,"Variables"}</definedName>
    <definedName name="wrn.YearEnd." localSheetId="0" hidden="1">{"Factors Pages 1-2",#N/A,FALSE,"Variables";"Factors Page 3",#N/A,FALSE,"Variables";"Factors Page 4",#N/A,FALSE,"Variables";"Factors Page 5",#N/A,FALSE,"Variables";"YE Pages 7-26",#N/A,FALSE,"Variables"}</definedName>
    <definedName name="wrn.YearEnd." localSheetId="1" hidden="1">{"Factors Pages 1-2",#N/A,FALSE,"Variables";"Factors Page 3",#N/A,FALSE,"Variables";"Factors Page 4",#N/A,FALSE,"Variables";"Factors Page 5",#N/A,FALSE,"Variables";"YE Pages 7-26",#N/A,FALSE,"Variables"}</definedName>
    <definedName name="wrn.YearEnd." localSheetId="2" hidden="1">{"Factors Pages 1-2",#N/A,FALSE,"Variables";"Factors Page 3",#N/A,FALSE,"Variables";"Factors Page 4",#N/A,FALSE,"Variables";"Factors Page 5",#N/A,FALSE,"Variables";"YE Pages 7-26",#N/A,FALSE,"Variables"}</definedName>
    <definedName name="wrn.YearEnd." hidden="1">{"Factors Pages 1-2",#N/A,FALSE,"Variables";"Factors Page 3",#N/A,FALSE,"Variables";"Factors Page 4",#N/A,FALSE,"Variables";"Factors Page 5",#N/A,FALSE,"Variables";"YE Pages 7-26",#N/A,FALSE,"Variables"}</definedName>
    <definedName name="y" localSheetId="0" hidden="1">#REF!</definedName>
    <definedName name="y" localSheetId="1" hidden="1">#REF!</definedName>
    <definedName name="y" localSheetId="2" hidden="1">#REF!</definedName>
    <definedName name="y" hidden="1">#REF!</definedName>
    <definedName name="z" localSheetId="0" hidden="1">#REF!</definedName>
    <definedName name="z" localSheetId="1" hidden="1">#REF!</definedName>
    <definedName name="z" localSheetId="2" hidden="1">#REF!</definedName>
    <definedName name="z" hidden="1">#REF!</definedName>
    <definedName name="Z_01844156_6462_4A28_9785_1A86F4D0C834_.wvu.PrintTitles" localSheetId="0" hidden="1">#REF!</definedName>
    <definedName name="Z_01844156_6462_4A28_9785_1A86F4D0C834_.wvu.PrintTitles" localSheetId="1" hidden="1">#REF!</definedName>
    <definedName name="Z_01844156_6462_4A28_9785_1A86F4D0C834_.wvu.PrintTitles" localSheetId="2" hidden="1">#REF!</definedName>
    <definedName name="Z_01844156_6462_4A28_9785_1A86F4D0C834_.wvu.PrintTitles" hidden="1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56" i="2" l="1"/>
  <c r="R44" i="2"/>
  <c r="S44" i="2" s="1"/>
  <c r="S43" i="2"/>
  <c r="R43" i="2"/>
  <c r="R42" i="2"/>
  <c r="S42" i="2" s="1"/>
  <c r="S41" i="2"/>
  <c r="R41" i="2"/>
  <c r="R40" i="2"/>
  <c r="S40" i="2" s="1"/>
  <c r="R36" i="2"/>
  <c r="S36" i="2" s="1"/>
  <c r="R35" i="2"/>
  <c r="S35" i="2" s="1"/>
  <c r="R34" i="2"/>
  <c r="S34" i="2" s="1"/>
  <c r="R32" i="2"/>
  <c r="R31" i="2"/>
  <c r="R30" i="2"/>
  <c r="S29" i="2"/>
  <c r="R29" i="2"/>
  <c r="R28" i="2"/>
  <c r="S28" i="2" s="1"/>
  <c r="S27" i="2"/>
  <c r="R27" i="2"/>
  <c r="R25" i="2"/>
  <c r="S25" i="2" s="1"/>
  <c r="R24" i="2"/>
  <c r="R23" i="2"/>
  <c r="S23" i="2" s="1"/>
  <c r="R22" i="2"/>
  <c r="S22" i="2" s="1"/>
  <c r="S32" i="2" s="1"/>
  <c r="R20" i="2"/>
  <c r="S20" i="2" s="1"/>
  <c r="R19" i="2"/>
  <c r="S19" i="2" s="1"/>
  <c r="S31" i="2" s="1"/>
  <c r="R15" i="2"/>
  <c r="S15" i="2" s="1"/>
  <c r="S14" i="2"/>
  <c r="R14" i="2"/>
  <c r="Q22" i="2"/>
  <c r="Q19" i="2"/>
  <c r="R54" i="2"/>
  <c r="R58" i="2"/>
  <c r="X16" i="2"/>
  <c r="Q23" i="2"/>
  <c r="Q35" i="2"/>
  <c r="W14" i="2"/>
  <c r="V14" i="2"/>
  <c r="U14" i="2"/>
  <c r="P56" i="2"/>
  <c r="P52" i="2" s="1"/>
  <c r="P58" i="2"/>
  <c r="S30" i="2" l="1"/>
  <c r="S24" i="2"/>
  <c r="R49" i="2"/>
  <c r="S49" i="2" s="1"/>
  <c r="T17" i="14"/>
  <c r="S17" i="14"/>
  <c r="T15" i="14"/>
  <c r="S15" i="14"/>
  <c r="T14" i="14"/>
  <c r="S14" i="14"/>
  <c r="I41" i="14"/>
  <c r="G41" i="14"/>
  <c r="I35" i="14"/>
  <c r="G35" i="14"/>
  <c r="I34" i="14"/>
  <c r="I32" i="14"/>
  <c r="G32" i="14"/>
  <c r="I31" i="14"/>
  <c r="G31" i="14"/>
  <c r="I30" i="14"/>
  <c r="I33" i="14" s="1"/>
  <c r="G30" i="14"/>
  <c r="I27" i="14"/>
  <c r="G27" i="14"/>
  <c r="I24" i="14"/>
  <c r="G24" i="14"/>
  <c r="I15" i="14"/>
  <c r="G15" i="14"/>
  <c r="A15" i="14"/>
  <c r="A16" i="14" s="1"/>
  <c r="I14" i="14"/>
  <c r="G14" i="14"/>
  <c r="G17" i="14" s="1"/>
  <c r="E11" i="14"/>
  <c r="I17" i="14" l="1"/>
  <c r="G33" i="14"/>
  <c r="I11" i="14"/>
  <c r="M11" i="14" s="1"/>
  <c r="K11" i="14"/>
  <c r="A17" i="14"/>
  <c r="A19" i="14" s="1"/>
  <c r="G11" i="14"/>
  <c r="P346" i="3"/>
  <c r="P348" i="3"/>
  <c r="D109" i="3"/>
  <c r="O12" i="14" l="1"/>
  <c r="O11" i="14"/>
  <c r="Q12" i="14" s="1"/>
  <c r="Q11" i="14"/>
  <c r="A20" i="14"/>
  <c r="A21" i="14" l="1"/>
  <c r="A22" i="14"/>
  <c r="A23" i="14" l="1"/>
  <c r="A24" i="14"/>
  <c r="A25" i="14" l="1"/>
  <c r="A26" i="14"/>
  <c r="A27" i="14" l="1"/>
  <c r="A28" i="14" s="1"/>
  <c r="A29" i="14" s="1"/>
  <c r="A30" i="14" s="1"/>
  <c r="A31" i="14" l="1"/>
  <c r="A32" i="14" s="1"/>
  <c r="A33" i="14" s="1"/>
  <c r="A34" i="14" s="1"/>
  <c r="A35" i="14" s="1"/>
  <c r="A36" i="14" s="1"/>
  <c r="A37" i="14" s="1"/>
  <c r="A38" i="14" s="1"/>
  <c r="A40" i="14" s="1"/>
  <c r="A41" i="14" s="1"/>
  <c r="A42" i="14" s="1"/>
  <c r="A43" i="14" s="1"/>
  <c r="A44" i="14" s="1"/>
  <c r="A45" i="14" s="1"/>
  <c r="A46" i="14" s="1"/>
  <c r="A47" i="14" s="1"/>
  <c r="A48" i="14" s="1"/>
  <c r="A49" i="14" s="1"/>
  <c r="I53" i="2"/>
  <c r="I52" i="2"/>
  <c r="I54" i="2" l="1"/>
  <c r="I56" i="2" s="1"/>
  <c r="I58" i="2" s="1"/>
  <c r="M52" i="2" s="1"/>
  <c r="J42" i="4"/>
  <c r="J43" i="4" s="1"/>
  <c r="J44" i="4" s="1"/>
  <c r="J45" i="4" s="1"/>
  <c r="J46" i="4" s="1"/>
  <c r="J47" i="4" s="1"/>
  <c r="H1280" i="3"/>
  <c r="M1279" i="3"/>
  <c r="M47" i="14" s="1"/>
  <c r="O47" i="14" s="1"/>
  <c r="Q47" i="14" s="1"/>
  <c r="M1278" i="3"/>
  <c r="M1277" i="3"/>
  <c r="M1276" i="3"/>
  <c r="D1255" i="3"/>
  <c r="D1254" i="3"/>
  <c r="C1272" i="3"/>
  <c r="C1255" i="3"/>
  <c r="D1264" i="3"/>
  <c r="C1254" i="3"/>
  <c r="H1260" i="3"/>
  <c r="H1259" i="3"/>
  <c r="K1252" i="3"/>
  <c r="K1251" i="3"/>
  <c r="I1248" i="3"/>
  <c r="H1248" i="3"/>
  <c r="D1248" i="3"/>
  <c r="I36" i="14" s="1"/>
  <c r="C1248" i="3"/>
  <c r="M1247" i="3"/>
  <c r="M1245" i="3"/>
  <c r="C1242" i="3"/>
  <c r="D1236" i="3" s="1"/>
  <c r="I1236" i="3" s="1"/>
  <c r="H1241" i="3"/>
  <c r="H1240" i="3"/>
  <c r="I1240" i="3"/>
  <c r="H1239" i="3"/>
  <c r="H1238" i="3"/>
  <c r="H1237" i="3"/>
  <c r="H1236" i="3"/>
  <c r="H1235" i="3"/>
  <c r="H1234" i="3"/>
  <c r="I1234" i="3"/>
  <c r="C1231" i="3"/>
  <c r="D1226" i="3" s="1"/>
  <c r="I1226" i="3" s="1"/>
  <c r="H1230" i="3"/>
  <c r="I1229" i="3"/>
  <c r="H1229" i="3"/>
  <c r="Q1228" i="3"/>
  <c r="P1228" i="3"/>
  <c r="H1228" i="3"/>
  <c r="I1227" i="3"/>
  <c r="H1227" i="3"/>
  <c r="H1226" i="3"/>
  <c r="H1225" i="3"/>
  <c r="H1224" i="3"/>
  <c r="I1223" i="3"/>
  <c r="H1223" i="3"/>
  <c r="M1223" i="3"/>
  <c r="M1220" i="3"/>
  <c r="D1215" i="3"/>
  <c r="H1214" i="3"/>
  <c r="I1213" i="3"/>
  <c r="H1213" i="3"/>
  <c r="I1212" i="3"/>
  <c r="H1212" i="3"/>
  <c r="I1211" i="3"/>
  <c r="H1211" i="3"/>
  <c r="I1210" i="3"/>
  <c r="H1210" i="3"/>
  <c r="H1209" i="3"/>
  <c r="H1208" i="3"/>
  <c r="H1207" i="3"/>
  <c r="D1204" i="3"/>
  <c r="C1204" i="3"/>
  <c r="I1202" i="3"/>
  <c r="H1202" i="3"/>
  <c r="I1201" i="3"/>
  <c r="H1201" i="3"/>
  <c r="H1199" i="3"/>
  <c r="H1198" i="3"/>
  <c r="I1196" i="3"/>
  <c r="H1196" i="3"/>
  <c r="I1195" i="3"/>
  <c r="H1195" i="3"/>
  <c r="I1193" i="3"/>
  <c r="H1193" i="3"/>
  <c r="I1192" i="3"/>
  <c r="H1192" i="3"/>
  <c r="I1190" i="3"/>
  <c r="H1190" i="3"/>
  <c r="I1189" i="3"/>
  <c r="H1189" i="3"/>
  <c r="I1186" i="3"/>
  <c r="H1186" i="3"/>
  <c r="H1185" i="3"/>
  <c r="I1184" i="3"/>
  <c r="H1184" i="3"/>
  <c r="I1183" i="3"/>
  <c r="H1183" i="3"/>
  <c r="I1182" i="3"/>
  <c r="H1182" i="3"/>
  <c r="H1180" i="3"/>
  <c r="H1179" i="3"/>
  <c r="H1178" i="3"/>
  <c r="I1176" i="3"/>
  <c r="H1176" i="3"/>
  <c r="H1175" i="3"/>
  <c r="I1174" i="3"/>
  <c r="H1174" i="3"/>
  <c r="I1165" i="3"/>
  <c r="H1165" i="3"/>
  <c r="I1164" i="3"/>
  <c r="H1164" i="3"/>
  <c r="H1163" i="3"/>
  <c r="H1162" i="3"/>
  <c r="H1161" i="3"/>
  <c r="D1158" i="3"/>
  <c r="C1158" i="3"/>
  <c r="I1156" i="3"/>
  <c r="H1156" i="3"/>
  <c r="I1155" i="3"/>
  <c r="H1155" i="3"/>
  <c r="I1153" i="3"/>
  <c r="H1153" i="3"/>
  <c r="I1152" i="3"/>
  <c r="H1152" i="3"/>
  <c r="I1150" i="3"/>
  <c r="H1150" i="3"/>
  <c r="I1149" i="3"/>
  <c r="H1149" i="3"/>
  <c r="I1147" i="3"/>
  <c r="H1147" i="3"/>
  <c r="I1146" i="3"/>
  <c r="H1146" i="3"/>
  <c r="H1144" i="3"/>
  <c r="H1143" i="3"/>
  <c r="I1140" i="3"/>
  <c r="H1140" i="3"/>
  <c r="I1139" i="3"/>
  <c r="H1139" i="3"/>
  <c r="I1138" i="3"/>
  <c r="H1138" i="3"/>
  <c r="I1137" i="3"/>
  <c r="H1137" i="3"/>
  <c r="H1136" i="3"/>
  <c r="H1134" i="3"/>
  <c r="H1133" i="3"/>
  <c r="H1132" i="3"/>
  <c r="I1130" i="3"/>
  <c r="H1130" i="3"/>
  <c r="I1129" i="3"/>
  <c r="H1129" i="3"/>
  <c r="I1128" i="3"/>
  <c r="H1128" i="3"/>
  <c r="I1134" i="3"/>
  <c r="H1121" i="3"/>
  <c r="H1120" i="3"/>
  <c r="H1119" i="3"/>
  <c r="H1118" i="3"/>
  <c r="H1117" i="3"/>
  <c r="H1116" i="3"/>
  <c r="H1115" i="3"/>
  <c r="I1106" i="3"/>
  <c r="H1106" i="3"/>
  <c r="I1105" i="3"/>
  <c r="H1105" i="3"/>
  <c r="I1103" i="3"/>
  <c r="H1103" i="3"/>
  <c r="I1102" i="3"/>
  <c r="H1102" i="3"/>
  <c r="I1100" i="3"/>
  <c r="H1100" i="3"/>
  <c r="I1099" i="3"/>
  <c r="H1099" i="3"/>
  <c r="I1097" i="3"/>
  <c r="H1097" i="3"/>
  <c r="I1096" i="3"/>
  <c r="H1096" i="3"/>
  <c r="I1092" i="3"/>
  <c r="H1092" i="3"/>
  <c r="I1091" i="3"/>
  <c r="H1091" i="3"/>
  <c r="I1090" i="3"/>
  <c r="H1090" i="3"/>
  <c r="I1089" i="3"/>
  <c r="H1089" i="3"/>
  <c r="K1087" i="3"/>
  <c r="H1087" i="3"/>
  <c r="H1086" i="3"/>
  <c r="D1086" i="3"/>
  <c r="I1086" i="3" s="1"/>
  <c r="H1085" i="3"/>
  <c r="I1083" i="3"/>
  <c r="I1087" i="3"/>
  <c r="H1083" i="3"/>
  <c r="I1082" i="3"/>
  <c r="H1082" i="3"/>
  <c r="I1081" i="3"/>
  <c r="H1081" i="3"/>
  <c r="H1074" i="3"/>
  <c r="H1073" i="3"/>
  <c r="H1072" i="3"/>
  <c r="H1071" i="3"/>
  <c r="H1070" i="3"/>
  <c r="H1069" i="3"/>
  <c r="I1066" i="3"/>
  <c r="H1066" i="3"/>
  <c r="I1065" i="3"/>
  <c r="H1065" i="3"/>
  <c r="I1064" i="3"/>
  <c r="H1064" i="3"/>
  <c r="I1063" i="3"/>
  <c r="H1063" i="3"/>
  <c r="I1062" i="3"/>
  <c r="H1062" i="3"/>
  <c r="I1061" i="3"/>
  <c r="H1061" i="3"/>
  <c r="I1060" i="3"/>
  <c r="H1060" i="3"/>
  <c r="I1059" i="3"/>
  <c r="H1059" i="3"/>
  <c r="H1052" i="3"/>
  <c r="H1051" i="3"/>
  <c r="H1044" i="3"/>
  <c r="I1044" i="3"/>
  <c r="H1043" i="3"/>
  <c r="I1041" i="3"/>
  <c r="H1041" i="3"/>
  <c r="I1040" i="3"/>
  <c r="H1040" i="3"/>
  <c r="I1038" i="3"/>
  <c r="H1038" i="3"/>
  <c r="I1037" i="3"/>
  <c r="H1037" i="3"/>
  <c r="I1035" i="3"/>
  <c r="H1035" i="3"/>
  <c r="I1034" i="3"/>
  <c r="H1034" i="3"/>
  <c r="I1031" i="3"/>
  <c r="H1031" i="3"/>
  <c r="I1030" i="3"/>
  <c r="H1030" i="3"/>
  <c r="I1029" i="3"/>
  <c r="H1029" i="3"/>
  <c r="I1027" i="3"/>
  <c r="H1027" i="3"/>
  <c r="I1026" i="3"/>
  <c r="H1026" i="3"/>
  <c r="I1024" i="3"/>
  <c r="H1024" i="3"/>
  <c r="I1023" i="3"/>
  <c r="H1023" i="3"/>
  <c r="I1021" i="3"/>
  <c r="H1021" i="3"/>
  <c r="I1020" i="3"/>
  <c r="H1020" i="3"/>
  <c r="I1017" i="3"/>
  <c r="H1017" i="3"/>
  <c r="I1016" i="3"/>
  <c r="H1016" i="3"/>
  <c r="I1015" i="3"/>
  <c r="H1015" i="3"/>
  <c r="H1008" i="3"/>
  <c r="H1007" i="3"/>
  <c r="H1006" i="3"/>
  <c r="H1005" i="3"/>
  <c r="H1004" i="3"/>
  <c r="H1003" i="3"/>
  <c r="H1002" i="3"/>
  <c r="H1000" i="3"/>
  <c r="H999" i="3"/>
  <c r="H998" i="3"/>
  <c r="H997" i="3"/>
  <c r="H989" i="3"/>
  <c r="H988" i="3"/>
  <c r="H983" i="3"/>
  <c r="H982" i="3"/>
  <c r="H979" i="3"/>
  <c r="H978" i="3"/>
  <c r="H977" i="3"/>
  <c r="H975" i="3"/>
  <c r="H974" i="3"/>
  <c r="H972" i="3"/>
  <c r="H971" i="3"/>
  <c r="H969" i="3"/>
  <c r="H968" i="3"/>
  <c r="H965" i="3"/>
  <c r="H964" i="3"/>
  <c r="H963" i="3"/>
  <c r="H961" i="3"/>
  <c r="H960" i="3"/>
  <c r="H958" i="3"/>
  <c r="H957" i="3"/>
  <c r="H955" i="3"/>
  <c r="H954" i="3"/>
  <c r="H951" i="3"/>
  <c r="H950" i="3"/>
  <c r="H949" i="3"/>
  <c r="I949" i="3"/>
  <c r="D945" i="3"/>
  <c r="H944" i="3"/>
  <c r="C944" i="3"/>
  <c r="C942" i="3"/>
  <c r="H942" i="3" s="1"/>
  <c r="C941" i="3"/>
  <c r="H941" i="3" s="1"/>
  <c r="C940" i="3"/>
  <c r="H940" i="3" s="1"/>
  <c r="C939" i="3"/>
  <c r="H939" i="3" s="1"/>
  <c r="C938" i="3"/>
  <c r="H938" i="3" s="1"/>
  <c r="C937" i="3"/>
  <c r="H937" i="3" s="1"/>
  <c r="C936" i="3"/>
  <c r="H936" i="3" s="1"/>
  <c r="C934" i="3"/>
  <c r="H934" i="3" s="1"/>
  <c r="C933" i="3"/>
  <c r="H933" i="3" s="1"/>
  <c r="C932" i="3"/>
  <c r="H932" i="3" s="1"/>
  <c r="C931" i="3"/>
  <c r="H931" i="3" s="1"/>
  <c r="C930" i="3"/>
  <c r="H930" i="3" s="1"/>
  <c r="C929" i="3"/>
  <c r="H929" i="3" s="1"/>
  <c r="C928" i="3"/>
  <c r="H928" i="3" s="1"/>
  <c r="C927" i="3"/>
  <c r="H927" i="3" s="1"/>
  <c r="C923" i="3"/>
  <c r="H923" i="3" s="1"/>
  <c r="C922" i="3"/>
  <c r="H922" i="3" s="1"/>
  <c r="C920" i="3"/>
  <c r="H920" i="3" s="1"/>
  <c r="C919" i="3"/>
  <c r="H919" i="3" s="1"/>
  <c r="C917" i="3"/>
  <c r="H917" i="3" s="1"/>
  <c r="C916" i="3"/>
  <c r="H916" i="3" s="1"/>
  <c r="C913" i="3"/>
  <c r="H913" i="3" s="1"/>
  <c r="K912" i="3"/>
  <c r="C912" i="3"/>
  <c r="H912" i="3" s="1"/>
  <c r="C911" i="3"/>
  <c r="H911" i="3" s="1"/>
  <c r="C909" i="3"/>
  <c r="H909" i="3" s="1"/>
  <c r="C908" i="3"/>
  <c r="H908" i="3" s="1"/>
  <c r="C906" i="3"/>
  <c r="H906" i="3" s="1"/>
  <c r="C905" i="3"/>
  <c r="H905" i="3" s="1"/>
  <c r="C903" i="3"/>
  <c r="H903" i="3" s="1"/>
  <c r="C902" i="3"/>
  <c r="H902" i="3" s="1"/>
  <c r="C899" i="3"/>
  <c r="H899" i="3" s="1"/>
  <c r="K898" i="3"/>
  <c r="C898" i="3"/>
  <c r="H898" i="3" s="1"/>
  <c r="C897" i="3"/>
  <c r="H897" i="3" s="1"/>
  <c r="C895" i="3"/>
  <c r="H895" i="3" s="1"/>
  <c r="C894" i="3"/>
  <c r="H894" i="3" s="1"/>
  <c r="C892" i="3"/>
  <c r="H892" i="3" s="1"/>
  <c r="C891" i="3"/>
  <c r="H891" i="3" s="1"/>
  <c r="C889" i="3"/>
  <c r="H889" i="3" s="1"/>
  <c r="C888" i="3"/>
  <c r="H888" i="3" s="1"/>
  <c r="C885" i="3"/>
  <c r="H885" i="3" s="1"/>
  <c r="K884" i="3"/>
  <c r="C884" i="3"/>
  <c r="H884" i="3" s="1"/>
  <c r="D883" i="3"/>
  <c r="C883" i="3"/>
  <c r="H883" i="3" s="1"/>
  <c r="I869" i="3"/>
  <c r="I850" i="3"/>
  <c r="I837" i="3"/>
  <c r="D831" i="3"/>
  <c r="H830" i="3"/>
  <c r="C830" i="3"/>
  <c r="P821" i="3"/>
  <c r="I821" i="3"/>
  <c r="Q820" i="3"/>
  <c r="D818" i="3"/>
  <c r="I818" i="3" s="1"/>
  <c r="I802" i="3"/>
  <c r="I805" i="3"/>
  <c r="H797" i="3"/>
  <c r="H796" i="3"/>
  <c r="H795" i="3"/>
  <c r="H794" i="3"/>
  <c r="H793" i="3"/>
  <c r="C799" i="3"/>
  <c r="H791" i="3"/>
  <c r="H790" i="3"/>
  <c r="H789" i="3"/>
  <c r="H788" i="3"/>
  <c r="H787" i="3"/>
  <c r="I786" i="3"/>
  <c r="I789" i="3"/>
  <c r="H786" i="3"/>
  <c r="D767" i="3"/>
  <c r="I28" i="14" s="1"/>
  <c r="H766" i="3"/>
  <c r="C766" i="3"/>
  <c r="P772" i="3"/>
  <c r="Q771" i="3"/>
  <c r="I773" i="3"/>
  <c r="K764" i="3"/>
  <c r="Q762" i="3"/>
  <c r="P762" i="3"/>
  <c r="K757" i="3"/>
  <c r="K756" i="3"/>
  <c r="I749" i="3"/>
  <c r="D751" i="3"/>
  <c r="C751" i="3"/>
  <c r="H748" i="3"/>
  <c r="I747" i="3"/>
  <c r="I748" i="3"/>
  <c r="H747" i="3"/>
  <c r="D744" i="3"/>
  <c r="H729" i="3"/>
  <c r="D737" i="3"/>
  <c r="C729" i="3"/>
  <c r="D728" i="3"/>
  <c r="K727" i="3"/>
  <c r="I721" i="3"/>
  <c r="D723" i="3"/>
  <c r="I719" i="3"/>
  <c r="I720" i="3"/>
  <c r="I712" i="3"/>
  <c r="D714" i="3"/>
  <c r="C714" i="3"/>
  <c r="H711" i="3"/>
  <c r="I710" i="3"/>
  <c r="I711" i="3"/>
  <c r="H710" i="3"/>
  <c r="H709" i="3"/>
  <c r="H708" i="3"/>
  <c r="H695" i="3"/>
  <c r="C695" i="3"/>
  <c r="D705" i="3"/>
  <c r="K693" i="3"/>
  <c r="D692" i="3"/>
  <c r="H679" i="3"/>
  <c r="H678" i="3"/>
  <c r="H677" i="3"/>
  <c r="H676" i="3"/>
  <c r="D676" i="3"/>
  <c r="H674" i="3"/>
  <c r="H673" i="3"/>
  <c r="D673" i="3"/>
  <c r="H672" i="3"/>
  <c r="H671" i="3"/>
  <c r="H670" i="3"/>
  <c r="H668" i="3"/>
  <c r="H667" i="3"/>
  <c r="H665" i="3"/>
  <c r="H664" i="3"/>
  <c r="H658" i="3"/>
  <c r="H656" i="3"/>
  <c r="H655" i="3"/>
  <c r="H654" i="3"/>
  <c r="H653" i="3"/>
  <c r="H652" i="3"/>
  <c r="D652" i="3"/>
  <c r="H651" i="3"/>
  <c r="H650" i="3"/>
  <c r="H648" i="3"/>
  <c r="H647" i="3"/>
  <c r="H646" i="3"/>
  <c r="H645" i="3"/>
  <c r="D645" i="3"/>
  <c r="H644" i="3"/>
  <c r="H643" i="3"/>
  <c r="H642" i="3"/>
  <c r="H641" i="3"/>
  <c r="H640" i="3"/>
  <c r="H637" i="3"/>
  <c r="H636" i="3"/>
  <c r="D636" i="3"/>
  <c r="H633" i="3"/>
  <c r="D686" i="3"/>
  <c r="C686" i="3"/>
  <c r="D685" i="3"/>
  <c r="D687" i="3" s="1"/>
  <c r="H684" i="3"/>
  <c r="C684" i="3"/>
  <c r="H625" i="3"/>
  <c r="H623" i="3"/>
  <c r="H622" i="3"/>
  <c r="H621" i="3"/>
  <c r="H619" i="3"/>
  <c r="H618" i="3"/>
  <c r="H617" i="3"/>
  <c r="H616" i="3"/>
  <c r="H615" i="3"/>
  <c r="C610" i="3"/>
  <c r="D594" i="3" s="1"/>
  <c r="I594" i="3" s="1"/>
  <c r="H608" i="3"/>
  <c r="H605" i="3"/>
  <c r="H604" i="3"/>
  <c r="H603" i="3"/>
  <c r="H602" i="3"/>
  <c r="H599" i="3"/>
  <c r="H597" i="3"/>
  <c r="H596" i="3"/>
  <c r="H594" i="3"/>
  <c r="H593" i="3"/>
  <c r="H592" i="3"/>
  <c r="D590" i="3"/>
  <c r="K546" i="3"/>
  <c r="K544" i="3"/>
  <c r="K543" i="3"/>
  <c r="I527" i="3"/>
  <c r="I528" i="3"/>
  <c r="C510" i="3"/>
  <c r="H522" i="3"/>
  <c r="H521" i="3"/>
  <c r="H520" i="3"/>
  <c r="H519" i="3"/>
  <c r="H518" i="3"/>
  <c r="H517" i="3"/>
  <c r="H516" i="3"/>
  <c r="H515" i="3"/>
  <c r="I514" i="3"/>
  <c r="D502" i="3"/>
  <c r="I502" i="3" s="1"/>
  <c r="H514" i="3"/>
  <c r="D511" i="3"/>
  <c r="I25" i="14" s="1"/>
  <c r="H510" i="3"/>
  <c r="D510" i="3"/>
  <c r="D501" i="3"/>
  <c r="G25" i="14" s="1"/>
  <c r="I488" i="3"/>
  <c r="I487" i="3"/>
  <c r="I473" i="3"/>
  <c r="D470" i="3"/>
  <c r="I23" i="14" s="1"/>
  <c r="H469" i="3"/>
  <c r="C469" i="3"/>
  <c r="K461" i="3"/>
  <c r="K460" i="3"/>
  <c r="K459" i="3"/>
  <c r="D459" i="3"/>
  <c r="G23" i="14" s="1"/>
  <c r="I445" i="3"/>
  <c r="I431" i="3"/>
  <c r="I432" i="3"/>
  <c r="H440" i="3"/>
  <c r="H426" i="3"/>
  <c r="H425" i="3"/>
  <c r="H424" i="3"/>
  <c r="H423" i="3"/>
  <c r="H422" i="3"/>
  <c r="H421" i="3"/>
  <c r="H420" i="3"/>
  <c r="H419" i="3"/>
  <c r="H418" i="3"/>
  <c r="I417" i="3"/>
  <c r="I418" i="3"/>
  <c r="H417" i="3"/>
  <c r="H399" i="3"/>
  <c r="C399" i="3"/>
  <c r="C414" i="3"/>
  <c r="H404" i="3"/>
  <c r="I403" i="3"/>
  <c r="D400" i="3"/>
  <c r="I22" i="14" s="1"/>
  <c r="K398" i="3"/>
  <c r="K390" i="3"/>
  <c r="D389" i="3"/>
  <c r="D359" i="3"/>
  <c r="H358" i="3"/>
  <c r="D353" i="3"/>
  <c r="D372" i="3"/>
  <c r="H366" i="3"/>
  <c r="H365" i="3"/>
  <c r="H364" i="3"/>
  <c r="D363" i="3"/>
  <c r="C368" i="3"/>
  <c r="C358" i="3"/>
  <c r="D296" i="3"/>
  <c r="H295" i="3"/>
  <c r="H324" i="3"/>
  <c r="I314" i="3"/>
  <c r="I316" i="3"/>
  <c r="H309" i="3"/>
  <c r="H308" i="3"/>
  <c r="H307" i="3"/>
  <c r="H306" i="3"/>
  <c r="H305" i="3"/>
  <c r="H304" i="3"/>
  <c r="H303" i="3"/>
  <c r="H302" i="3"/>
  <c r="H301" i="3"/>
  <c r="H300" i="3"/>
  <c r="I299" i="3"/>
  <c r="I301" i="3"/>
  <c r="H299" i="3"/>
  <c r="C295" i="3"/>
  <c r="I271" i="3"/>
  <c r="I269" i="3"/>
  <c r="H261" i="3"/>
  <c r="H258" i="3"/>
  <c r="H256" i="3"/>
  <c r="I254" i="3"/>
  <c r="I256" i="3"/>
  <c r="H254" i="3"/>
  <c r="D236" i="3"/>
  <c r="H235" i="3"/>
  <c r="C235" i="3"/>
  <c r="I239" i="3"/>
  <c r="K234" i="3"/>
  <c r="K233" i="3"/>
  <c r="P232" i="3"/>
  <c r="P230" i="3"/>
  <c r="K226" i="3"/>
  <c r="K225" i="3"/>
  <c r="D224" i="3"/>
  <c r="I219" i="3"/>
  <c r="I216" i="3"/>
  <c r="I210" i="3"/>
  <c r="H219" i="3"/>
  <c r="I205" i="3"/>
  <c r="I202" i="3"/>
  <c r="I196" i="3"/>
  <c r="H205" i="3"/>
  <c r="H178" i="3"/>
  <c r="I191" i="3"/>
  <c r="I188" i="3"/>
  <c r="I182" i="3"/>
  <c r="D179" i="3"/>
  <c r="C178" i="3"/>
  <c r="D177" i="3"/>
  <c r="I177" i="3" s="1"/>
  <c r="D174" i="3"/>
  <c r="I174" i="3" s="1"/>
  <c r="D168" i="3"/>
  <c r="I168" i="3" s="1"/>
  <c r="R164" i="3"/>
  <c r="H155" i="3"/>
  <c r="I156" i="3"/>
  <c r="R153" i="3"/>
  <c r="R152" i="3"/>
  <c r="R150" i="3"/>
  <c r="I142" i="3"/>
  <c r="I140" i="3"/>
  <c r="R139" i="3"/>
  <c r="R138" i="3"/>
  <c r="H133" i="3"/>
  <c r="H128" i="3"/>
  <c r="I126" i="3"/>
  <c r="R125" i="3"/>
  <c r="R124" i="3"/>
  <c r="R122" i="3"/>
  <c r="C122" i="3"/>
  <c r="O121" i="3"/>
  <c r="K121" i="3"/>
  <c r="K120" i="3"/>
  <c r="K114" i="3"/>
  <c r="K113" i="3"/>
  <c r="P98" i="3"/>
  <c r="H99" i="3"/>
  <c r="I92" i="3"/>
  <c r="H88" i="3"/>
  <c r="H87" i="3"/>
  <c r="H86" i="3"/>
  <c r="I80" i="3"/>
  <c r="I65" i="3"/>
  <c r="H64" i="3"/>
  <c r="H63" i="3"/>
  <c r="H62" i="3"/>
  <c r="H60" i="3"/>
  <c r="H59" i="3"/>
  <c r="H58" i="3"/>
  <c r="H57" i="3"/>
  <c r="H56" i="3"/>
  <c r="H55" i="3"/>
  <c r="H54" i="3"/>
  <c r="H53" i="3"/>
  <c r="C51" i="3"/>
  <c r="H65" i="3"/>
  <c r="P45" i="3"/>
  <c r="I46" i="3"/>
  <c r="P33" i="3"/>
  <c r="Q32" i="3"/>
  <c r="I37" i="3"/>
  <c r="P24" i="3"/>
  <c r="H24" i="3"/>
  <c r="H23" i="3"/>
  <c r="R22" i="3"/>
  <c r="R21" i="3"/>
  <c r="H21" i="3"/>
  <c r="K20" i="3"/>
  <c r="H20" i="3"/>
  <c r="K19" i="3"/>
  <c r="K18" i="3"/>
  <c r="H18" i="3"/>
  <c r="K17" i="3"/>
  <c r="K16" i="3"/>
  <c r="H15" i="3"/>
  <c r="K13" i="3"/>
  <c r="H13" i="3"/>
  <c r="K12" i="3"/>
  <c r="H12" i="3"/>
  <c r="I18" i="3"/>
  <c r="N67" i="2"/>
  <c r="N66" i="2"/>
  <c r="N58" i="2"/>
  <c r="N55" i="2"/>
  <c r="K47" i="2"/>
  <c r="I41" i="2"/>
  <c r="G41" i="2"/>
  <c r="K37" i="2"/>
  <c r="I35" i="2"/>
  <c r="G35" i="2"/>
  <c r="K34" i="2"/>
  <c r="I34" i="2"/>
  <c r="I32" i="2"/>
  <c r="G32" i="2"/>
  <c r="I31" i="2"/>
  <c r="G31" i="2"/>
  <c r="I30" i="2"/>
  <c r="G30" i="2"/>
  <c r="I27" i="2"/>
  <c r="I24" i="2"/>
  <c r="G24" i="2"/>
  <c r="G23" i="2"/>
  <c r="K16" i="2"/>
  <c r="A15" i="2"/>
  <c r="G14" i="2"/>
  <c r="E11" i="2"/>
  <c r="K47" i="1"/>
  <c r="G46" i="1"/>
  <c r="G42" i="1"/>
  <c r="I41" i="1"/>
  <c r="G41" i="1"/>
  <c r="K37" i="1"/>
  <c r="I35" i="1"/>
  <c r="G35" i="1"/>
  <c r="K34" i="1"/>
  <c r="I34" i="1"/>
  <c r="I32" i="1"/>
  <c r="G32" i="1"/>
  <c r="I31" i="1"/>
  <c r="G31" i="1"/>
  <c r="I30" i="1"/>
  <c r="G30" i="1"/>
  <c r="I27" i="1"/>
  <c r="I24" i="1"/>
  <c r="G24" i="1"/>
  <c r="K16" i="1"/>
  <c r="A15" i="1"/>
  <c r="A16" i="1" s="1"/>
  <c r="I14" i="1"/>
  <c r="G14" i="1"/>
  <c r="E11" i="1"/>
  <c r="G11" i="1" s="1"/>
  <c r="N37" i="2" l="1"/>
  <c r="U37" i="2" s="1"/>
  <c r="N34" i="2"/>
  <c r="N47" i="2"/>
  <c r="U47" i="2" s="1"/>
  <c r="N16" i="2"/>
  <c r="U16" i="2" s="1"/>
  <c r="I26" i="14"/>
  <c r="K412" i="3"/>
  <c r="K71" i="3"/>
  <c r="K711" i="3"/>
  <c r="K1259" i="3"/>
  <c r="K72" i="3"/>
  <c r="M37" i="14"/>
  <c r="O37" i="14" s="1"/>
  <c r="Q37" i="14" s="1"/>
  <c r="K1260" i="3"/>
  <c r="K204" i="3"/>
  <c r="K1016" i="3"/>
  <c r="K734" i="3"/>
  <c r="Q121" i="3"/>
  <c r="K93" i="3"/>
  <c r="K828" i="3"/>
  <c r="K76" i="3"/>
  <c r="K565" i="3"/>
  <c r="K94" i="3"/>
  <c r="I20" i="14"/>
  <c r="K404" i="3"/>
  <c r="K75" i="3"/>
  <c r="K978" i="3"/>
  <c r="K804" i="3"/>
  <c r="K77" i="3"/>
  <c r="K240" i="3"/>
  <c r="K169" i="3"/>
  <c r="K293" i="3"/>
  <c r="K170" i="3"/>
  <c r="K264" i="3"/>
  <c r="I29" i="14"/>
  <c r="G42" i="14"/>
  <c r="G46" i="14"/>
  <c r="G40" i="14"/>
  <c r="P1220" i="3"/>
  <c r="M34" i="14"/>
  <c r="O34" i="14" s="1"/>
  <c r="Q34" i="14" s="1"/>
  <c r="I40" i="14"/>
  <c r="G43" i="1"/>
  <c r="G43" i="14"/>
  <c r="I42" i="14"/>
  <c r="G22" i="1"/>
  <c r="G22" i="14"/>
  <c r="G26" i="14"/>
  <c r="G46" i="2"/>
  <c r="M34" i="1"/>
  <c r="D592" i="3"/>
  <c r="I592" i="3" s="1"/>
  <c r="I42" i="1"/>
  <c r="I28" i="1"/>
  <c r="G40" i="2"/>
  <c r="I40" i="2"/>
  <c r="G40" i="1"/>
  <c r="I29" i="1"/>
  <c r="I42" i="2"/>
  <c r="K52" i="3"/>
  <c r="K36" i="2"/>
  <c r="I20" i="1"/>
  <c r="I20" i="2"/>
  <c r="I25" i="2"/>
  <c r="K555" i="3"/>
  <c r="H1158" i="3"/>
  <c r="G22" i="2"/>
  <c r="M459" i="3"/>
  <c r="I23" i="2"/>
  <c r="I883" i="3"/>
  <c r="I224" i="3"/>
  <c r="K502" i="3"/>
  <c r="I501" i="3"/>
  <c r="I459" i="3"/>
  <c r="G23" i="1"/>
  <c r="I28" i="2"/>
  <c r="G25" i="2"/>
  <c r="G26" i="2" s="1"/>
  <c r="G43" i="2"/>
  <c r="G42" i="2"/>
  <c r="I29" i="2"/>
  <c r="I22" i="2"/>
  <c r="I389" i="3"/>
  <c r="K36" i="1"/>
  <c r="I40" i="1"/>
  <c r="G25" i="1"/>
  <c r="I36" i="2"/>
  <c r="I23" i="1"/>
  <c r="I25" i="1"/>
  <c r="I33" i="1"/>
  <c r="G33" i="2"/>
  <c r="D1235" i="3"/>
  <c r="I1235" i="3" s="1"/>
  <c r="D1237" i="3"/>
  <c r="I1237" i="3" s="1"/>
  <c r="G33" i="1"/>
  <c r="H524" i="3"/>
  <c r="K796" i="3"/>
  <c r="I22" i="1"/>
  <c r="H1242" i="3"/>
  <c r="I36" i="1"/>
  <c r="Q120" i="3"/>
  <c r="K148" i="3"/>
  <c r="H943" i="3"/>
  <c r="H1204" i="3"/>
  <c r="K57" i="3"/>
  <c r="K789" i="3"/>
  <c r="M37" i="1"/>
  <c r="I33" i="2"/>
  <c r="K15" i="3"/>
  <c r="K53" i="3"/>
  <c r="K56" i="3"/>
  <c r="K58" i="3"/>
  <c r="K473" i="3"/>
  <c r="K566" i="3"/>
  <c r="D597" i="3"/>
  <c r="I597" i="3" s="1"/>
  <c r="K788" i="3"/>
  <c r="H1261" i="3"/>
  <c r="H1264" i="3" s="1"/>
  <c r="K1267" i="3"/>
  <c r="M34" i="2"/>
  <c r="K59" i="3"/>
  <c r="K748" i="3"/>
  <c r="H924" i="3"/>
  <c r="M47" i="1"/>
  <c r="K474" i="3"/>
  <c r="D696" i="3"/>
  <c r="K741" i="3"/>
  <c r="H1231" i="3"/>
  <c r="M1248" i="3"/>
  <c r="K1268" i="3"/>
  <c r="H25" i="3"/>
  <c r="C27" i="3"/>
  <c r="D25" i="3" s="1"/>
  <c r="H33" i="3"/>
  <c r="C67" i="3"/>
  <c r="H79" i="3"/>
  <c r="K60" i="3"/>
  <c r="O34" i="1"/>
  <c r="Q34" i="1" s="1"/>
  <c r="H129" i="3"/>
  <c r="C115" i="3"/>
  <c r="H115" i="3" s="1"/>
  <c r="I11" i="1"/>
  <c r="G11" i="2"/>
  <c r="I14" i="2"/>
  <c r="K31" i="3"/>
  <c r="K35" i="3"/>
  <c r="K36" i="3"/>
  <c r="H37" i="3"/>
  <c r="K37" i="3"/>
  <c r="K38" i="3"/>
  <c r="K39" i="3"/>
  <c r="K90" i="3"/>
  <c r="K91" i="3"/>
  <c r="K92" i="3"/>
  <c r="R136" i="3"/>
  <c r="H122" i="3"/>
  <c r="H162" i="3"/>
  <c r="H80" i="3"/>
  <c r="H132" i="3"/>
  <c r="H140" i="3"/>
  <c r="K11" i="1"/>
  <c r="H22" i="3"/>
  <c r="K32" i="3"/>
  <c r="H46" i="3"/>
  <c r="H52" i="3"/>
  <c r="H61" i="3"/>
  <c r="K86" i="3"/>
  <c r="K87" i="3"/>
  <c r="D114" i="3"/>
  <c r="I128" i="3"/>
  <c r="H249" i="3"/>
  <c r="C234" i="3"/>
  <c r="H234" i="3" s="1"/>
  <c r="K1167" i="3"/>
  <c r="K219" i="3"/>
  <c r="K205" i="3"/>
  <c r="K191" i="3"/>
  <c r="K177" i="3"/>
  <c r="K163" i="3"/>
  <c r="K135" i="3"/>
  <c r="K149" i="3"/>
  <c r="C177" i="3"/>
  <c r="H177" i="3" s="1"/>
  <c r="H191" i="3"/>
  <c r="A17" i="1"/>
  <c r="A16" i="2"/>
  <c r="K14" i="3"/>
  <c r="M18" i="3"/>
  <c r="H77" i="3"/>
  <c r="H92" i="3"/>
  <c r="D123" i="3"/>
  <c r="D112" i="3"/>
  <c r="Q114" i="3"/>
  <c r="K134" i="3"/>
  <c r="K141" i="3"/>
  <c r="H156" i="3"/>
  <c r="K156" i="3"/>
  <c r="K162" i="3"/>
  <c r="K197" i="3"/>
  <c r="K198" i="3"/>
  <c r="H210" i="3"/>
  <c r="H212" i="3"/>
  <c r="H217" i="3"/>
  <c r="K331" i="3"/>
  <c r="K316" i="3"/>
  <c r="K286" i="3"/>
  <c r="K271" i="3"/>
  <c r="K301" i="3"/>
  <c r="C386" i="3"/>
  <c r="H403" i="3"/>
  <c r="H482" i="3"/>
  <c r="C705" i="3"/>
  <c r="H703" i="3"/>
  <c r="C694" i="3"/>
  <c r="H694" i="3" s="1"/>
  <c r="Q113" i="3"/>
  <c r="D10" i="4"/>
  <c r="K1166" i="3"/>
  <c r="K176" i="3"/>
  <c r="K127" i="3"/>
  <c r="K142" i="3"/>
  <c r="I154" i="3"/>
  <c r="D189" i="3"/>
  <c r="I212" i="3"/>
  <c r="D217" i="3"/>
  <c r="I217" i="3" s="1"/>
  <c r="K338" i="3"/>
  <c r="K323" i="3"/>
  <c r="K278" i="3"/>
  <c r="K308" i="3"/>
  <c r="K255" i="3"/>
  <c r="K256" i="3"/>
  <c r="K263" i="3"/>
  <c r="D284" i="3"/>
  <c r="G20" i="14" s="1"/>
  <c r="I329" i="3"/>
  <c r="I331" i="3"/>
  <c r="H368" i="3"/>
  <c r="H375" i="3"/>
  <c r="K446" i="3"/>
  <c r="K432" i="3"/>
  <c r="K418" i="3"/>
  <c r="H405" i="3"/>
  <c r="D405" i="3"/>
  <c r="H407" i="3"/>
  <c r="D407" i="3"/>
  <c r="H409" i="3"/>
  <c r="D409" i="3"/>
  <c r="H411" i="3"/>
  <c r="D411" i="3"/>
  <c r="H446" i="3"/>
  <c r="H445" i="3"/>
  <c r="I515" i="3"/>
  <c r="H542" i="3"/>
  <c r="H546" i="3"/>
  <c r="D602" i="3"/>
  <c r="D599" i="3"/>
  <c r="D603" i="3"/>
  <c r="D596" i="3"/>
  <c r="K128" i="3"/>
  <c r="H161" i="3"/>
  <c r="H154" i="3"/>
  <c r="K183" i="3"/>
  <c r="K184" i="3"/>
  <c r="K190" i="3"/>
  <c r="H196" i="3"/>
  <c r="H198" i="3"/>
  <c r="H203" i="3"/>
  <c r="K211" i="3"/>
  <c r="K212" i="3"/>
  <c r="K218" i="3"/>
  <c r="K339" i="3"/>
  <c r="K324" i="3"/>
  <c r="K279" i="3"/>
  <c r="K309" i="3"/>
  <c r="K241" i="3"/>
  <c r="K248" i="3"/>
  <c r="K249" i="3"/>
  <c r="K294" i="3"/>
  <c r="H311" i="3"/>
  <c r="H336" i="3"/>
  <c r="H333" i="3"/>
  <c r="H331" i="3"/>
  <c r="H329" i="3"/>
  <c r="D381" i="3"/>
  <c r="D354" i="3" s="1"/>
  <c r="H428" i="3"/>
  <c r="I446" i="3"/>
  <c r="H540" i="3"/>
  <c r="H544" i="3"/>
  <c r="K568" i="3"/>
  <c r="H562" i="3"/>
  <c r="D608" i="3"/>
  <c r="K155" i="3"/>
  <c r="I198" i="3"/>
  <c r="D203" i="3"/>
  <c r="I203" i="3" s="1"/>
  <c r="K330" i="3"/>
  <c r="K315" i="3"/>
  <c r="K285" i="3"/>
  <c r="K270" i="3"/>
  <c r="K300" i="3"/>
  <c r="H255" i="3"/>
  <c r="D255" i="3"/>
  <c r="I255" i="3" s="1"/>
  <c r="H257" i="3"/>
  <c r="H259" i="3"/>
  <c r="H260" i="3"/>
  <c r="H262" i="3"/>
  <c r="H263" i="3"/>
  <c r="H264" i="3"/>
  <c r="C266" i="3"/>
  <c r="D264" i="3" s="1"/>
  <c r="H279" i="3"/>
  <c r="D286" i="3"/>
  <c r="I286" i="3" s="1"/>
  <c r="H406" i="3"/>
  <c r="D406" i="3"/>
  <c r="H408" i="3"/>
  <c r="D408" i="3"/>
  <c r="H410" i="3"/>
  <c r="D410" i="3"/>
  <c r="H412" i="3"/>
  <c r="D412" i="3"/>
  <c r="C398" i="3"/>
  <c r="H398" i="3" s="1"/>
  <c r="K489" i="3"/>
  <c r="K475" i="3"/>
  <c r="H473" i="3"/>
  <c r="H488" i="3"/>
  <c r="H487" i="3"/>
  <c r="H535" i="3"/>
  <c r="C311" i="3"/>
  <c r="D308" i="3" s="1"/>
  <c r="K1214" i="3"/>
  <c r="D18" i="4"/>
  <c r="K934" i="3"/>
  <c r="K426" i="3"/>
  <c r="C428" i="3"/>
  <c r="D419" i="3" s="1"/>
  <c r="I419" i="3" s="1"/>
  <c r="C524" i="3"/>
  <c r="D518" i="3" s="1"/>
  <c r="D595" i="3"/>
  <c r="H601" i="3"/>
  <c r="D601" i="3"/>
  <c r="H624" i="3"/>
  <c r="H628" i="3" s="1"/>
  <c r="H635" i="3"/>
  <c r="D635" i="3"/>
  <c r="I645" i="3"/>
  <c r="I652" i="3"/>
  <c r="D658" i="3"/>
  <c r="D655" i="3"/>
  <c r="D650" i="3"/>
  <c r="D647" i="3"/>
  <c r="D642" i="3"/>
  <c r="D654" i="3"/>
  <c r="D646" i="3"/>
  <c r="D641" i="3"/>
  <c r="D637" i="3"/>
  <c r="I673" i="3"/>
  <c r="I676" i="3"/>
  <c r="I751" i="3"/>
  <c r="H771" i="3"/>
  <c r="H269" i="3"/>
  <c r="H271" i="3"/>
  <c r="H273" i="3"/>
  <c r="H276" i="3"/>
  <c r="D300" i="3"/>
  <c r="H314" i="3"/>
  <c r="C285" i="3"/>
  <c r="H285" i="3" s="1"/>
  <c r="H316" i="3"/>
  <c r="D364" i="3"/>
  <c r="D365" i="3"/>
  <c r="D366" i="3"/>
  <c r="C353" i="3"/>
  <c r="C356" i="3"/>
  <c r="H356" i="3" s="1"/>
  <c r="H431" i="3"/>
  <c r="C391" i="3"/>
  <c r="H391" i="3" s="1"/>
  <c r="C395" i="3"/>
  <c r="H395" i="3" s="1"/>
  <c r="C396" i="3"/>
  <c r="H396" i="3" s="1"/>
  <c r="K440" i="3"/>
  <c r="H527" i="3"/>
  <c r="H528" i="3"/>
  <c r="D593" i="3"/>
  <c r="H595" i="3"/>
  <c r="D604" i="3"/>
  <c r="D605" i="3"/>
  <c r="H632" i="3"/>
  <c r="D632" i="3"/>
  <c r="D633" i="3"/>
  <c r="D678" i="3"/>
  <c r="D671" i="3"/>
  <c r="D667" i="3"/>
  <c r="D664" i="3"/>
  <c r="D677" i="3"/>
  <c r="D674" i="3"/>
  <c r="D670" i="3"/>
  <c r="M711" i="3"/>
  <c r="D727" i="3"/>
  <c r="I734" i="3"/>
  <c r="I741" i="3"/>
  <c r="H813" i="3"/>
  <c r="C357" i="3"/>
  <c r="H357" i="3" s="1"/>
  <c r="K454" i="3"/>
  <c r="D23" i="4"/>
  <c r="F23" i="4" s="1"/>
  <c r="D33" i="4" s="1"/>
  <c r="F33" i="4" s="1"/>
  <c r="K1234" i="3"/>
  <c r="K487" i="3"/>
  <c r="K488" i="3"/>
  <c r="K501" i="3"/>
  <c r="C502" i="3"/>
  <c r="H502" i="3" s="1"/>
  <c r="C503" i="3"/>
  <c r="H503" i="3" s="1"/>
  <c r="C504" i="3"/>
  <c r="H504" i="3" s="1"/>
  <c r="C505" i="3"/>
  <c r="H505" i="3" s="1"/>
  <c r="C506" i="3"/>
  <c r="H506" i="3" s="1"/>
  <c r="C507" i="3"/>
  <c r="H507" i="3" s="1"/>
  <c r="C508" i="3"/>
  <c r="H508" i="3" s="1"/>
  <c r="C509" i="3"/>
  <c r="H509" i="3" s="1"/>
  <c r="K554" i="3"/>
  <c r="H606" i="3"/>
  <c r="D606" i="3"/>
  <c r="I636" i="3"/>
  <c r="H639" i="3"/>
  <c r="D639" i="3"/>
  <c r="D640" i="3"/>
  <c r="D644" i="3"/>
  <c r="D653" i="3"/>
  <c r="H681" i="3"/>
  <c r="I702" i="3"/>
  <c r="D693" i="3"/>
  <c r="I693" i="3" s="1"/>
  <c r="H721" i="3"/>
  <c r="C723" i="3"/>
  <c r="H735" i="3"/>
  <c r="C728" i="3"/>
  <c r="H728" i="3" s="1"/>
  <c r="C737" i="3"/>
  <c r="D730" i="3"/>
  <c r="C744" i="3"/>
  <c r="H742" i="3"/>
  <c r="H834" i="3"/>
  <c r="C628" i="3"/>
  <c r="D626" i="3" s="1"/>
  <c r="D643" i="3"/>
  <c r="D648" i="3"/>
  <c r="D651" i="3"/>
  <c r="D656" i="3"/>
  <c r="D665" i="3"/>
  <c r="D668" i="3"/>
  <c r="D672" i="3"/>
  <c r="D679" i="3"/>
  <c r="D708" i="3"/>
  <c r="D709" i="3"/>
  <c r="H719" i="3"/>
  <c r="H720" i="3"/>
  <c r="K720" i="3"/>
  <c r="I733" i="3"/>
  <c r="I735" i="3"/>
  <c r="D754" i="3"/>
  <c r="K772" i="3"/>
  <c r="D787" i="3"/>
  <c r="I787" i="3" s="1"/>
  <c r="D788" i="3"/>
  <c r="I788" i="3" s="1"/>
  <c r="D790" i="3"/>
  <c r="I790" i="3" s="1"/>
  <c r="D791" i="3"/>
  <c r="I791" i="3" s="1"/>
  <c r="I794" i="3"/>
  <c r="D796" i="3"/>
  <c r="I796" i="3" s="1"/>
  <c r="D797" i="3"/>
  <c r="H802" i="3"/>
  <c r="H805" i="3"/>
  <c r="K805" i="3"/>
  <c r="H809" i="3"/>
  <c r="H811" i="3"/>
  <c r="K812" i="3"/>
  <c r="I834" i="3"/>
  <c r="I692" i="3"/>
  <c r="D694" i="3"/>
  <c r="I701" i="3"/>
  <c r="I703" i="3"/>
  <c r="H712" i="3"/>
  <c r="H714" i="3" s="1"/>
  <c r="D726" i="3"/>
  <c r="I728" i="3"/>
  <c r="I740" i="3"/>
  <c r="I742" i="3"/>
  <c r="H749" i="3"/>
  <c r="H751" i="3" s="1"/>
  <c r="K836" i="3"/>
  <c r="K868" i="3"/>
  <c r="K852" i="3"/>
  <c r="K844" i="3"/>
  <c r="K876" i="3"/>
  <c r="K860" i="3"/>
  <c r="I770" i="3"/>
  <c r="H792" i="3"/>
  <c r="H799" i="3" s="1"/>
  <c r="K820" i="3"/>
  <c r="H861" i="3"/>
  <c r="D897" i="3"/>
  <c r="I963" i="3"/>
  <c r="K702" i="3"/>
  <c r="H740" i="3"/>
  <c r="H741" i="3"/>
  <c r="K837" i="3"/>
  <c r="K869" i="3"/>
  <c r="K853" i="3"/>
  <c r="K773" i="3"/>
  <c r="K780" i="3"/>
  <c r="K821" i="3"/>
  <c r="M1016" i="3"/>
  <c r="H877" i="3"/>
  <c r="H850" i="3"/>
  <c r="H853" i="3"/>
  <c r="H857" i="3"/>
  <c r="H859" i="3"/>
  <c r="I866" i="3"/>
  <c r="H985" i="3"/>
  <c r="H986" i="3"/>
  <c r="H993" i="3"/>
  <c r="H994" i="3"/>
  <c r="H995" i="3"/>
  <c r="H996" i="3"/>
  <c r="K1030" i="3"/>
  <c r="H1167" i="3"/>
  <c r="D1167" i="3"/>
  <c r="H1268" i="3"/>
  <c r="D1268" i="3"/>
  <c r="I1268" i="3" s="1"/>
  <c r="I853" i="3"/>
  <c r="H866" i="3"/>
  <c r="H869" i="3"/>
  <c r="H873" i="3"/>
  <c r="H875" i="3"/>
  <c r="K964" i="3"/>
  <c r="K1044" i="3"/>
  <c r="H1045" i="3"/>
  <c r="H1054" i="3"/>
  <c r="H1055" i="3"/>
  <c r="C1077" i="3"/>
  <c r="D1048" i="3" s="1"/>
  <c r="I1048" i="3" s="1"/>
  <c r="H1108" i="3"/>
  <c r="C1112" i="3"/>
  <c r="D1110" i="3"/>
  <c r="D1112" i="3" s="1"/>
  <c r="D1122" i="3" s="1"/>
  <c r="H1122" i="3"/>
  <c r="D1272" i="3"/>
  <c r="D1256" i="3" s="1"/>
  <c r="I1280" i="3"/>
  <c r="M1275" i="3"/>
  <c r="C1011" i="3"/>
  <c r="D993" i="3" s="1"/>
  <c r="I1043" i="3"/>
  <c r="H1166" i="3"/>
  <c r="C1168" i="3"/>
  <c r="I1180" i="3"/>
  <c r="D1179" i="3"/>
  <c r="I1179" i="3" s="1"/>
  <c r="D1178" i="3"/>
  <c r="I1178" i="3" s="1"/>
  <c r="I1175" i="3"/>
  <c r="H1267" i="3"/>
  <c r="D1267" i="3"/>
  <c r="C1269" i="3"/>
  <c r="K950" i="3"/>
  <c r="H1048" i="3"/>
  <c r="H1049" i="3"/>
  <c r="H1068" i="3"/>
  <c r="H1075" i="3" s="1"/>
  <c r="M1087" i="3"/>
  <c r="H1093" i="3"/>
  <c r="H1109" i="3"/>
  <c r="H1215" i="3"/>
  <c r="C1264" i="3"/>
  <c r="C1256" i="3" s="1"/>
  <c r="C1122" i="3"/>
  <c r="K1180" i="3"/>
  <c r="C1215" i="3"/>
  <c r="C1217" i="3" s="1"/>
  <c r="I1239" i="3"/>
  <c r="C1261" i="3"/>
  <c r="D1085" i="3"/>
  <c r="I1085" i="3" s="1"/>
  <c r="K1134" i="3"/>
  <c r="D1224" i="3"/>
  <c r="I1224" i="3" s="1"/>
  <c r="D1225" i="3"/>
  <c r="I1225" i="3" s="1"/>
  <c r="I1228" i="3"/>
  <c r="C1251" i="3"/>
  <c r="H1251" i="3" s="1"/>
  <c r="C1252" i="3"/>
  <c r="H1252" i="3" s="1"/>
  <c r="D1259" i="3"/>
  <c r="M1259" i="3" s="1"/>
  <c r="D1260" i="3"/>
  <c r="D1132" i="3"/>
  <c r="I1132" i="3" s="1"/>
  <c r="D1133" i="3"/>
  <c r="I1133" i="3" s="1"/>
  <c r="I1238" i="3"/>
  <c r="U34" i="2" l="1"/>
  <c r="N36" i="2"/>
  <c r="M47" i="2"/>
  <c r="V47" i="2" s="1"/>
  <c r="M37" i="2"/>
  <c r="M16" i="2"/>
  <c r="W16" i="2" s="1"/>
  <c r="M1260" i="3"/>
  <c r="K577" i="3"/>
  <c r="M473" i="3"/>
  <c r="M734" i="3"/>
  <c r="K74" i="3"/>
  <c r="H1168" i="3"/>
  <c r="H945" i="3"/>
  <c r="G19" i="14"/>
  <c r="M16" i="14"/>
  <c r="O16" i="14" s="1"/>
  <c r="Q16" i="14" s="1"/>
  <c r="I46" i="14"/>
  <c r="I19" i="14"/>
  <c r="M36" i="14"/>
  <c r="O36" i="14" s="1"/>
  <c r="Q36" i="14" s="1"/>
  <c r="I43" i="14"/>
  <c r="G28" i="14"/>
  <c r="I44" i="14"/>
  <c r="G26" i="1"/>
  <c r="G44" i="14"/>
  <c r="G45" i="14" s="1"/>
  <c r="G48" i="14" s="1"/>
  <c r="D999" i="3"/>
  <c r="D933" i="3" s="1"/>
  <c r="I933" i="3" s="1"/>
  <c r="K515" i="3"/>
  <c r="K528" i="3"/>
  <c r="D521" i="3"/>
  <c r="I521" i="3" s="1"/>
  <c r="M1268" i="3"/>
  <c r="D309" i="3"/>
  <c r="D1109" i="3"/>
  <c r="I1109" i="3" s="1"/>
  <c r="M748" i="3"/>
  <c r="K55" i="3"/>
  <c r="M741" i="3"/>
  <c r="D617" i="3"/>
  <c r="I617" i="3" s="1"/>
  <c r="D1115" i="3"/>
  <c r="I1115" i="3" s="1"/>
  <c r="D425" i="3"/>
  <c r="I425" i="3" s="1"/>
  <c r="D1074" i="3"/>
  <c r="I1074" i="3" s="1"/>
  <c r="D421" i="3"/>
  <c r="I421" i="3" s="1"/>
  <c r="D1068" i="3"/>
  <c r="I1068" i="3" s="1"/>
  <c r="I26" i="2"/>
  <c r="M502" i="3"/>
  <c r="D426" i="3"/>
  <c r="I426" i="3" s="1"/>
  <c r="M36" i="1"/>
  <c r="O36" i="1" s="1"/>
  <c r="Q36" i="1" s="1"/>
  <c r="D1214" i="3"/>
  <c r="I1214" i="3" s="1"/>
  <c r="D422" i="3"/>
  <c r="I422" i="3" s="1"/>
  <c r="I737" i="3"/>
  <c r="D1120" i="3"/>
  <c r="I1120" i="3" s="1"/>
  <c r="D1208" i="3"/>
  <c r="I1208" i="3" s="1"/>
  <c r="K911" i="3"/>
  <c r="D263" i="3"/>
  <c r="I263" i="3" s="1"/>
  <c r="M789" i="3"/>
  <c r="H1170" i="3"/>
  <c r="D1073" i="3"/>
  <c r="I1073" i="3" s="1"/>
  <c r="D1093" i="3"/>
  <c r="D1185" i="3" s="1"/>
  <c r="I1185" i="3" s="1"/>
  <c r="D1070" i="3"/>
  <c r="I1070" i="3" s="1"/>
  <c r="D1069" i="3"/>
  <c r="I1069" i="3" s="1"/>
  <c r="O47" i="1"/>
  <c r="Q47" i="1" s="1"/>
  <c r="O37" i="1"/>
  <c r="Q37" i="1" s="1"/>
  <c r="I26" i="1"/>
  <c r="I11" i="2"/>
  <c r="K11" i="2" s="1"/>
  <c r="H1112" i="3"/>
  <c r="H1124" i="3" s="1"/>
  <c r="K89" i="3"/>
  <c r="M36" i="2"/>
  <c r="D986" i="3"/>
  <c r="I986" i="3" s="1"/>
  <c r="D517" i="3"/>
  <c r="I517" i="3" s="1"/>
  <c r="M1267" i="3"/>
  <c r="C1253" i="3"/>
  <c r="D1116" i="3"/>
  <c r="I1116" i="3" s="1"/>
  <c r="K34" i="3"/>
  <c r="H266" i="3"/>
  <c r="V34" i="2"/>
  <c r="I43" i="2"/>
  <c r="I43" i="1"/>
  <c r="H1253" i="3"/>
  <c r="H1256" i="3" s="1"/>
  <c r="D1118" i="3"/>
  <c r="I1118" i="3" s="1"/>
  <c r="H990" i="3"/>
  <c r="D520" i="3"/>
  <c r="I520" i="3" s="1"/>
  <c r="D1072" i="3"/>
  <c r="I1072" i="3" s="1"/>
  <c r="H1217" i="3"/>
  <c r="P1248" i="3"/>
  <c r="D1055" i="3"/>
  <c r="I1055" i="3" s="1"/>
  <c r="D982" i="3"/>
  <c r="I982" i="3" s="1"/>
  <c r="H744" i="3"/>
  <c r="D519" i="3"/>
  <c r="I519" i="3" s="1"/>
  <c r="D424" i="3"/>
  <c r="I424" i="3" s="1"/>
  <c r="D420" i="3"/>
  <c r="I420" i="3" s="1"/>
  <c r="H1056" i="3"/>
  <c r="H1077" i="3" s="1"/>
  <c r="D516" i="3"/>
  <c r="I516" i="3" s="1"/>
  <c r="H67" i="3"/>
  <c r="D1071" i="3"/>
  <c r="I1071" i="3" s="1"/>
  <c r="D1049" i="3"/>
  <c r="I1049" i="3" s="1"/>
  <c r="H1269" i="3"/>
  <c r="H1272" i="3" s="1"/>
  <c r="D621" i="3"/>
  <c r="I621" i="3" s="1"/>
  <c r="M796" i="3"/>
  <c r="M693" i="3"/>
  <c r="H610" i="3"/>
  <c r="D522" i="3"/>
  <c r="I522" i="3" s="1"/>
  <c r="D423" i="3"/>
  <c r="I423" i="3" s="1"/>
  <c r="I25" i="3"/>
  <c r="I24" i="3"/>
  <c r="D19" i="3"/>
  <c r="I23" i="3"/>
  <c r="I22" i="3"/>
  <c r="M1261" i="3"/>
  <c r="I46" i="2"/>
  <c r="I46" i="1"/>
  <c r="I305" i="3"/>
  <c r="H576" i="3"/>
  <c r="D1209" i="3"/>
  <c r="I1209" i="3" s="1"/>
  <c r="D1121" i="3"/>
  <c r="I1121" i="3" s="1"/>
  <c r="D1117" i="3"/>
  <c r="I1117" i="3" s="1"/>
  <c r="C1170" i="3"/>
  <c r="M950" i="3"/>
  <c r="I1267" i="3"/>
  <c r="I1269" i="3" s="1"/>
  <c r="I1272" i="3" s="1"/>
  <c r="D1269" i="3"/>
  <c r="D1241" i="3"/>
  <c r="I1241" i="3" s="1"/>
  <c r="I1242" i="3" s="1"/>
  <c r="D1008" i="3"/>
  <c r="D1007" i="3"/>
  <c r="D1006" i="3"/>
  <c r="D1005" i="3"/>
  <c r="D1004" i="3"/>
  <c r="D1003" i="3"/>
  <c r="D1002" i="3"/>
  <c r="D975" i="3"/>
  <c r="D974" i="3"/>
  <c r="D969" i="3"/>
  <c r="D968" i="3"/>
  <c r="D965" i="3"/>
  <c r="D958" i="3"/>
  <c r="D957" i="3"/>
  <c r="D981" i="3"/>
  <c r="D979" i="3"/>
  <c r="D972" i="3"/>
  <c r="D971" i="3"/>
  <c r="D961" i="3"/>
  <c r="D960" i="3"/>
  <c r="D955" i="3"/>
  <c r="D954" i="3"/>
  <c r="D951" i="3"/>
  <c r="C945" i="3"/>
  <c r="D1052" i="3"/>
  <c r="I1052" i="3" s="1"/>
  <c r="D1051" i="3"/>
  <c r="I1051" i="3" s="1"/>
  <c r="D1054" i="3"/>
  <c r="I1054" i="3" s="1"/>
  <c r="M964" i="3"/>
  <c r="D1045" i="3"/>
  <c r="I1045" i="3" s="1"/>
  <c r="I977" i="3"/>
  <c r="D911" i="3"/>
  <c r="H860" i="3"/>
  <c r="H856" i="3"/>
  <c r="C863" i="3"/>
  <c r="D861" i="3" s="1"/>
  <c r="H852" i="3"/>
  <c r="D852" i="3"/>
  <c r="I852" i="3" s="1"/>
  <c r="D997" i="3"/>
  <c r="H836" i="3"/>
  <c r="D836" i="3"/>
  <c r="M836" i="3" s="1"/>
  <c r="C820" i="3"/>
  <c r="H820" i="3" s="1"/>
  <c r="C847" i="3"/>
  <c r="D845" i="3" s="1"/>
  <c r="H840" i="3"/>
  <c r="C824" i="3"/>
  <c r="H824" i="3" s="1"/>
  <c r="H844" i="3"/>
  <c r="D844" i="3"/>
  <c r="M844" i="3" s="1"/>
  <c r="C828" i="3"/>
  <c r="H828" i="3" s="1"/>
  <c r="H777" i="3"/>
  <c r="C761" i="3"/>
  <c r="H761" i="3" s="1"/>
  <c r="M773" i="3"/>
  <c r="M869" i="3"/>
  <c r="C692" i="3"/>
  <c r="H692" i="3" s="1"/>
  <c r="H701" i="3"/>
  <c r="D1000" i="3"/>
  <c r="D985" i="3"/>
  <c r="I897" i="3"/>
  <c r="H733" i="3"/>
  <c r="C726" i="3"/>
  <c r="H726" i="3" s="1"/>
  <c r="I694" i="3"/>
  <c r="D619" i="3"/>
  <c r="D994" i="3"/>
  <c r="H807" i="3"/>
  <c r="H804" i="3"/>
  <c r="D804" i="3"/>
  <c r="I797" i="3"/>
  <c r="I793" i="3"/>
  <c r="M788" i="3"/>
  <c r="H772" i="3"/>
  <c r="D772" i="3"/>
  <c r="I772" i="3" s="1"/>
  <c r="C756" i="3"/>
  <c r="H718" i="3"/>
  <c r="D718" i="3"/>
  <c r="I709" i="3"/>
  <c r="I672" i="3"/>
  <c r="I651" i="3"/>
  <c r="C818" i="3"/>
  <c r="H818" i="3" s="1"/>
  <c r="I639" i="3"/>
  <c r="I606" i="3"/>
  <c r="C501" i="3"/>
  <c r="H501" i="3" s="1"/>
  <c r="H511" i="3" s="1"/>
  <c r="I664" i="3"/>
  <c r="I633" i="3"/>
  <c r="I604" i="3"/>
  <c r="H534" i="3"/>
  <c r="H530" i="3"/>
  <c r="I518" i="3"/>
  <c r="C466" i="3"/>
  <c r="H466" i="3" s="1"/>
  <c r="H480" i="3"/>
  <c r="C462" i="3"/>
  <c r="H462" i="3" s="1"/>
  <c r="H476" i="3"/>
  <c r="C442" i="3"/>
  <c r="D440" i="3" s="1"/>
  <c r="I440" i="3" s="1"/>
  <c r="H436" i="3"/>
  <c r="C394" i="3"/>
  <c r="H394" i="3" s="1"/>
  <c r="H432" i="3"/>
  <c r="C390" i="3"/>
  <c r="H390" i="3" s="1"/>
  <c r="C355" i="3"/>
  <c r="H355" i="3" s="1"/>
  <c r="H359" i="3" s="1"/>
  <c r="H373" i="3"/>
  <c r="I365" i="3"/>
  <c r="H322" i="3"/>
  <c r="C292" i="3"/>
  <c r="H292" i="3" s="1"/>
  <c r="H318" i="3"/>
  <c r="C288" i="3"/>
  <c r="H288" i="3" s="1"/>
  <c r="C286" i="3"/>
  <c r="H286" i="3" s="1"/>
  <c r="H277" i="3"/>
  <c r="I646" i="3"/>
  <c r="I650" i="3"/>
  <c r="I635" i="3"/>
  <c r="I601" i="3"/>
  <c r="I404" i="3"/>
  <c r="D390" i="3"/>
  <c r="H492" i="3"/>
  <c r="H496" i="3"/>
  <c r="H564" i="3"/>
  <c r="H568" i="3"/>
  <c r="H572" i="3"/>
  <c r="H543" i="3"/>
  <c r="H549" i="3"/>
  <c r="H545" i="3"/>
  <c r="C557" i="3"/>
  <c r="H556" i="3"/>
  <c r="H330" i="3"/>
  <c r="D330" i="3"/>
  <c r="I330" i="3" s="1"/>
  <c r="H334" i="3"/>
  <c r="H338" i="3"/>
  <c r="M241" i="3"/>
  <c r="H201" i="3"/>
  <c r="H197" i="3"/>
  <c r="D197" i="3"/>
  <c r="I197" i="3" s="1"/>
  <c r="I603" i="3"/>
  <c r="H448" i="3"/>
  <c r="H452" i="3"/>
  <c r="I411" i="3"/>
  <c r="M446" i="3"/>
  <c r="M256" i="3"/>
  <c r="M308" i="3"/>
  <c r="I189" i="3"/>
  <c r="D175" i="3"/>
  <c r="I175" i="3" s="1"/>
  <c r="C121" i="3"/>
  <c r="H121" i="3" s="1"/>
  <c r="H135" i="3"/>
  <c r="C468" i="3"/>
  <c r="H468" i="3" s="1"/>
  <c r="C230" i="3"/>
  <c r="H230" i="3" s="1"/>
  <c r="H245" i="3"/>
  <c r="H241" i="3"/>
  <c r="C226" i="3"/>
  <c r="H226" i="3" s="1"/>
  <c r="M331" i="3"/>
  <c r="C221" i="3"/>
  <c r="D218" i="3" s="1"/>
  <c r="I218" i="3" s="1"/>
  <c r="H216" i="3"/>
  <c r="C173" i="3"/>
  <c r="H173" i="3" s="1"/>
  <c r="H187" i="3"/>
  <c r="C169" i="3"/>
  <c r="H169" i="3" s="1"/>
  <c r="H183" i="3"/>
  <c r="D183" i="3"/>
  <c r="M183" i="3" s="1"/>
  <c r="D155" i="3"/>
  <c r="I155" i="3" s="1"/>
  <c r="H130" i="3"/>
  <c r="C116" i="3"/>
  <c r="H116" i="3" s="1"/>
  <c r="H97" i="3"/>
  <c r="H93" i="3"/>
  <c r="H89" i="3"/>
  <c r="C85" i="3"/>
  <c r="D91" i="3" s="1"/>
  <c r="H73" i="3"/>
  <c r="H14" i="3"/>
  <c r="C11" i="3"/>
  <c r="D14" i="3" s="1"/>
  <c r="I14" i="3" s="1"/>
  <c r="M205" i="3"/>
  <c r="C137" i="3"/>
  <c r="D135" i="3" s="1"/>
  <c r="M135" i="3" s="1"/>
  <c r="H45" i="3"/>
  <c r="H41" i="3"/>
  <c r="C114" i="3"/>
  <c r="H114" i="3" s="1"/>
  <c r="H142" i="3"/>
  <c r="D1251" i="3"/>
  <c r="D1261" i="3"/>
  <c r="I1259" i="3"/>
  <c r="C1124" i="3"/>
  <c r="H876" i="3"/>
  <c r="H872" i="3"/>
  <c r="C879" i="3"/>
  <c r="D877" i="3" s="1"/>
  <c r="H868" i="3"/>
  <c r="D868" i="3"/>
  <c r="I868" i="3" s="1"/>
  <c r="M1030" i="3"/>
  <c r="H1009" i="3"/>
  <c r="I950" i="3"/>
  <c r="D884" i="3"/>
  <c r="H855" i="3"/>
  <c r="H851" i="3"/>
  <c r="D851" i="3"/>
  <c r="I851" i="3" s="1"/>
  <c r="D927" i="3"/>
  <c r="I927" i="3" s="1"/>
  <c r="I993" i="3"/>
  <c r="C821" i="3"/>
  <c r="H821" i="3" s="1"/>
  <c r="H837" i="3"/>
  <c r="H841" i="3"/>
  <c r="C825" i="3"/>
  <c r="H825" i="3" s="1"/>
  <c r="H845" i="3"/>
  <c r="C829" i="3"/>
  <c r="C764" i="3"/>
  <c r="H764" i="3" s="1"/>
  <c r="H780" i="3"/>
  <c r="C783" i="3"/>
  <c r="H776" i="3"/>
  <c r="C760" i="3"/>
  <c r="H760" i="3" s="1"/>
  <c r="C757" i="3"/>
  <c r="H757" i="3" s="1"/>
  <c r="H773" i="3"/>
  <c r="M837" i="3"/>
  <c r="D700" i="3"/>
  <c r="C691" i="3"/>
  <c r="H691" i="3" s="1"/>
  <c r="H700" i="3"/>
  <c r="D998" i="3"/>
  <c r="D983" i="3"/>
  <c r="H810" i="3"/>
  <c r="H806" i="3"/>
  <c r="H803" i="3"/>
  <c r="D803" i="3"/>
  <c r="I803" i="3" s="1"/>
  <c r="M720" i="3"/>
  <c r="H717" i="3"/>
  <c r="D717" i="3"/>
  <c r="I708" i="3"/>
  <c r="I668" i="3"/>
  <c r="I648" i="3"/>
  <c r="I44" i="1"/>
  <c r="I44" i="2"/>
  <c r="I653" i="3"/>
  <c r="M488" i="3"/>
  <c r="I670" i="3"/>
  <c r="I667" i="3"/>
  <c r="I632" i="3"/>
  <c r="H533" i="3"/>
  <c r="H529" i="3"/>
  <c r="C484" i="3"/>
  <c r="D478" i="3" s="1"/>
  <c r="C465" i="3"/>
  <c r="H465" i="3" s="1"/>
  <c r="H479" i="3"/>
  <c r="D475" i="3"/>
  <c r="M475" i="3" s="1"/>
  <c r="H475" i="3"/>
  <c r="C461" i="3"/>
  <c r="H461" i="3" s="1"/>
  <c r="H439" i="3"/>
  <c r="H435" i="3"/>
  <c r="C377" i="3"/>
  <c r="D374" i="3" s="1"/>
  <c r="I374" i="3" s="1"/>
  <c r="C354" i="3"/>
  <c r="I364" i="3"/>
  <c r="C291" i="3"/>
  <c r="H291" i="3" s="1"/>
  <c r="H321" i="3"/>
  <c r="C326" i="3"/>
  <c r="D324" i="3" s="1"/>
  <c r="M324" i="3" s="1"/>
  <c r="C287" i="3"/>
  <c r="H287" i="3" s="1"/>
  <c r="H317" i="3"/>
  <c r="I309" i="3"/>
  <c r="C281" i="3"/>
  <c r="D279" i="3" s="1"/>
  <c r="H272" i="3"/>
  <c r="C755" i="3"/>
  <c r="H755" i="3" s="1"/>
  <c r="I654" i="3"/>
  <c r="I655" i="3"/>
  <c r="H474" i="3"/>
  <c r="C460" i="3"/>
  <c r="H460" i="3" s="1"/>
  <c r="K1066" i="3"/>
  <c r="K1000" i="3"/>
  <c r="H489" i="3"/>
  <c r="D489" i="3"/>
  <c r="I489" i="3" s="1"/>
  <c r="C498" i="3"/>
  <c r="D493" i="3" s="1"/>
  <c r="I493" i="3" s="1"/>
  <c r="H493" i="3"/>
  <c r="I410" i="3"/>
  <c r="I406" i="3"/>
  <c r="I264" i="3"/>
  <c r="H565" i="3"/>
  <c r="C573" i="3"/>
  <c r="H569" i="3"/>
  <c r="H547" i="3"/>
  <c r="C551" i="3"/>
  <c r="H550" i="3"/>
  <c r="H553" i="3"/>
  <c r="H335" i="3"/>
  <c r="H339" i="3"/>
  <c r="C294" i="3"/>
  <c r="H294" i="3" s="1"/>
  <c r="M309" i="3"/>
  <c r="H204" i="3"/>
  <c r="H200" i="3"/>
  <c r="H158" i="3"/>
  <c r="M128" i="3"/>
  <c r="I599" i="3"/>
  <c r="H449" i="3"/>
  <c r="H453" i="3"/>
  <c r="I407" i="3"/>
  <c r="I405" i="3"/>
  <c r="M418" i="3"/>
  <c r="M255" i="3"/>
  <c r="I184" i="3"/>
  <c r="D170" i="3"/>
  <c r="H159" i="3"/>
  <c r="C117" i="3"/>
  <c r="H117" i="3" s="1"/>
  <c r="H131" i="3"/>
  <c r="H414" i="3"/>
  <c r="H382" i="3"/>
  <c r="D382" i="3"/>
  <c r="I382" i="3" s="1"/>
  <c r="H248" i="3"/>
  <c r="C233" i="3"/>
  <c r="H233" i="3" s="1"/>
  <c r="H244" i="3"/>
  <c r="C229" i="3"/>
  <c r="H229" i="3" s="1"/>
  <c r="H240" i="3"/>
  <c r="D240" i="3"/>
  <c r="C225" i="3"/>
  <c r="H225" i="3" s="1"/>
  <c r="M271" i="3"/>
  <c r="H215" i="3"/>
  <c r="H211" i="3"/>
  <c r="D211" i="3"/>
  <c r="I211" i="3" s="1"/>
  <c r="C176" i="3"/>
  <c r="H176" i="3" s="1"/>
  <c r="H190" i="3"/>
  <c r="C172" i="3"/>
  <c r="H172" i="3" s="1"/>
  <c r="H186" i="3"/>
  <c r="H182" i="3"/>
  <c r="C168" i="3"/>
  <c r="H168" i="3" s="1"/>
  <c r="C165" i="3"/>
  <c r="D162" i="3" s="1"/>
  <c r="I162" i="3" s="1"/>
  <c r="H160" i="3"/>
  <c r="H126" i="3"/>
  <c r="C112" i="3"/>
  <c r="H112" i="3" s="1"/>
  <c r="I19" i="1"/>
  <c r="I19" i="2"/>
  <c r="H96" i="3"/>
  <c r="H76" i="3"/>
  <c r="H72" i="3"/>
  <c r="A17" i="2"/>
  <c r="A19" i="2" s="1"/>
  <c r="M219" i="3"/>
  <c r="M92" i="3"/>
  <c r="H44" i="3"/>
  <c r="C48" i="3"/>
  <c r="D40" i="3" s="1"/>
  <c r="H40" i="3"/>
  <c r="H38" i="3"/>
  <c r="H36" i="3"/>
  <c r="H34" i="3"/>
  <c r="H17" i="3"/>
  <c r="H141" i="3"/>
  <c r="D141" i="3"/>
  <c r="I141" i="3" s="1"/>
  <c r="C151" i="3"/>
  <c r="D144" i="3" s="1"/>
  <c r="I144" i="3" s="1"/>
  <c r="H146" i="3"/>
  <c r="D1207" i="3"/>
  <c r="I1207" i="3" s="1"/>
  <c r="D1119" i="3"/>
  <c r="I1119" i="3" s="1"/>
  <c r="M1180" i="3"/>
  <c r="D1230" i="3"/>
  <c r="I1230" i="3" s="1"/>
  <c r="I1231" i="3" s="1"/>
  <c r="M1280" i="3"/>
  <c r="M16" i="1"/>
  <c r="V16" i="2" s="1"/>
  <c r="D1108" i="3"/>
  <c r="I1108" i="3" s="1"/>
  <c r="H871" i="3"/>
  <c r="H867" i="3"/>
  <c r="D867" i="3"/>
  <c r="I867" i="3" s="1"/>
  <c r="H858" i="3"/>
  <c r="I858" i="3"/>
  <c r="H854" i="3"/>
  <c r="D989" i="3"/>
  <c r="D996" i="3"/>
  <c r="H838" i="3"/>
  <c r="C822" i="3"/>
  <c r="H822" i="3" s="1"/>
  <c r="H842" i="3"/>
  <c r="C826" i="3"/>
  <c r="H826" i="3" s="1"/>
  <c r="M821" i="3"/>
  <c r="C763" i="3"/>
  <c r="H763" i="3" s="1"/>
  <c r="H779" i="3"/>
  <c r="H775" i="3"/>
  <c r="C759" i="3"/>
  <c r="H759" i="3" s="1"/>
  <c r="C754" i="3"/>
  <c r="H754" i="3" s="1"/>
  <c r="H770" i="3"/>
  <c r="M702" i="3"/>
  <c r="D699" i="3"/>
  <c r="H699" i="3"/>
  <c r="C690" i="3"/>
  <c r="H690" i="3" s="1"/>
  <c r="D995" i="3"/>
  <c r="I744" i="3"/>
  <c r="I726" i="3"/>
  <c r="G44" i="1"/>
  <c r="G45" i="1" s="1"/>
  <c r="G48" i="1" s="1"/>
  <c r="G44" i="2"/>
  <c r="G45" i="2" s="1"/>
  <c r="G48" i="2" s="1"/>
  <c r="D625" i="3"/>
  <c r="D615" i="3"/>
  <c r="M805" i="3"/>
  <c r="I754" i="3"/>
  <c r="G28" i="1"/>
  <c r="G28" i="2"/>
  <c r="I665" i="3"/>
  <c r="I643" i="3"/>
  <c r="C730" i="3"/>
  <c r="I644" i="3"/>
  <c r="K576" i="3"/>
  <c r="M487" i="3"/>
  <c r="M727" i="3"/>
  <c r="I727" i="3"/>
  <c r="I674" i="3"/>
  <c r="I671" i="3"/>
  <c r="H660" i="3"/>
  <c r="H687" i="3" s="1"/>
  <c r="I593" i="3"/>
  <c r="C537" i="3"/>
  <c r="D535" i="3" s="1"/>
  <c r="I535" i="3" s="1"/>
  <c r="H532" i="3"/>
  <c r="C464" i="3"/>
  <c r="H464" i="3" s="1"/>
  <c r="H478" i="3"/>
  <c r="I474" i="3"/>
  <c r="D460" i="3"/>
  <c r="H438" i="3"/>
  <c r="H434" i="3"/>
  <c r="I320" i="3"/>
  <c r="H320" i="3"/>
  <c r="C290" i="3"/>
  <c r="H290" i="3" s="1"/>
  <c r="I308" i="3"/>
  <c r="C284" i="3"/>
  <c r="H284" i="3" s="1"/>
  <c r="H275" i="3"/>
  <c r="D771" i="3"/>
  <c r="I637" i="3"/>
  <c r="I642" i="3"/>
  <c r="I658" i="3"/>
  <c r="D624" i="3"/>
  <c r="I595" i="3"/>
  <c r="H490" i="3"/>
  <c r="H494" i="3"/>
  <c r="C459" i="3"/>
  <c r="H459" i="3" s="1"/>
  <c r="I412" i="3"/>
  <c r="C392" i="3"/>
  <c r="H392" i="3" s="1"/>
  <c r="I608" i="3"/>
  <c r="H566" i="3"/>
  <c r="H577" i="3"/>
  <c r="H570" i="3"/>
  <c r="H548" i="3"/>
  <c r="C341" i="3"/>
  <c r="D338" i="3" s="1"/>
  <c r="H332" i="3"/>
  <c r="H199" i="3"/>
  <c r="I602" i="3"/>
  <c r="C456" i="3"/>
  <c r="D449" i="3" s="1"/>
  <c r="I449" i="3" s="1"/>
  <c r="H450" i="3"/>
  <c r="H454" i="3"/>
  <c r="M432" i="3"/>
  <c r="I284" i="3"/>
  <c r="G20" i="1"/>
  <c r="G20" i="2"/>
  <c r="I241" i="3"/>
  <c r="D226" i="3"/>
  <c r="C696" i="3"/>
  <c r="M474" i="3"/>
  <c r="C389" i="3"/>
  <c r="H389" i="3" s="1"/>
  <c r="H383" i="3"/>
  <c r="D383" i="3"/>
  <c r="I383" i="3" s="1"/>
  <c r="H247" i="3"/>
  <c r="C232" i="3"/>
  <c r="H232" i="3" s="1"/>
  <c r="C228" i="3"/>
  <c r="H228" i="3" s="1"/>
  <c r="H243" i="3"/>
  <c r="C224" i="3"/>
  <c r="H224" i="3" s="1"/>
  <c r="H239" i="3"/>
  <c r="M286" i="3"/>
  <c r="H218" i="3"/>
  <c r="H214" i="3"/>
  <c r="C175" i="3"/>
  <c r="H175" i="3" s="1"/>
  <c r="H189" i="3"/>
  <c r="C171" i="3"/>
  <c r="H171" i="3" s="1"/>
  <c r="H185" i="3"/>
  <c r="M156" i="3"/>
  <c r="R156" i="3" s="1"/>
  <c r="C102" i="3"/>
  <c r="D99" i="3" s="1"/>
  <c r="H95" i="3"/>
  <c r="H91" i="3"/>
  <c r="H75" i="3"/>
  <c r="C70" i="3"/>
  <c r="H71" i="3"/>
  <c r="M11" i="1"/>
  <c r="O12" i="1" s="1"/>
  <c r="M177" i="3"/>
  <c r="M1167" i="3"/>
  <c r="A19" i="1"/>
  <c r="H32" i="3"/>
  <c r="H144" i="3"/>
  <c r="C118" i="3"/>
  <c r="H118" i="3" s="1"/>
  <c r="H43" i="3"/>
  <c r="M37" i="3"/>
  <c r="H16" i="3"/>
  <c r="H145" i="3"/>
  <c r="H143" i="3"/>
  <c r="D1252" i="3"/>
  <c r="I1260" i="3"/>
  <c r="M1134" i="3"/>
  <c r="M1044" i="3"/>
  <c r="H874" i="3"/>
  <c r="I874" i="3"/>
  <c r="H870" i="3"/>
  <c r="I1167" i="3"/>
  <c r="D1168" i="3"/>
  <c r="D1162" i="3" s="1"/>
  <c r="I1162" i="3" s="1"/>
  <c r="H835" i="3"/>
  <c r="D835" i="3"/>
  <c r="C819" i="3"/>
  <c r="H819" i="3" s="1"/>
  <c r="H839" i="3"/>
  <c r="C823" i="3"/>
  <c r="H823" i="3" s="1"/>
  <c r="H843" i="3"/>
  <c r="C827" i="3"/>
  <c r="H827" i="3" s="1"/>
  <c r="C765" i="3"/>
  <c r="H765" i="3" s="1"/>
  <c r="H781" i="3"/>
  <c r="H778" i="3"/>
  <c r="C762" i="3"/>
  <c r="H762" i="3" s="1"/>
  <c r="C758" i="3"/>
  <c r="H758" i="3" s="1"/>
  <c r="H774" i="3"/>
  <c r="M853" i="3"/>
  <c r="C693" i="3"/>
  <c r="H693" i="3" s="1"/>
  <c r="H702" i="3"/>
  <c r="D988" i="3"/>
  <c r="D898" i="3"/>
  <c r="I964" i="3"/>
  <c r="H734" i="3"/>
  <c r="C727" i="3"/>
  <c r="H727" i="3" s="1"/>
  <c r="H812" i="3"/>
  <c r="H808" i="3"/>
  <c r="C815" i="3"/>
  <c r="D813" i="3" s="1"/>
  <c r="I679" i="3"/>
  <c r="I656" i="3"/>
  <c r="D622" i="3"/>
  <c r="C685" i="3"/>
  <c r="C687" i="3" s="1"/>
  <c r="D618" i="3"/>
  <c r="D623" i="3"/>
  <c r="D616" i="3"/>
  <c r="I640" i="3"/>
  <c r="K527" i="3"/>
  <c r="K514" i="3"/>
  <c r="M501" i="3"/>
  <c r="M1234" i="3"/>
  <c r="I677" i="3"/>
  <c r="I678" i="3"/>
  <c r="I605" i="3"/>
  <c r="H531" i="3"/>
  <c r="C467" i="3"/>
  <c r="H467" i="3" s="1"/>
  <c r="H481" i="3"/>
  <c r="C463" i="3"/>
  <c r="H463" i="3" s="1"/>
  <c r="H477" i="3"/>
  <c r="H437" i="3"/>
  <c r="H433" i="3"/>
  <c r="H374" i="3"/>
  <c r="I366" i="3"/>
  <c r="C293" i="3"/>
  <c r="H293" i="3" s="1"/>
  <c r="H323" i="3"/>
  <c r="C289" i="3"/>
  <c r="H289" i="3" s="1"/>
  <c r="H319" i="3"/>
  <c r="D315" i="3"/>
  <c r="I315" i="3" s="1"/>
  <c r="H315" i="3"/>
  <c r="I300" i="3"/>
  <c r="H278" i="3"/>
  <c r="H274" i="3"/>
  <c r="D270" i="3"/>
  <c r="I270" i="3" s="1"/>
  <c r="H270" i="3"/>
  <c r="I641" i="3"/>
  <c r="I647" i="3"/>
  <c r="H578" i="3"/>
  <c r="C579" i="3"/>
  <c r="H491" i="3"/>
  <c r="H495" i="3"/>
  <c r="I408" i="3"/>
  <c r="M300" i="3"/>
  <c r="H563" i="3"/>
  <c r="H567" i="3"/>
  <c r="H571" i="3"/>
  <c r="H541" i="3"/>
  <c r="H555" i="3"/>
  <c r="H337" i="3"/>
  <c r="M212" i="3"/>
  <c r="C207" i="3"/>
  <c r="D200" i="3" s="1"/>
  <c r="I200" i="3" s="1"/>
  <c r="H202" i="3"/>
  <c r="M184" i="3"/>
  <c r="H157" i="3"/>
  <c r="I596" i="3"/>
  <c r="H447" i="3"/>
  <c r="H451" i="3"/>
  <c r="C397" i="3"/>
  <c r="H397" i="3" s="1"/>
  <c r="I409" i="3"/>
  <c r="C393" i="3"/>
  <c r="H393" i="3" s="1"/>
  <c r="M142" i="3"/>
  <c r="D127" i="3"/>
  <c r="M127" i="3" s="1"/>
  <c r="C113" i="3"/>
  <c r="H113" i="3" s="1"/>
  <c r="H127" i="3"/>
  <c r="M412" i="3"/>
  <c r="H384" i="3"/>
  <c r="D384" i="3"/>
  <c r="I384" i="3" s="1"/>
  <c r="H246" i="3"/>
  <c r="C231" i="3"/>
  <c r="H231" i="3" s="1"/>
  <c r="H242" i="3"/>
  <c r="C227" i="3"/>
  <c r="H227" i="3" s="1"/>
  <c r="C251" i="3"/>
  <c r="M301" i="3"/>
  <c r="M316" i="3"/>
  <c r="H213" i="3"/>
  <c r="M198" i="3"/>
  <c r="C193" i="3"/>
  <c r="D190" i="3" s="1"/>
  <c r="M190" i="3" s="1"/>
  <c r="C174" i="3"/>
  <c r="H174" i="3" s="1"/>
  <c r="H188" i="3"/>
  <c r="C170" i="3"/>
  <c r="H170" i="3" s="1"/>
  <c r="H184" i="3"/>
  <c r="H163" i="3"/>
  <c r="H134" i="3"/>
  <c r="C120" i="3"/>
  <c r="H120" i="3" s="1"/>
  <c r="I112" i="3"/>
  <c r="G19" i="2"/>
  <c r="G19" i="1"/>
  <c r="M264" i="3"/>
  <c r="H98" i="3"/>
  <c r="I98" i="3"/>
  <c r="H94" i="3"/>
  <c r="H90" i="3"/>
  <c r="C82" i="3"/>
  <c r="H78" i="3"/>
  <c r="H74" i="3"/>
  <c r="H19" i="3"/>
  <c r="K73" i="3"/>
  <c r="K33" i="3"/>
  <c r="K88" i="3"/>
  <c r="K54" i="3"/>
  <c r="M191" i="3"/>
  <c r="M404" i="3"/>
  <c r="M114" i="3"/>
  <c r="I114" i="3"/>
  <c r="H148" i="3"/>
  <c r="H42" i="3"/>
  <c r="H39" i="3"/>
  <c r="H35" i="3"/>
  <c r="H31" i="3"/>
  <c r="C30" i="3"/>
  <c r="D33" i="3" s="1"/>
  <c r="I33" i="3" s="1"/>
  <c r="H149" i="3"/>
  <c r="H147" i="3"/>
  <c r="C119" i="3"/>
  <c r="H119" i="3" s="1"/>
  <c r="V37" i="2" l="1"/>
  <c r="U36" i="2"/>
  <c r="I999" i="3"/>
  <c r="D16" i="3"/>
  <c r="I45" i="14"/>
  <c r="I48" i="14" s="1"/>
  <c r="M528" i="3"/>
  <c r="M515" i="3"/>
  <c r="M263" i="3"/>
  <c r="I38" i="14"/>
  <c r="I49" i="14" s="1"/>
  <c r="I21" i="14"/>
  <c r="I911" i="3"/>
  <c r="G29" i="14"/>
  <c r="G38" i="14" s="1"/>
  <c r="G49" i="14" s="1"/>
  <c r="G21" i="14"/>
  <c r="D871" i="3"/>
  <c r="I871" i="3" s="1"/>
  <c r="D148" i="3"/>
  <c r="I148" i="3" s="1"/>
  <c r="D490" i="3"/>
  <c r="I490" i="3" s="1"/>
  <c r="D855" i="3"/>
  <c r="I855" i="3" s="1"/>
  <c r="D130" i="3"/>
  <c r="H1011" i="3"/>
  <c r="I1075" i="3"/>
  <c r="D134" i="3"/>
  <c r="D437" i="3"/>
  <c r="I437" i="3" s="1"/>
  <c r="M426" i="3"/>
  <c r="D434" i="3"/>
  <c r="I434" i="3" s="1"/>
  <c r="D435" i="3"/>
  <c r="I435" i="3" s="1"/>
  <c r="D1198" i="3"/>
  <c r="I1198" i="3" s="1"/>
  <c r="H341" i="3"/>
  <c r="D1163" i="3"/>
  <c r="I1163" i="3" s="1"/>
  <c r="D812" i="3"/>
  <c r="I812" i="3" s="1"/>
  <c r="I1093" i="3"/>
  <c r="I1112" i="3" s="1"/>
  <c r="D373" i="3"/>
  <c r="I373" i="3" s="1"/>
  <c r="D531" i="3"/>
  <c r="I531" i="3" s="1"/>
  <c r="D1136" i="3"/>
  <c r="I1136" i="3" s="1"/>
  <c r="K1043" i="3"/>
  <c r="D323" i="3"/>
  <c r="I323" i="3" s="1"/>
  <c r="D1199" i="3"/>
  <c r="I1199" i="3" s="1"/>
  <c r="K977" i="3"/>
  <c r="D17" i="3"/>
  <c r="M17" i="3" s="1"/>
  <c r="D163" i="3"/>
  <c r="M163" i="3" s="1"/>
  <c r="R163" i="3" s="1"/>
  <c r="M489" i="3"/>
  <c r="H537" i="3"/>
  <c r="D213" i="3"/>
  <c r="I213" i="3" s="1"/>
  <c r="D215" i="3"/>
  <c r="I215" i="3" s="1"/>
  <c r="D214" i="3"/>
  <c r="I214" i="3" s="1"/>
  <c r="D157" i="3"/>
  <c r="I157" i="3" s="1"/>
  <c r="H165" i="3"/>
  <c r="I1215" i="3"/>
  <c r="M1214" i="3"/>
  <c r="D145" i="3"/>
  <c r="I145" i="3" s="1"/>
  <c r="M141" i="3"/>
  <c r="R141" i="3" s="1"/>
  <c r="D876" i="3"/>
  <c r="I876" i="3" s="1"/>
  <c r="D149" i="3"/>
  <c r="M149" i="3" s="1"/>
  <c r="D529" i="3"/>
  <c r="I529" i="3" s="1"/>
  <c r="M11" i="2"/>
  <c r="I45" i="2"/>
  <c r="I48" i="2" s="1"/>
  <c r="H221" i="3"/>
  <c r="D839" i="3"/>
  <c r="D838" i="3"/>
  <c r="I838" i="3" s="1"/>
  <c r="H863" i="3"/>
  <c r="I1261" i="3"/>
  <c r="I1264" i="3" s="1"/>
  <c r="V36" i="2"/>
  <c r="H281" i="3"/>
  <c r="M1269" i="3"/>
  <c r="M1272" i="3" s="1"/>
  <c r="M197" i="3"/>
  <c r="D201" i="3"/>
  <c r="I201" i="3" s="1"/>
  <c r="D807" i="3"/>
  <c r="I807" i="3" s="1"/>
  <c r="H442" i="3"/>
  <c r="H705" i="3"/>
  <c r="H551" i="3"/>
  <c r="H573" i="3"/>
  <c r="D495" i="3"/>
  <c r="I495" i="3" s="1"/>
  <c r="D285" i="3"/>
  <c r="I285" i="3" s="1"/>
  <c r="D433" i="3"/>
  <c r="I433" i="3" s="1"/>
  <c r="D870" i="3"/>
  <c r="I870" i="3" s="1"/>
  <c r="D532" i="3"/>
  <c r="I532" i="3" s="1"/>
  <c r="D158" i="3"/>
  <c r="I158" i="3" s="1"/>
  <c r="C559" i="3"/>
  <c r="D549" i="3" s="1"/>
  <c r="I549" i="3" s="1"/>
  <c r="H723" i="3"/>
  <c r="M162" i="3"/>
  <c r="R162" i="3" s="1"/>
  <c r="M330" i="3"/>
  <c r="I428" i="3"/>
  <c r="I91" i="3"/>
  <c r="M91" i="3"/>
  <c r="H815" i="3"/>
  <c r="D920" i="3"/>
  <c r="I920" i="3" s="1"/>
  <c r="M218" i="3"/>
  <c r="H193" i="3"/>
  <c r="I524" i="3"/>
  <c r="I1122" i="3"/>
  <c r="H484" i="3"/>
  <c r="D481" i="3"/>
  <c r="D454" i="3"/>
  <c r="I454" i="3" s="1"/>
  <c r="H456" i="3"/>
  <c r="D491" i="3"/>
  <c r="I491" i="3" s="1"/>
  <c r="H326" i="3"/>
  <c r="D477" i="3"/>
  <c r="I477" i="3" s="1"/>
  <c r="D916" i="3"/>
  <c r="I916" i="3" s="1"/>
  <c r="D143" i="3"/>
  <c r="I143" i="3" s="1"/>
  <c r="D438" i="3"/>
  <c r="I438" i="3" s="1"/>
  <c r="D131" i="3"/>
  <c r="I131" i="3" s="1"/>
  <c r="M155" i="3"/>
  <c r="I45" i="1"/>
  <c r="I48" i="1" s="1"/>
  <c r="D1253" i="3"/>
  <c r="D1166" i="3"/>
  <c r="I1166" i="3" s="1"/>
  <c r="H207" i="3"/>
  <c r="D90" i="3"/>
  <c r="I90" i="3" s="1"/>
  <c r="D447" i="3"/>
  <c r="I447" i="3" s="1"/>
  <c r="D35" i="3"/>
  <c r="I35" i="3" s="1"/>
  <c r="C179" i="3"/>
  <c r="H498" i="3"/>
  <c r="H847" i="3"/>
  <c r="D398" i="3"/>
  <c r="M398" i="3" s="1"/>
  <c r="D854" i="3"/>
  <c r="I854" i="3" s="1"/>
  <c r="H151" i="3"/>
  <c r="D339" i="3"/>
  <c r="I339" i="3" s="1"/>
  <c r="C767" i="3"/>
  <c r="H879" i="3"/>
  <c r="D492" i="3"/>
  <c r="I492" i="3" s="1"/>
  <c r="M440" i="3"/>
  <c r="D530" i="3"/>
  <c r="I530" i="3" s="1"/>
  <c r="D860" i="3"/>
  <c r="I273" i="3"/>
  <c r="I272" i="3"/>
  <c r="D274" i="3"/>
  <c r="I274" i="3" s="1"/>
  <c r="I808" i="3"/>
  <c r="R127" i="3"/>
  <c r="I40" i="3"/>
  <c r="I338" i="3"/>
  <c r="M338" i="3"/>
  <c r="K24" i="1"/>
  <c r="K24" i="2"/>
  <c r="M19" i="3"/>
  <c r="I19" i="3"/>
  <c r="G21" i="2"/>
  <c r="I622" i="3"/>
  <c r="I332" i="3"/>
  <c r="I333" i="3"/>
  <c r="H696" i="3"/>
  <c r="D930" i="3"/>
  <c r="I930" i="3" s="1"/>
  <c r="I996" i="3"/>
  <c r="I717" i="3"/>
  <c r="D448" i="3"/>
  <c r="I448" i="3" s="1"/>
  <c r="I979" i="3"/>
  <c r="D913" i="3"/>
  <c r="I913" i="3" s="1"/>
  <c r="D909" i="3"/>
  <c r="I909" i="3" s="1"/>
  <c r="I975" i="3"/>
  <c r="R114" i="3"/>
  <c r="I541" i="3"/>
  <c r="D542" i="3"/>
  <c r="I258" i="3"/>
  <c r="I257" i="3"/>
  <c r="H82" i="3"/>
  <c r="I99" i="3"/>
  <c r="I226" i="3"/>
  <c r="M226" i="3"/>
  <c r="H470" i="3"/>
  <c r="I460" i="3"/>
  <c r="M460" i="3"/>
  <c r="I478" i="3"/>
  <c r="I610" i="3"/>
  <c r="I625" i="3"/>
  <c r="I730" i="3"/>
  <c r="H783" i="3"/>
  <c r="D775" i="3"/>
  <c r="I989" i="3"/>
  <c r="D923" i="3"/>
  <c r="I923" i="3" s="1"/>
  <c r="O16" i="1"/>
  <c r="Q16" i="1" s="1"/>
  <c r="D34" i="3"/>
  <c r="I96" i="3"/>
  <c r="H123" i="3"/>
  <c r="D186" i="3"/>
  <c r="D453" i="3"/>
  <c r="I453" i="3" s="1"/>
  <c r="D204" i="3"/>
  <c r="D176" i="3" s="1"/>
  <c r="C581" i="3"/>
  <c r="D261" i="3"/>
  <c r="I261" i="3" s="1"/>
  <c r="M1000" i="3"/>
  <c r="C470" i="3"/>
  <c r="D482" i="3"/>
  <c r="I810" i="3"/>
  <c r="I983" i="3"/>
  <c r="D917" i="3"/>
  <c r="I917" i="3" s="1"/>
  <c r="D691" i="3"/>
  <c r="I700" i="3"/>
  <c r="H829" i="3"/>
  <c r="H831" i="3" s="1"/>
  <c r="D829" i="3"/>
  <c r="D41" i="3"/>
  <c r="I41" i="3" s="1"/>
  <c r="R135" i="3"/>
  <c r="H27" i="3"/>
  <c r="D86" i="3"/>
  <c r="D87" i="3"/>
  <c r="D88" i="3"/>
  <c r="I88" i="3" s="1"/>
  <c r="I130" i="3"/>
  <c r="D187" i="3"/>
  <c r="I135" i="3"/>
  <c r="C511" i="3"/>
  <c r="D356" i="3"/>
  <c r="I356" i="3" s="1"/>
  <c r="D509" i="3"/>
  <c r="I509" i="3" s="1"/>
  <c r="M911" i="3"/>
  <c r="I718" i="3"/>
  <c r="D919" i="3"/>
  <c r="I919" i="3" s="1"/>
  <c r="I985" i="3"/>
  <c r="D820" i="3"/>
  <c r="I836" i="3"/>
  <c r="I951" i="3"/>
  <c r="D885" i="3"/>
  <c r="I885" i="3" s="1"/>
  <c r="I961" i="3"/>
  <c r="D895" i="3"/>
  <c r="I895" i="3" s="1"/>
  <c r="D902" i="3"/>
  <c r="I902" i="3" s="1"/>
  <c r="I968" i="3"/>
  <c r="I1002" i="3"/>
  <c r="D936" i="3"/>
  <c r="I936" i="3" s="1"/>
  <c r="I1006" i="3"/>
  <c r="D940" i="3"/>
  <c r="I940" i="3" s="1"/>
  <c r="D1143" i="3"/>
  <c r="I1143" i="3" s="1"/>
  <c r="C236" i="3"/>
  <c r="D249" i="3"/>
  <c r="I616" i="3"/>
  <c r="I624" i="3"/>
  <c r="I615" i="3"/>
  <c r="I842" i="3"/>
  <c r="D826" i="3"/>
  <c r="I826" i="3" s="1"/>
  <c r="I21" i="1"/>
  <c r="I38" i="1"/>
  <c r="I190" i="3"/>
  <c r="I170" i="3"/>
  <c r="M170" i="3"/>
  <c r="D276" i="3"/>
  <c r="I276" i="3" s="1"/>
  <c r="I279" i="3"/>
  <c r="D780" i="3"/>
  <c r="D899" i="3"/>
  <c r="I899" i="3" s="1"/>
  <c r="I965" i="3"/>
  <c r="I1005" i="3"/>
  <c r="D939" i="3"/>
  <c r="I939" i="3" s="1"/>
  <c r="M1264" i="3"/>
  <c r="I21" i="3"/>
  <c r="D20" i="3"/>
  <c r="I623" i="3"/>
  <c r="I898" i="3"/>
  <c r="M898" i="3"/>
  <c r="D774" i="3"/>
  <c r="D31" i="3"/>
  <c r="M14" i="3"/>
  <c r="I63" i="3"/>
  <c r="I64" i="3"/>
  <c r="I62" i="3"/>
  <c r="D451" i="3"/>
  <c r="I451" i="3" s="1"/>
  <c r="M279" i="3"/>
  <c r="I260" i="3"/>
  <c r="D278" i="3"/>
  <c r="I618" i="3"/>
  <c r="M772" i="3"/>
  <c r="I988" i="3"/>
  <c r="D922" i="3"/>
  <c r="I922" i="3" s="1"/>
  <c r="I835" i="3"/>
  <c r="D819" i="3"/>
  <c r="I819" i="3" s="1"/>
  <c r="D1161" i="3"/>
  <c r="I1161" i="3" s="1"/>
  <c r="M1252" i="3"/>
  <c r="I1252" i="3"/>
  <c r="P66" i="3"/>
  <c r="P65" i="3"/>
  <c r="G15" i="1"/>
  <c r="G15" i="2"/>
  <c r="G17" i="2" s="1"/>
  <c r="D52" i="3"/>
  <c r="D54" i="3"/>
  <c r="I54" i="3" s="1"/>
  <c r="D57" i="3"/>
  <c r="D55" i="3"/>
  <c r="D53" i="3"/>
  <c r="D56" i="3"/>
  <c r="D185" i="3"/>
  <c r="H251" i="3"/>
  <c r="D450" i="3"/>
  <c r="I450" i="3" s="1"/>
  <c r="D199" i="3"/>
  <c r="I199" i="3" s="1"/>
  <c r="D494" i="3"/>
  <c r="I494" i="3" s="1"/>
  <c r="H296" i="3"/>
  <c r="M757" i="3"/>
  <c r="I757" i="3"/>
  <c r="I699" i="3"/>
  <c r="D690" i="3"/>
  <c r="P1280" i="3"/>
  <c r="A20" i="2"/>
  <c r="H137" i="3"/>
  <c r="I240" i="3"/>
  <c r="D225" i="3"/>
  <c r="M240" i="3"/>
  <c r="I386" i="3"/>
  <c r="D159" i="3"/>
  <c r="I159" i="3" s="1"/>
  <c r="R128" i="3"/>
  <c r="C359" i="3"/>
  <c r="D375" i="3"/>
  <c r="I475" i="3"/>
  <c r="D461" i="3"/>
  <c r="D479" i="3"/>
  <c r="D533" i="3"/>
  <c r="M852" i="3"/>
  <c r="D932" i="3"/>
  <c r="I932" i="3" s="1"/>
  <c r="I998" i="3"/>
  <c r="I845" i="3"/>
  <c r="I884" i="3"/>
  <c r="M884" i="3"/>
  <c r="I877" i="3"/>
  <c r="M1251" i="3"/>
  <c r="I1251" i="3"/>
  <c r="D89" i="3"/>
  <c r="I97" i="3"/>
  <c r="I183" i="3"/>
  <c r="D169" i="3"/>
  <c r="D452" i="3"/>
  <c r="I452" i="3" s="1"/>
  <c r="M211" i="3"/>
  <c r="H575" i="3"/>
  <c r="H579" i="3" s="1"/>
  <c r="D575" i="3"/>
  <c r="D496" i="3"/>
  <c r="I496" i="3" s="1"/>
  <c r="C296" i="3"/>
  <c r="H377" i="3"/>
  <c r="D436" i="3"/>
  <c r="D480" i="3"/>
  <c r="D534" i="3"/>
  <c r="I804" i="3"/>
  <c r="M804" i="3"/>
  <c r="D928" i="3"/>
  <c r="I928" i="3" s="1"/>
  <c r="I994" i="3"/>
  <c r="H730" i="3"/>
  <c r="G29" i="2"/>
  <c r="D934" i="3"/>
  <c r="I1000" i="3"/>
  <c r="I844" i="3"/>
  <c r="I861" i="3"/>
  <c r="I1056" i="3"/>
  <c r="I954" i="3"/>
  <c r="D888" i="3"/>
  <c r="I888" i="3" s="1"/>
  <c r="I971" i="3"/>
  <c r="D905" i="3"/>
  <c r="I905" i="3" s="1"/>
  <c r="D891" i="3"/>
  <c r="I891" i="3" s="1"/>
  <c r="I957" i="3"/>
  <c r="D903" i="3"/>
  <c r="I903" i="3" s="1"/>
  <c r="I969" i="3"/>
  <c r="I1003" i="3"/>
  <c r="D937" i="3"/>
  <c r="I937" i="3" s="1"/>
  <c r="I1007" i="3"/>
  <c r="D941" i="3"/>
  <c r="I941" i="3" s="1"/>
  <c r="D290" i="3"/>
  <c r="I290" i="3" s="1"/>
  <c r="P26" i="3"/>
  <c r="M527" i="3"/>
  <c r="M16" i="3"/>
  <c r="I16" i="3"/>
  <c r="K35" i="2"/>
  <c r="K35" i="1"/>
  <c r="I318" i="3"/>
  <c r="I317" i="3"/>
  <c r="I660" i="3"/>
  <c r="D334" i="3"/>
  <c r="I334" i="3" s="1"/>
  <c r="I414" i="3"/>
  <c r="I960" i="3"/>
  <c r="D894" i="3"/>
  <c r="I894" i="3" s="1"/>
  <c r="I127" i="3"/>
  <c r="D113" i="3"/>
  <c r="I563" i="3"/>
  <c r="I562" i="3"/>
  <c r="I813" i="3"/>
  <c r="I809" i="3"/>
  <c r="H48" i="3"/>
  <c r="A20" i="1"/>
  <c r="M33" i="3"/>
  <c r="G21" i="1"/>
  <c r="R142" i="3"/>
  <c r="M514" i="3"/>
  <c r="D781" i="3"/>
  <c r="D32" i="3"/>
  <c r="H236" i="3"/>
  <c r="H400" i="3"/>
  <c r="H554" i="3"/>
  <c r="H557" i="3" s="1"/>
  <c r="D554" i="3"/>
  <c r="M315" i="3"/>
  <c r="I771" i="3"/>
  <c r="D755" i="3"/>
  <c r="I755" i="3" s="1"/>
  <c r="D287" i="3"/>
  <c r="I287" i="3" s="1"/>
  <c r="I302" i="3"/>
  <c r="D304" i="3"/>
  <c r="M868" i="3"/>
  <c r="D929" i="3"/>
  <c r="I929" i="3" s="1"/>
  <c r="I995" i="3"/>
  <c r="D36" i="3"/>
  <c r="I38" i="2"/>
  <c r="I21" i="2"/>
  <c r="H179" i="3"/>
  <c r="D248" i="3"/>
  <c r="H386" i="3"/>
  <c r="M1066" i="3"/>
  <c r="D321" i="3"/>
  <c r="D322" i="3" s="1"/>
  <c r="I324" i="3"/>
  <c r="I368" i="3"/>
  <c r="D439" i="3"/>
  <c r="I714" i="3"/>
  <c r="D806" i="3"/>
  <c r="I806" i="3" s="1"/>
  <c r="C123" i="3"/>
  <c r="D129" i="3"/>
  <c r="D12" i="3"/>
  <c r="D13" i="3"/>
  <c r="D15" i="3"/>
  <c r="H102" i="3"/>
  <c r="D543" i="3"/>
  <c r="M270" i="3"/>
  <c r="I390" i="3"/>
  <c r="M390" i="3"/>
  <c r="D476" i="3"/>
  <c r="I681" i="3"/>
  <c r="H756" i="3"/>
  <c r="H767" i="3" s="1"/>
  <c r="D756" i="3"/>
  <c r="I792" i="3"/>
  <c r="D795" i="3"/>
  <c r="I795" i="3" s="1"/>
  <c r="I619" i="3"/>
  <c r="H737" i="3"/>
  <c r="G29" i="1"/>
  <c r="C831" i="3"/>
  <c r="D931" i="3"/>
  <c r="I931" i="3" s="1"/>
  <c r="I997" i="3"/>
  <c r="I978" i="3"/>
  <c r="D912" i="3"/>
  <c r="M978" i="3"/>
  <c r="I955" i="3"/>
  <c r="D889" i="3"/>
  <c r="I889" i="3" s="1"/>
  <c r="I972" i="3"/>
  <c r="D906" i="3"/>
  <c r="I906" i="3" s="1"/>
  <c r="D892" i="3"/>
  <c r="I892" i="3" s="1"/>
  <c r="I958" i="3"/>
  <c r="D908" i="3"/>
  <c r="I908" i="3" s="1"/>
  <c r="I974" i="3"/>
  <c r="I1004" i="3"/>
  <c r="D938" i="3"/>
  <c r="I938" i="3" s="1"/>
  <c r="I1008" i="3"/>
  <c r="D942" i="3"/>
  <c r="I942" i="3" s="1"/>
  <c r="C400" i="3"/>
  <c r="P25" i="3"/>
  <c r="N12" i="2" l="1"/>
  <c r="D120" i="3"/>
  <c r="M148" i="3"/>
  <c r="I221" i="3"/>
  <c r="M134" i="3"/>
  <c r="M339" i="3"/>
  <c r="I134" i="3"/>
  <c r="D823" i="3"/>
  <c r="I823" i="3" s="1"/>
  <c r="R155" i="3"/>
  <c r="I1204" i="3"/>
  <c r="I1217" i="3" s="1"/>
  <c r="K32" i="1" s="1"/>
  <c r="D392" i="3"/>
  <c r="I392" i="3" s="1"/>
  <c r="M90" i="3"/>
  <c r="D393" i="3"/>
  <c r="I393" i="3" s="1"/>
  <c r="D396" i="3"/>
  <c r="I396" i="3" s="1"/>
  <c r="M54" i="3"/>
  <c r="I1077" i="3"/>
  <c r="H559" i="3"/>
  <c r="D828" i="3"/>
  <c r="I828" i="3" s="1"/>
  <c r="D464" i="3"/>
  <c r="I464" i="3" s="1"/>
  <c r="M323" i="3"/>
  <c r="M1043" i="3"/>
  <c r="M812" i="3"/>
  <c r="D395" i="3"/>
  <c r="I395" i="3" s="1"/>
  <c r="D293" i="3"/>
  <c r="M293" i="3" s="1"/>
  <c r="I1124" i="3"/>
  <c r="K30" i="2" s="1"/>
  <c r="M1166" i="3"/>
  <c r="M35" i="3"/>
  <c r="I17" i="3"/>
  <c r="M876" i="3"/>
  <c r="D1144" i="3"/>
  <c r="I1144" i="3" s="1"/>
  <c r="I1158" i="3" s="1"/>
  <c r="M977" i="3"/>
  <c r="D463" i="3"/>
  <c r="I463" i="3" s="1"/>
  <c r="I149" i="3"/>
  <c r="D294" i="3"/>
  <c r="M294" i="3" s="1"/>
  <c r="D121" i="3"/>
  <c r="I121" i="3" s="1"/>
  <c r="D503" i="3"/>
  <c r="I503" i="3" s="1"/>
  <c r="D550" i="3"/>
  <c r="I550" i="3" s="1"/>
  <c r="I322" i="3"/>
  <c r="D355" i="3"/>
  <c r="I355" i="3" s="1"/>
  <c r="D822" i="3"/>
  <c r="I822" i="3" s="1"/>
  <c r="D548" i="3"/>
  <c r="I548" i="3" s="1"/>
  <c r="M454" i="3"/>
  <c r="I839" i="3"/>
  <c r="D545" i="3"/>
  <c r="I545" i="3" s="1"/>
  <c r="H581" i="3"/>
  <c r="D116" i="3"/>
  <c r="I116" i="3" s="1"/>
  <c r="D505" i="3"/>
  <c r="I505" i="3" s="1"/>
  <c r="I1168" i="3"/>
  <c r="D391" i="3"/>
  <c r="I391" i="3" s="1"/>
  <c r="I705" i="3"/>
  <c r="I321" i="3"/>
  <c r="I163" i="3"/>
  <c r="I398" i="3"/>
  <c r="G17" i="1"/>
  <c r="N11" i="2"/>
  <c r="D506" i="3"/>
  <c r="I506" i="3" s="1"/>
  <c r="D467" i="3"/>
  <c r="I467" i="3" s="1"/>
  <c r="D546" i="3"/>
  <c r="D556" i="3"/>
  <c r="D547" i="3"/>
  <c r="I547" i="3" s="1"/>
  <c r="M285" i="3"/>
  <c r="D262" i="3"/>
  <c r="I262" i="3" s="1"/>
  <c r="I481" i="3"/>
  <c r="I799" i="3"/>
  <c r="D504" i="3"/>
  <c r="I504" i="3" s="1"/>
  <c r="I498" i="3"/>
  <c r="I1253" i="3"/>
  <c r="I1256" i="3" s="1"/>
  <c r="I456" i="3"/>
  <c r="I990" i="3"/>
  <c r="I1009" i="3"/>
  <c r="I860" i="3"/>
  <c r="M860" i="3"/>
  <c r="I856" i="3"/>
  <c r="D462" i="3"/>
  <c r="I462" i="3" s="1"/>
  <c r="I476" i="3"/>
  <c r="I15" i="3"/>
  <c r="M15" i="3"/>
  <c r="I129" i="3"/>
  <c r="D115" i="3"/>
  <c r="I115" i="3" s="1"/>
  <c r="I439" i="3"/>
  <c r="D397" i="3"/>
  <c r="I397" i="3" s="1"/>
  <c r="D288" i="3"/>
  <c r="I288" i="3" s="1"/>
  <c r="I303" i="3"/>
  <c r="D306" i="3"/>
  <c r="D765" i="3"/>
  <c r="I781" i="3"/>
  <c r="I113" i="3"/>
  <c r="M113" i="3"/>
  <c r="I436" i="3"/>
  <c r="D394" i="3"/>
  <c r="I394" i="3" s="1"/>
  <c r="I575" i="3"/>
  <c r="I533" i="3"/>
  <c r="D507" i="3"/>
  <c r="I507" i="3" s="1"/>
  <c r="I375" i="3"/>
  <c r="I377" i="3" s="1"/>
  <c r="D357" i="3"/>
  <c r="I357" i="3" s="1"/>
  <c r="I335" i="3"/>
  <c r="I690" i="3"/>
  <c r="I185" i="3"/>
  <c r="D171" i="3"/>
  <c r="I171" i="3" s="1"/>
  <c r="I57" i="3"/>
  <c r="M57" i="3"/>
  <c r="I58" i="3"/>
  <c r="M58" i="3"/>
  <c r="P1264" i="3"/>
  <c r="I628" i="3"/>
  <c r="I687" i="3" s="1"/>
  <c r="D564" i="3"/>
  <c r="I691" i="3"/>
  <c r="D568" i="3"/>
  <c r="D569" i="3"/>
  <c r="D570" i="3"/>
  <c r="I570" i="3" s="1"/>
  <c r="D578" i="3"/>
  <c r="D567" i="3"/>
  <c r="I567" i="3" s="1"/>
  <c r="D571" i="3"/>
  <c r="I571" i="3" s="1"/>
  <c r="D572" i="3"/>
  <c r="I572" i="3" s="1"/>
  <c r="D117" i="3"/>
  <c r="I117" i="3" s="1"/>
  <c r="I775" i="3"/>
  <c r="D759" i="3"/>
  <c r="I759" i="3" s="1"/>
  <c r="I723" i="3"/>
  <c r="D336" i="3"/>
  <c r="I336" i="3" s="1"/>
  <c r="I44" i="3"/>
  <c r="I543" i="3"/>
  <c r="M543" i="3"/>
  <c r="I13" i="3"/>
  <c r="M13" i="3"/>
  <c r="C1282" i="3"/>
  <c r="I872" i="3"/>
  <c r="I248" i="3"/>
  <c r="D233" i="3"/>
  <c r="M248" i="3"/>
  <c r="P1272" i="3"/>
  <c r="I304" i="3"/>
  <c r="I554" i="3"/>
  <c r="M554" i="3"/>
  <c r="R134" i="3"/>
  <c r="M120" i="3"/>
  <c r="I120" i="3"/>
  <c r="I840" i="3"/>
  <c r="D824" i="3"/>
  <c r="I824" i="3" s="1"/>
  <c r="I934" i="3"/>
  <c r="I943" i="3" s="1"/>
  <c r="M934" i="3"/>
  <c r="I873" i="3"/>
  <c r="I479" i="3"/>
  <c r="D465" i="3"/>
  <c r="I465" i="3" s="1"/>
  <c r="I56" i="3"/>
  <c r="M56" i="3"/>
  <c r="A21" i="2"/>
  <c r="I31" i="3"/>
  <c r="M31" i="3"/>
  <c r="I146" i="3"/>
  <c r="D147" i="3"/>
  <c r="I147" i="3" s="1"/>
  <c r="I187" i="3"/>
  <c r="D173" i="3"/>
  <c r="I173" i="3" s="1"/>
  <c r="I87" i="3"/>
  <c r="M87" i="3"/>
  <c r="I829" i="3"/>
  <c r="I204" i="3"/>
  <c r="I207" i="3" s="1"/>
  <c r="M204" i="3"/>
  <c r="I34" i="3"/>
  <c r="M34" i="3"/>
  <c r="K41" i="1"/>
  <c r="K41" i="2"/>
  <c r="M88" i="3"/>
  <c r="P46" i="3"/>
  <c r="I912" i="3"/>
  <c r="I924" i="3" s="1"/>
  <c r="M912" i="3"/>
  <c r="M756" i="3"/>
  <c r="I756" i="3"/>
  <c r="I12" i="3"/>
  <c r="M12" i="3"/>
  <c r="I15" i="1"/>
  <c r="P64" i="3"/>
  <c r="I15" i="2"/>
  <c r="I17" i="2" s="1"/>
  <c r="I49" i="2" s="1"/>
  <c r="D1282" i="3"/>
  <c r="I36" i="3"/>
  <c r="M36" i="3"/>
  <c r="I95" i="3"/>
  <c r="D94" i="3"/>
  <c r="D93" i="3"/>
  <c r="D161" i="3"/>
  <c r="I161" i="3" s="1"/>
  <c r="I160" i="3"/>
  <c r="I857" i="3"/>
  <c r="I534" i="3"/>
  <c r="D508" i="3"/>
  <c r="I508" i="3" s="1"/>
  <c r="I89" i="3"/>
  <c r="M89" i="3"/>
  <c r="I461" i="3"/>
  <c r="M461" i="3"/>
  <c r="I225" i="3"/>
  <c r="M225" i="3"/>
  <c r="I53" i="3"/>
  <c r="M53" i="3"/>
  <c r="I52" i="3"/>
  <c r="M52" i="3"/>
  <c r="R149" i="3"/>
  <c r="A21" i="1"/>
  <c r="I774" i="3"/>
  <c r="D758" i="3"/>
  <c r="I758" i="3" s="1"/>
  <c r="I20" i="3"/>
  <c r="M20" i="3"/>
  <c r="D764" i="3"/>
  <c r="I780" i="3"/>
  <c r="M780" i="3"/>
  <c r="I176" i="3"/>
  <c r="M176" i="3"/>
  <c r="D118" i="3"/>
  <c r="I118" i="3" s="1"/>
  <c r="I132" i="3"/>
  <c r="D133" i="3"/>
  <c r="I86" i="3"/>
  <c r="M86" i="3"/>
  <c r="I186" i="3"/>
  <c r="D172" i="3"/>
  <c r="I172" i="3" s="1"/>
  <c r="P99" i="3"/>
  <c r="I542" i="3"/>
  <c r="D319" i="3"/>
  <c r="I45" i="3"/>
  <c r="D811" i="3"/>
  <c r="I811" i="3" s="1"/>
  <c r="I815" i="3" s="1"/>
  <c r="I32" i="3"/>
  <c r="M32" i="3"/>
  <c r="I480" i="3"/>
  <c r="D466" i="3"/>
  <c r="I466" i="3" s="1"/>
  <c r="I169" i="3"/>
  <c r="M169" i="3"/>
  <c r="M1253" i="3"/>
  <c r="D843" i="3"/>
  <c r="I55" i="3"/>
  <c r="M55" i="3"/>
  <c r="D76" i="3"/>
  <c r="D75" i="3"/>
  <c r="D74" i="3"/>
  <c r="D73" i="3"/>
  <c r="D72" i="3"/>
  <c r="D71" i="3"/>
  <c r="O11" i="1"/>
  <c r="Q12" i="1" s="1"/>
  <c r="I278" i="3"/>
  <c r="M278" i="3"/>
  <c r="I61" i="3"/>
  <c r="D60" i="3"/>
  <c r="D59" i="3"/>
  <c r="I249" i="3"/>
  <c r="D234" i="3"/>
  <c r="M249" i="3"/>
  <c r="I820" i="3"/>
  <c r="M820" i="3"/>
  <c r="D468" i="3"/>
  <c r="I468" i="3" s="1"/>
  <c r="I482" i="3"/>
  <c r="K44" i="2"/>
  <c r="K44" i="1"/>
  <c r="I275" i="3"/>
  <c r="D277" i="3"/>
  <c r="I277" i="3" s="1"/>
  <c r="P100" i="3"/>
  <c r="D259" i="3"/>
  <c r="I259" i="3" s="1"/>
  <c r="I266" i="3" s="1"/>
  <c r="I540" i="3"/>
  <c r="G27" i="2"/>
  <c r="G38" i="2" s="1"/>
  <c r="G49" i="2" s="1"/>
  <c r="G27" i="1"/>
  <c r="G38" i="1" s="1"/>
  <c r="D576" i="3"/>
  <c r="D553" i="3"/>
  <c r="R148" i="3"/>
  <c r="D565" i="3"/>
  <c r="I43" i="3"/>
  <c r="P47" i="3"/>
  <c r="O12" i="2" l="1"/>
  <c r="I281" i="3"/>
  <c r="M828" i="3"/>
  <c r="I294" i="3"/>
  <c r="K30" i="1"/>
  <c r="I293" i="3"/>
  <c r="H1282" i="3"/>
  <c r="I1170" i="3"/>
  <c r="D551" i="3"/>
  <c r="I359" i="3"/>
  <c r="M121" i="3"/>
  <c r="R121" i="3" s="1"/>
  <c r="I400" i="3"/>
  <c r="K32" i="2"/>
  <c r="I319" i="3"/>
  <c r="I326" i="3" s="1"/>
  <c r="K31" i="2"/>
  <c r="K46" i="1"/>
  <c r="G49" i="1"/>
  <c r="O11" i="2"/>
  <c r="I484" i="3"/>
  <c r="K46" i="2"/>
  <c r="I165" i="3"/>
  <c r="I442" i="3"/>
  <c r="I546" i="3"/>
  <c r="M546" i="3"/>
  <c r="D557" i="3"/>
  <c r="I556" i="3"/>
  <c r="I945" i="3"/>
  <c r="K31" i="1"/>
  <c r="K33" i="1" s="1"/>
  <c r="I1011" i="3"/>
  <c r="I179" i="3"/>
  <c r="I151" i="3"/>
  <c r="I193" i="3"/>
  <c r="I511" i="3"/>
  <c r="I470" i="3"/>
  <c r="K23" i="1" s="1"/>
  <c r="I843" i="3"/>
  <c r="I576" i="3"/>
  <c r="M576" i="3"/>
  <c r="I242" i="3"/>
  <c r="D227" i="3"/>
  <c r="D344" i="3" s="1"/>
  <c r="D244" i="3"/>
  <c r="I60" i="3"/>
  <c r="M60" i="3"/>
  <c r="I74" i="3"/>
  <c r="M74" i="3"/>
  <c r="M764" i="3"/>
  <c r="I764" i="3"/>
  <c r="I94" i="3"/>
  <c r="M94" i="3"/>
  <c r="P79" i="3"/>
  <c r="D79" i="3"/>
  <c r="I79" i="3" s="1"/>
  <c r="D78" i="3"/>
  <c r="I78" i="3" s="1"/>
  <c r="R120" i="3"/>
  <c r="I568" i="3"/>
  <c r="M568" i="3"/>
  <c r="I564" i="3"/>
  <c r="I537" i="3"/>
  <c r="A22" i="1"/>
  <c r="R113" i="3"/>
  <c r="D859" i="3"/>
  <c r="I859" i="3" s="1"/>
  <c r="I863" i="3" s="1"/>
  <c r="I565" i="3"/>
  <c r="M565" i="3"/>
  <c r="D246" i="3"/>
  <c r="D247" i="3" s="1"/>
  <c r="I71" i="3"/>
  <c r="M71" i="3"/>
  <c r="I75" i="3"/>
  <c r="M75" i="3"/>
  <c r="M544" i="3"/>
  <c r="I544" i="3"/>
  <c r="I133" i="3"/>
  <c r="I137" i="3" s="1"/>
  <c r="D119" i="3"/>
  <c r="I119" i="3" s="1"/>
  <c r="I123" i="3" s="1"/>
  <c r="I17" i="1"/>
  <c r="I42" i="3"/>
  <c r="D39" i="3"/>
  <c r="D38" i="3"/>
  <c r="A22" i="2"/>
  <c r="I578" i="3"/>
  <c r="D579" i="3"/>
  <c r="K42" i="2"/>
  <c r="K42" i="1"/>
  <c r="I765" i="3"/>
  <c r="D291" i="3"/>
  <c r="I291" i="3" s="1"/>
  <c r="I306" i="3"/>
  <c r="D307" i="3"/>
  <c r="I245" i="3"/>
  <c r="D230" i="3"/>
  <c r="D347" i="3" s="1"/>
  <c r="I234" i="3"/>
  <c r="M234" i="3"/>
  <c r="I72" i="3"/>
  <c r="M72" i="3"/>
  <c r="I76" i="3"/>
  <c r="M76" i="3"/>
  <c r="M1256" i="3"/>
  <c r="I696" i="3"/>
  <c r="I577" i="3"/>
  <c r="M577" i="3"/>
  <c r="D779" i="3"/>
  <c r="I776" i="3"/>
  <c r="D760" i="3"/>
  <c r="I760" i="3" s="1"/>
  <c r="I553" i="3"/>
  <c r="I59" i="3"/>
  <c r="M59" i="3"/>
  <c r="Q11" i="1"/>
  <c r="I73" i="3"/>
  <c r="M73" i="3"/>
  <c r="I77" i="3"/>
  <c r="M77" i="3"/>
  <c r="I841" i="3"/>
  <c r="D825" i="3"/>
  <c r="I825" i="3" s="1"/>
  <c r="I93" i="3"/>
  <c r="M93" i="3"/>
  <c r="I27" i="3"/>
  <c r="D289" i="3"/>
  <c r="I289" i="3" s="1"/>
  <c r="I233" i="3"/>
  <c r="M233" i="3"/>
  <c r="D875" i="3"/>
  <c r="I875" i="3" s="1"/>
  <c r="I879" i="3" s="1"/>
  <c r="I569" i="3"/>
  <c r="D573" i="3"/>
  <c r="D337" i="3"/>
  <c r="I778" i="3"/>
  <c r="D762" i="3"/>
  <c r="I762" i="3" s="1"/>
  <c r="P11" i="2" l="1"/>
  <c r="Q12" i="2" s="1"/>
  <c r="N46" i="2"/>
  <c r="U46" i="2" s="1"/>
  <c r="D586" i="3"/>
  <c r="D584" i="3" s="1"/>
  <c r="M46" i="14"/>
  <c r="O46" i="14" s="1"/>
  <c r="K33" i="2"/>
  <c r="I551" i="3"/>
  <c r="K29" i="2"/>
  <c r="K29" i="1"/>
  <c r="K22" i="1"/>
  <c r="K40" i="1"/>
  <c r="K22" i="2"/>
  <c r="I579" i="3"/>
  <c r="K25" i="2"/>
  <c r="I67" i="3"/>
  <c r="K40" i="2"/>
  <c r="K25" i="1"/>
  <c r="K26" i="1" s="1"/>
  <c r="I337" i="3"/>
  <c r="I341" i="3" s="1"/>
  <c r="K23" i="2"/>
  <c r="I102" i="3"/>
  <c r="I847" i="3"/>
  <c r="I244" i="3"/>
  <c r="D229" i="3"/>
  <c r="K43" i="1"/>
  <c r="K43" i="2"/>
  <c r="I230" i="3"/>
  <c r="D292" i="3"/>
  <c r="I292" i="3" s="1"/>
  <c r="I296" i="3" s="1"/>
  <c r="I307" i="3"/>
  <c r="I311" i="3" s="1"/>
  <c r="A23" i="1"/>
  <c r="I555" i="3"/>
  <c r="I557" i="3" s="1"/>
  <c r="M555" i="3"/>
  <c r="K19" i="1"/>
  <c r="K19" i="2"/>
  <c r="I38" i="3"/>
  <c r="M38" i="3"/>
  <c r="I246" i="3"/>
  <c r="D231" i="3"/>
  <c r="D348" i="3" s="1"/>
  <c r="I566" i="3"/>
  <c r="I573" i="3" s="1"/>
  <c r="I581" i="3" s="1"/>
  <c r="M566" i="3"/>
  <c r="I243" i="3"/>
  <c r="D228" i="3"/>
  <c r="D345" i="3" s="1"/>
  <c r="I779" i="3"/>
  <c r="D763" i="3"/>
  <c r="I763" i="3" s="1"/>
  <c r="I39" i="3"/>
  <c r="M39" i="3"/>
  <c r="I49" i="1"/>
  <c r="I82" i="3"/>
  <c r="I227" i="3"/>
  <c r="D827" i="3"/>
  <c r="I827" i="3" s="1"/>
  <c r="I831" i="3" s="1"/>
  <c r="I777" i="3"/>
  <c r="D761" i="3"/>
  <c r="I761" i="3" s="1"/>
  <c r="P1256" i="3"/>
  <c r="M46" i="1"/>
  <c r="I247" i="3"/>
  <c r="D232" i="3"/>
  <c r="P81" i="3"/>
  <c r="P80" i="3"/>
  <c r="A23" i="2"/>
  <c r="M46" i="2" l="1"/>
  <c r="Q11" i="2"/>
  <c r="R11" i="2" s="1"/>
  <c r="S12" i="2" s="1"/>
  <c r="I251" i="3"/>
  <c r="Q46" i="14"/>
  <c r="D350" i="3"/>
  <c r="K45" i="2"/>
  <c r="K48" i="2" s="1"/>
  <c r="I559" i="3"/>
  <c r="K26" i="2"/>
  <c r="I767" i="3"/>
  <c r="K45" i="1"/>
  <c r="K48" i="1" s="1"/>
  <c r="R232" i="3"/>
  <c r="I232" i="3"/>
  <c r="K15" i="1"/>
  <c r="I228" i="3"/>
  <c r="I48" i="3"/>
  <c r="V46" i="2"/>
  <c r="K15" i="2"/>
  <c r="A24" i="2"/>
  <c r="A25" i="2" s="1"/>
  <c r="A26" i="2" s="1"/>
  <c r="O46" i="1"/>
  <c r="Q46" i="1" s="1"/>
  <c r="I783" i="3"/>
  <c r="I229" i="3"/>
  <c r="R229" i="3"/>
  <c r="I231" i="3"/>
  <c r="A24" i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S11" i="2" l="1"/>
  <c r="I236" i="3"/>
  <c r="K27" i="2"/>
  <c r="K27" i="1"/>
  <c r="K28" i="2"/>
  <c r="K28" i="1"/>
  <c r="A27" i="2"/>
  <c r="A28" i="2" s="1"/>
  <c r="A29" i="2" s="1"/>
  <c r="K14" i="2"/>
  <c r="K14" i="1"/>
  <c r="K20" i="1" l="1"/>
  <c r="K21" i="1" s="1"/>
  <c r="K20" i="2"/>
  <c r="I1282" i="3"/>
  <c r="A30" i="2"/>
  <c r="A31" i="2" s="1"/>
  <c r="A32" i="2" s="1"/>
  <c r="A33" i="2" s="1"/>
  <c r="A34" i="2" s="1"/>
  <c r="A35" i="2" s="1"/>
  <c r="A36" i="2" s="1"/>
  <c r="A37" i="2" s="1"/>
  <c r="A38" i="2" s="1"/>
  <c r="A40" i="2" s="1"/>
  <c r="A41" i="2" s="1"/>
  <c r="A42" i="2" s="1"/>
  <c r="A43" i="2" s="1"/>
  <c r="A44" i="2" s="1"/>
  <c r="A45" i="2" s="1"/>
  <c r="A46" i="2" s="1"/>
  <c r="A47" i="2" s="1"/>
  <c r="A48" i="2" s="1"/>
  <c r="A49" i="2" s="1"/>
  <c r="K38" i="1"/>
  <c r="K17" i="1"/>
  <c r="K21" i="2"/>
  <c r="K38" i="2"/>
  <c r="K17" i="2"/>
  <c r="K49" i="2" l="1"/>
  <c r="M53" i="2" s="1"/>
  <c r="K49" i="1"/>
  <c r="M67" i="2" l="1"/>
  <c r="O44" i="2" s="1"/>
  <c r="N44" i="2" s="1"/>
  <c r="M64" i="2"/>
  <c r="O41" i="2" s="1"/>
  <c r="N41" i="2" s="1"/>
  <c r="M59" i="2"/>
  <c r="O27" i="2" s="1"/>
  <c r="N27" i="2" s="1"/>
  <c r="M55" i="2"/>
  <c r="M65" i="2"/>
  <c r="O42" i="2" s="1"/>
  <c r="N42" i="2" s="1"/>
  <c r="M57" i="2"/>
  <c r="O22" i="2" s="1"/>
  <c r="N22" i="2" s="1"/>
  <c r="M63" i="2"/>
  <c r="O40" i="2" s="1"/>
  <c r="N40" i="2" s="1"/>
  <c r="M56" i="2"/>
  <c r="M66" i="2"/>
  <c r="O43" i="2" s="1"/>
  <c r="N43" i="2" s="1"/>
  <c r="M61" i="2"/>
  <c r="M58" i="2"/>
  <c r="O35" i="2"/>
  <c r="N35" i="2" s="1"/>
  <c r="M60" i="2"/>
  <c r="O28" i="2" s="1"/>
  <c r="N28" i="2" s="1"/>
  <c r="O25" i="2" l="1"/>
  <c r="N25" i="2" s="1"/>
  <c r="O24" i="2"/>
  <c r="N24" i="2" s="1"/>
  <c r="O23" i="2"/>
  <c r="N23" i="2" s="1"/>
  <c r="O32" i="2"/>
  <c r="N32" i="2" s="1"/>
  <c r="O31" i="2"/>
  <c r="N31" i="2" s="1"/>
  <c r="O30" i="2"/>
  <c r="N30" i="2" s="1"/>
  <c r="O29" i="2"/>
  <c r="N29" i="2" s="1"/>
  <c r="N45" i="2"/>
  <c r="U40" i="2"/>
  <c r="M40" i="2"/>
  <c r="U27" i="2"/>
  <c r="M27" i="2"/>
  <c r="U22" i="2"/>
  <c r="M22" i="2"/>
  <c r="U41" i="2"/>
  <c r="M41" i="2"/>
  <c r="U28" i="2"/>
  <c r="M28" i="2"/>
  <c r="U43" i="2"/>
  <c r="M43" i="2"/>
  <c r="U42" i="2"/>
  <c r="M42" i="2"/>
  <c r="U44" i="2"/>
  <c r="M44" i="2"/>
  <c r="U35" i="2"/>
  <c r="M35" i="2"/>
  <c r="O20" i="2"/>
  <c r="N20" i="2" s="1"/>
  <c r="O19" i="2"/>
  <c r="N19" i="2" s="1"/>
  <c r="O15" i="2"/>
  <c r="N15" i="2" s="1"/>
  <c r="O14" i="2"/>
  <c r="N14" i="2" s="1"/>
  <c r="N21" i="2" l="1"/>
  <c r="N38" i="2"/>
  <c r="U19" i="2"/>
  <c r="M19" i="2"/>
  <c r="P727" i="3"/>
  <c r="P691" i="3"/>
  <c r="P591" i="3"/>
  <c r="P542" i="3"/>
  <c r="O45" i="2"/>
  <c r="U45" i="2" s="1"/>
  <c r="N48" i="2"/>
  <c r="U32" i="2"/>
  <c r="M32" i="2"/>
  <c r="U20" i="2"/>
  <c r="M20" i="2"/>
  <c r="U29" i="2"/>
  <c r="M29" i="2"/>
  <c r="N26" i="2"/>
  <c r="U23" i="2"/>
  <c r="M23" i="2"/>
  <c r="N17" i="2"/>
  <c r="M14" i="2"/>
  <c r="P616" i="3"/>
  <c r="P755" i="3"/>
  <c r="P390" i="3"/>
  <c r="P354" i="3"/>
  <c r="M45" i="2"/>
  <c r="U30" i="2"/>
  <c r="N33" i="2"/>
  <c r="M30" i="2"/>
  <c r="U24" i="2"/>
  <c r="M24" i="2"/>
  <c r="P1224" i="3"/>
  <c r="U15" i="2"/>
  <c r="M15" i="2"/>
  <c r="U31" i="2"/>
  <c r="M31" i="2"/>
  <c r="U25" i="2"/>
  <c r="M25" i="2"/>
  <c r="P1227" i="3" l="1"/>
  <c r="P619" i="3"/>
  <c r="O17" i="2"/>
  <c r="U17" i="2" s="1"/>
  <c r="P885" i="3"/>
  <c r="P1176" i="3"/>
  <c r="P694" i="3"/>
  <c r="P113" i="3"/>
  <c r="M21" i="2"/>
  <c r="M38" i="2"/>
  <c r="P758" i="3"/>
  <c r="N49" i="2"/>
  <c r="O48" i="2"/>
  <c r="U48" i="2" s="1"/>
  <c r="O21" i="2"/>
  <c r="U21" i="2" s="1"/>
  <c r="P1083" i="3"/>
  <c r="M33" i="2"/>
  <c r="P1130" i="3"/>
  <c r="O33" i="2"/>
  <c r="U33" i="2" s="1"/>
  <c r="M48" i="2"/>
  <c r="P394" i="3"/>
  <c r="P393" i="3"/>
  <c r="M26" i="2"/>
  <c r="P545" i="3"/>
  <c r="P357" i="3"/>
  <c r="O26" i="2"/>
  <c r="U26" i="2" s="1"/>
  <c r="P1235" i="3"/>
  <c r="P14" i="3"/>
  <c r="M17" i="2"/>
  <c r="P225" i="3"/>
  <c r="P594" i="3"/>
  <c r="P730" i="3"/>
  <c r="K726" i="3" s="1"/>
  <c r="O38" i="2"/>
  <c r="U38" i="2" s="1"/>
  <c r="P34" i="2" l="1"/>
  <c r="P36" i="2"/>
  <c r="P28" i="2"/>
  <c r="P35" i="2"/>
  <c r="P43" i="2"/>
  <c r="P40" i="2"/>
  <c r="P32" i="2"/>
  <c r="P22" i="2"/>
  <c r="P42" i="2"/>
  <c r="P27" i="2"/>
  <c r="P41" i="2"/>
  <c r="P44" i="2"/>
  <c r="P14" i="2"/>
  <c r="P15" i="2"/>
  <c r="P31" i="2"/>
  <c r="P19" i="2"/>
  <c r="P20" i="2"/>
  <c r="P29" i="2"/>
  <c r="P24" i="2"/>
  <c r="P23" i="2"/>
  <c r="P30" i="2"/>
  <c r="P25" i="2"/>
  <c r="P228" i="3"/>
  <c r="K224" i="3" s="1"/>
  <c r="P18" i="3"/>
  <c r="P19" i="3"/>
  <c r="K556" i="3"/>
  <c r="K545" i="3"/>
  <c r="K541" i="3"/>
  <c r="K540" i="3"/>
  <c r="K550" i="3"/>
  <c r="K549" i="3"/>
  <c r="K548" i="3"/>
  <c r="K542" i="3"/>
  <c r="K393" i="3"/>
  <c r="K389" i="3"/>
  <c r="K392" i="3"/>
  <c r="K396" i="3"/>
  <c r="K395" i="3"/>
  <c r="K391" i="3"/>
  <c r="K394" i="3"/>
  <c r="P461" i="3"/>
  <c r="P1086" i="3"/>
  <c r="O49" i="2"/>
  <c r="U49" i="2" s="1"/>
  <c r="N52" i="2"/>
  <c r="P1179" i="3"/>
  <c r="K603" i="3"/>
  <c r="K597" i="3"/>
  <c r="K602" i="3"/>
  <c r="K599" i="3"/>
  <c r="K596" i="3"/>
  <c r="K605" i="3"/>
  <c r="K604" i="3"/>
  <c r="K601" i="3"/>
  <c r="K594" i="3"/>
  <c r="K592" i="3"/>
  <c r="K608" i="3"/>
  <c r="K606" i="3"/>
  <c r="K593" i="3"/>
  <c r="K595" i="3"/>
  <c r="P1238" i="3"/>
  <c r="K357" i="3"/>
  <c r="K356" i="3"/>
  <c r="K355" i="3"/>
  <c r="L38" i="4"/>
  <c r="L37" i="4"/>
  <c r="P398" i="3"/>
  <c r="P399" i="3"/>
  <c r="P116" i="3"/>
  <c r="K118" i="3" s="1"/>
  <c r="K692" i="3"/>
  <c r="K691" i="3"/>
  <c r="K690" i="3"/>
  <c r="P888" i="3"/>
  <c r="K747" i="3"/>
  <c r="K740" i="3"/>
  <c r="K733" i="3"/>
  <c r="M726" i="3"/>
  <c r="M49" i="2"/>
  <c r="P1133" i="3"/>
  <c r="K758" i="3"/>
  <c r="K754" i="3"/>
  <c r="K761" i="3"/>
  <c r="K759" i="3"/>
  <c r="K679" i="3"/>
  <c r="K672" i="3"/>
  <c r="K668" i="3"/>
  <c r="K665" i="3"/>
  <c r="K656" i="3"/>
  <c r="K651" i="3"/>
  <c r="K648" i="3"/>
  <c r="K643" i="3"/>
  <c r="K678" i="3"/>
  <c r="K671" i="3"/>
  <c r="K667" i="3"/>
  <c r="K664" i="3"/>
  <c r="K658" i="3"/>
  <c r="K655" i="3"/>
  <c r="K650" i="3"/>
  <c r="K647" i="3"/>
  <c r="K642" i="3"/>
  <c r="K623" i="3"/>
  <c r="K618" i="3"/>
  <c r="K616" i="3"/>
  <c r="K677" i="3"/>
  <c r="K674" i="3"/>
  <c r="K670" i="3"/>
  <c r="K654" i="3"/>
  <c r="K646" i="3"/>
  <c r="K641" i="3"/>
  <c r="K637" i="3"/>
  <c r="K622" i="3"/>
  <c r="K676" i="3"/>
  <c r="K673" i="3"/>
  <c r="K653" i="3"/>
  <c r="K652" i="3"/>
  <c r="K645" i="3"/>
  <c r="K644" i="3"/>
  <c r="K640" i="3"/>
  <c r="K636" i="3"/>
  <c r="K633" i="3"/>
  <c r="K621" i="3"/>
  <c r="K619" i="3"/>
  <c r="K617" i="3"/>
  <c r="K615" i="3"/>
  <c r="K632" i="3"/>
  <c r="K635" i="3"/>
  <c r="K624" i="3"/>
  <c r="K639" i="3"/>
  <c r="K1229" i="3"/>
  <c r="K1228" i="3"/>
  <c r="K1227" i="3"/>
  <c r="K1226" i="3"/>
  <c r="K1225" i="3"/>
  <c r="K1224" i="3"/>
  <c r="Q29" i="2" l="1"/>
  <c r="W29" i="2" s="1"/>
  <c r="Q20" i="2"/>
  <c r="W20" i="2" s="1"/>
  <c r="Q15" i="2"/>
  <c r="W15" i="2" s="1"/>
  <c r="Q14" i="2"/>
  <c r="Q44" i="2"/>
  <c r="W44" i="2" s="1"/>
  <c r="Q41" i="2"/>
  <c r="W41" i="2" s="1"/>
  <c r="Q42" i="2"/>
  <c r="W42" i="2" s="1"/>
  <c r="Q27" i="2"/>
  <c r="W27" i="2" s="1"/>
  <c r="Q40" i="2"/>
  <c r="W40" i="2" s="1"/>
  <c r="Q43" i="2"/>
  <c r="W43" i="2" s="1"/>
  <c r="Q28" i="2"/>
  <c r="W28" i="2" s="1"/>
  <c r="W35" i="2"/>
  <c r="Q36" i="2"/>
  <c r="W36" i="2" s="1"/>
  <c r="Q34" i="2"/>
  <c r="W34" i="2" s="1"/>
  <c r="Q25" i="2"/>
  <c r="W25" i="2" s="1"/>
  <c r="W22" i="2"/>
  <c r="W23" i="2"/>
  <c r="W19" i="2"/>
  <c r="P49" i="2"/>
  <c r="K79" i="3"/>
  <c r="K78" i="3"/>
  <c r="P117" i="3"/>
  <c r="K117" i="3" s="1"/>
  <c r="M1226" i="3"/>
  <c r="M639" i="3"/>
  <c r="M615" i="3"/>
  <c r="M633" i="3"/>
  <c r="M645" i="3"/>
  <c r="M676" i="3"/>
  <c r="M646" i="3"/>
  <c r="M677" i="3"/>
  <c r="M642" i="3"/>
  <c r="M658" i="3"/>
  <c r="M678" i="3"/>
  <c r="M656" i="3"/>
  <c r="M679" i="3"/>
  <c r="K839" i="3"/>
  <c r="K871" i="3"/>
  <c r="K855" i="3"/>
  <c r="K791" i="3"/>
  <c r="K775" i="3"/>
  <c r="M759" i="3"/>
  <c r="K823" i="3"/>
  <c r="K807" i="3"/>
  <c r="D111" i="4"/>
  <c r="D112" i="4" s="1"/>
  <c r="F42" i="4"/>
  <c r="F43" i="4" s="1"/>
  <c r="K885" i="3"/>
  <c r="K383" i="3"/>
  <c r="M356" i="3"/>
  <c r="K374" i="3"/>
  <c r="K365" i="3"/>
  <c r="M593" i="3"/>
  <c r="M594" i="3"/>
  <c r="M596" i="3"/>
  <c r="M603" i="3"/>
  <c r="P464" i="3"/>
  <c r="K1211" i="3"/>
  <c r="K931" i="3"/>
  <c r="K451" i="3"/>
  <c r="K437" i="3"/>
  <c r="M395" i="3"/>
  <c r="K423" i="3"/>
  <c r="K409" i="3"/>
  <c r="D16" i="4"/>
  <c r="K1209" i="3"/>
  <c r="K929" i="3"/>
  <c r="K449" i="3"/>
  <c r="K435" i="3"/>
  <c r="K421" i="3"/>
  <c r="K407" i="3"/>
  <c r="M393" i="3"/>
  <c r="K572" i="3"/>
  <c r="M550" i="3"/>
  <c r="M556" i="3"/>
  <c r="K578" i="3"/>
  <c r="M1227" i="3"/>
  <c r="M624" i="3"/>
  <c r="M617" i="3"/>
  <c r="M636" i="3"/>
  <c r="M652" i="3"/>
  <c r="M622" i="3"/>
  <c r="M654" i="3"/>
  <c r="M616" i="3"/>
  <c r="M647" i="3"/>
  <c r="M664" i="3"/>
  <c r="M643" i="3"/>
  <c r="M665" i="3"/>
  <c r="K841" i="3"/>
  <c r="K873" i="3"/>
  <c r="K857" i="3"/>
  <c r="K793" i="3"/>
  <c r="K763" i="3"/>
  <c r="K777" i="3"/>
  <c r="M761" i="3"/>
  <c r="K825" i="3"/>
  <c r="K809" i="3"/>
  <c r="K728" i="3"/>
  <c r="M747" i="3"/>
  <c r="K708" i="3"/>
  <c r="K699" i="3"/>
  <c r="K717" i="3"/>
  <c r="M690" i="3"/>
  <c r="F44" i="4"/>
  <c r="F45" i="4" s="1"/>
  <c r="K899" i="3"/>
  <c r="K384" i="3"/>
  <c r="K375" i="3"/>
  <c r="K366" i="3"/>
  <c r="M357" i="3"/>
  <c r="M606" i="3"/>
  <c r="M601" i="3"/>
  <c r="M599" i="3"/>
  <c r="K1212" i="3"/>
  <c r="K932" i="3"/>
  <c r="K452" i="3"/>
  <c r="K438" i="3"/>
  <c r="M396" i="3"/>
  <c r="K424" i="3"/>
  <c r="K410" i="3"/>
  <c r="K564" i="3"/>
  <c r="K553" i="3"/>
  <c r="M542" i="3"/>
  <c r="K562" i="3"/>
  <c r="M540" i="3"/>
  <c r="K329" i="3"/>
  <c r="K314" i="3"/>
  <c r="K284" i="3"/>
  <c r="K269" i="3"/>
  <c r="K299" i="3"/>
  <c r="M224" i="3"/>
  <c r="K239" i="3"/>
  <c r="K254" i="3"/>
  <c r="M1224" i="3"/>
  <c r="M635" i="3"/>
  <c r="M640" i="3"/>
  <c r="M653" i="3"/>
  <c r="M637" i="3"/>
  <c r="M670" i="3"/>
  <c r="M618" i="3"/>
  <c r="M650" i="3"/>
  <c r="M667" i="3"/>
  <c r="M648" i="3"/>
  <c r="M668" i="3"/>
  <c r="K834" i="3"/>
  <c r="K866" i="3"/>
  <c r="K850" i="3"/>
  <c r="K786" i="3"/>
  <c r="K770" i="3"/>
  <c r="K818" i="3"/>
  <c r="K802" i="3"/>
  <c r="K755" i="3"/>
  <c r="M754" i="3"/>
  <c r="M733" i="3"/>
  <c r="K709" i="3"/>
  <c r="K700" i="3"/>
  <c r="K718" i="3"/>
  <c r="M691" i="3"/>
  <c r="M608" i="3"/>
  <c r="M604" i="3"/>
  <c r="M602" i="3"/>
  <c r="K1210" i="3"/>
  <c r="K930" i="3"/>
  <c r="K450" i="3"/>
  <c r="K436" i="3"/>
  <c r="K422" i="3"/>
  <c r="M394" i="3"/>
  <c r="K408" i="3"/>
  <c r="D15" i="4"/>
  <c r="K1208" i="3"/>
  <c r="K928" i="3"/>
  <c r="K448" i="3"/>
  <c r="M392" i="3"/>
  <c r="K434" i="3"/>
  <c r="K420" i="3"/>
  <c r="K406" i="3"/>
  <c r="K570" i="3"/>
  <c r="M548" i="3"/>
  <c r="K563" i="3"/>
  <c r="M541" i="3"/>
  <c r="M1228" i="3"/>
  <c r="M619" i="3"/>
  <c r="M1225" i="3"/>
  <c r="M1229" i="3"/>
  <c r="M632" i="3"/>
  <c r="M621" i="3"/>
  <c r="M644" i="3"/>
  <c r="M673" i="3"/>
  <c r="M641" i="3"/>
  <c r="M674" i="3"/>
  <c r="M623" i="3"/>
  <c r="M655" i="3"/>
  <c r="M671" i="3"/>
  <c r="M651" i="3"/>
  <c r="M672" i="3"/>
  <c r="K838" i="3"/>
  <c r="K870" i="3"/>
  <c r="K854" i="3"/>
  <c r="K790" i="3"/>
  <c r="K774" i="3"/>
  <c r="K822" i="3"/>
  <c r="K806" i="3"/>
  <c r="M758" i="3"/>
  <c r="M740" i="3"/>
  <c r="K710" i="3"/>
  <c r="K701" i="3"/>
  <c r="K719" i="3"/>
  <c r="M692" i="3"/>
  <c r="K1164" i="3"/>
  <c r="K174" i="3"/>
  <c r="K160" i="3"/>
  <c r="K216" i="3"/>
  <c r="K188" i="3"/>
  <c r="K132" i="3"/>
  <c r="M118" i="3"/>
  <c r="K146" i="3"/>
  <c r="K202" i="3"/>
  <c r="Q118" i="3"/>
  <c r="K382" i="3"/>
  <c r="K373" i="3"/>
  <c r="M355" i="3"/>
  <c r="K364" i="3"/>
  <c r="M595" i="3"/>
  <c r="M592" i="3"/>
  <c r="M605" i="3"/>
  <c r="M597" i="3"/>
  <c r="D17" i="4"/>
  <c r="K1207" i="3"/>
  <c r="K927" i="3"/>
  <c r="K447" i="3"/>
  <c r="K433" i="3"/>
  <c r="M391" i="3"/>
  <c r="K419" i="3"/>
  <c r="K405" i="3"/>
  <c r="D14" i="4"/>
  <c r="F14" i="4" s="1"/>
  <c r="K445" i="3"/>
  <c r="K431" i="3"/>
  <c r="K417" i="3"/>
  <c r="M389" i="3"/>
  <c r="K403" i="3"/>
  <c r="K571" i="3"/>
  <c r="M549" i="3"/>
  <c r="P548" i="3"/>
  <c r="K567" i="3"/>
  <c r="M545" i="3"/>
  <c r="Q49" i="2" l="1"/>
  <c r="R52" i="2"/>
  <c r="Q24" i="2"/>
  <c r="W24" i="2" s="1"/>
  <c r="Q30" i="2"/>
  <c r="W30" i="2" s="1"/>
  <c r="Q31" i="2"/>
  <c r="W31" i="2" s="1"/>
  <c r="Q32" i="2"/>
  <c r="W32" i="2" s="1"/>
  <c r="K116" i="3"/>
  <c r="K112" i="3"/>
  <c r="K115" i="3"/>
  <c r="K171" i="3" s="1"/>
  <c r="M405" i="3"/>
  <c r="M419" i="3"/>
  <c r="M373" i="3"/>
  <c r="M188" i="3"/>
  <c r="M701" i="3"/>
  <c r="M774" i="3"/>
  <c r="M420" i="3"/>
  <c r="K1060" i="3"/>
  <c r="K994" i="3"/>
  <c r="M928" i="3"/>
  <c r="M450" i="3"/>
  <c r="K1163" i="3"/>
  <c r="D8" i="4"/>
  <c r="K173" i="3"/>
  <c r="K215" i="3"/>
  <c r="K187" i="3"/>
  <c r="K131" i="3"/>
  <c r="Q117" i="3"/>
  <c r="K201" i="3"/>
  <c r="K159" i="3"/>
  <c r="K145" i="3"/>
  <c r="M117" i="3"/>
  <c r="M700" i="3"/>
  <c r="M866" i="3"/>
  <c r="M254" i="3"/>
  <c r="M329" i="3"/>
  <c r="K575" i="3"/>
  <c r="M553" i="3"/>
  <c r="K998" i="3"/>
  <c r="M932" i="3"/>
  <c r="K1064" i="3"/>
  <c r="M375" i="3"/>
  <c r="K694" i="3"/>
  <c r="M708" i="3"/>
  <c r="K843" i="3"/>
  <c r="K875" i="3"/>
  <c r="K859" i="3"/>
  <c r="K795" i="3"/>
  <c r="K779" i="3"/>
  <c r="K827" i="3"/>
  <c r="K811" i="3"/>
  <c r="M763" i="3"/>
  <c r="M841" i="3"/>
  <c r="M407" i="3"/>
  <c r="M449" i="3"/>
  <c r="M409" i="3"/>
  <c r="M871" i="3"/>
  <c r="M431" i="3"/>
  <c r="M447" i="3"/>
  <c r="M417" i="3"/>
  <c r="D31" i="4"/>
  <c r="F31" i="4" s="1"/>
  <c r="D32" i="4"/>
  <c r="F32" i="4" s="1"/>
  <c r="M1207" i="3"/>
  <c r="M610" i="3"/>
  <c r="M382" i="3"/>
  <c r="M146" i="3"/>
  <c r="M216" i="3"/>
  <c r="M710" i="3"/>
  <c r="M806" i="3"/>
  <c r="M790" i="3"/>
  <c r="M660" i="3"/>
  <c r="M570" i="3"/>
  <c r="M434" i="3"/>
  <c r="M1208" i="3"/>
  <c r="M422" i="3"/>
  <c r="K1062" i="3"/>
  <c r="K996" i="3"/>
  <c r="M930" i="3"/>
  <c r="M709" i="3"/>
  <c r="K835" i="3"/>
  <c r="K867" i="3"/>
  <c r="K851" i="3"/>
  <c r="K787" i="3"/>
  <c r="K771" i="3"/>
  <c r="M755" i="3"/>
  <c r="K819" i="3"/>
  <c r="K803" i="3"/>
  <c r="M770" i="3"/>
  <c r="M834" i="3"/>
  <c r="M239" i="3"/>
  <c r="M269" i="3"/>
  <c r="K40" i="3"/>
  <c r="M78" i="3"/>
  <c r="M562" i="3"/>
  <c r="M564" i="3"/>
  <c r="M438" i="3"/>
  <c r="M1212" i="3"/>
  <c r="M384" i="3"/>
  <c r="M717" i="3"/>
  <c r="M793" i="3"/>
  <c r="M681" i="3"/>
  <c r="M578" i="3"/>
  <c r="M421" i="3"/>
  <c r="K1061" i="3"/>
  <c r="K995" i="3"/>
  <c r="M929" i="3"/>
  <c r="M423" i="3"/>
  <c r="M451" i="3"/>
  <c r="M383" i="3"/>
  <c r="M807" i="3"/>
  <c r="M775" i="3"/>
  <c r="M839" i="3"/>
  <c r="M403" i="3"/>
  <c r="M445" i="3"/>
  <c r="K1059" i="3"/>
  <c r="K993" i="3"/>
  <c r="M927" i="3"/>
  <c r="M1164" i="3"/>
  <c r="M838" i="3"/>
  <c r="M567" i="3"/>
  <c r="M571" i="3"/>
  <c r="M433" i="3"/>
  <c r="M364" i="3"/>
  <c r="R118" i="3"/>
  <c r="M160" i="3"/>
  <c r="M719" i="3"/>
  <c r="M822" i="3"/>
  <c r="M854" i="3"/>
  <c r="M563" i="3"/>
  <c r="M406" i="3"/>
  <c r="D42" i="4"/>
  <c r="D44" i="4"/>
  <c r="M436" i="3"/>
  <c r="M1210" i="3"/>
  <c r="M802" i="3"/>
  <c r="M786" i="3"/>
  <c r="M284" i="3"/>
  <c r="K41" i="3"/>
  <c r="M79" i="3"/>
  <c r="M410" i="3"/>
  <c r="M366" i="3"/>
  <c r="K1031" i="3"/>
  <c r="M899" i="3"/>
  <c r="K965" i="3"/>
  <c r="M699" i="3"/>
  <c r="M809" i="3"/>
  <c r="R763" i="3"/>
  <c r="M857" i="3"/>
  <c r="M572" i="3"/>
  <c r="M1209" i="3"/>
  <c r="K997" i="3"/>
  <c r="M931" i="3"/>
  <c r="K1063" i="3"/>
  <c r="M365" i="3"/>
  <c r="K951" i="3"/>
  <c r="K1017" i="3"/>
  <c r="M885" i="3"/>
  <c r="M823" i="3"/>
  <c r="M791" i="3"/>
  <c r="M359" i="3"/>
  <c r="M202" i="3"/>
  <c r="M132" i="3"/>
  <c r="M174" i="3"/>
  <c r="M870" i="3"/>
  <c r="M448" i="3"/>
  <c r="M408" i="3"/>
  <c r="M718" i="3"/>
  <c r="M818" i="3"/>
  <c r="M850" i="3"/>
  <c r="K1230" i="3"/>
  <c r="M299" i="3"/>
  <c r="M314" i="3"/>
  <c r="M424" i="3"/>
  <c r="M452" i="3"/>
  <c r="K749" i="3"/>
  <c r="K742" i="3"/>
  <c r="K735" i="3"/>
  <c r="M728" i="3"/>
  <c r="M825" i="3"/>
  <c r="M777" i="3"/>
  <c r="M873" i="3"/>
  <c r="M435" i="3"/>
  <c r="D45" i="4"/>
  <c r="D43" i="4"/>
  <c r="M437" i="3"/>
  <c r="M1211" i="3"/>
  <c r="M374" i="3"/>
  <c r="L79" i="4"/>
  <c r="L75" i="4"/>
  <c r="J69" i="4"/>
  <c r="F63" i="4"/>
  <c r="L82" i="4"/>
  <c r="L78" i="4"/>
  <c r="L74" i="4"/>
  <c r="J68" i="4"/>
  <c r="F62" i="4"/>
  <c r="L81" i="4"/>
  <c r="L77" i="4"/>
  <c r="L73" i="4"/>
  <c r="J67" i="4"/>
  <c r="F61" i="4"/>
  <c r="J66" i="4"/>
  <c r="L80" i="4"/>
  <c r="L76" i="4"/>
  <c r="J70" i="4"/>
  <c r="M855" i="3"/>
  <c r="X27" i="2" l="1"/>
  <c r="X41" i="2"/>
  <c r="X36" i="2"/>
  <c r="X28" i="2"/>
  <c r="X14" i="2"/>
  <c r="X35" i="2"/>
  <c r="X40" i="2"/>
  <c r="X34" i="2"/>
  <c r="X25" i="2"/>
  <c r="X15" i="2"/>
  <c r="X43" i="2"/>
  <c r="X20" i="2"/>
  <c r="X29" i="2"/>
  <c r="X44" i="2"/>
  <c r="X42" i="2"/>
  <c r="W49" i="2"/>
  <c r="D9" i="4"/>
  <c r="K213" i="3"/>
  <c r="M213" i="3" s="1"/>
  <c r="K157" i="3"/>
  <c r="M157" i="3" s="1"/>
  <c r="K143" i="3"/>
  <c r="K210" i="3"/>
  <c r="M210" i="3" s="1"/>
  <c r="K172" i="3"/>
  <c r="M41" i="14"/>
  <c r="O41" i="14" s="1"/>
  <c r="Q41" i="14" s="1"/>
  <c r="M40" i="14"/>
  <c r="Q115" i="3"/>
  <c r="K1097" i="3"/>
  <c r="K1103" i="3"/>
  <c r="K897" i="3"/>
  <c r="K1092" i="3"/>
  <c r="K883" i="3"/>
  <c r="K1099" i="3"/>
  <c r="K1105" i="3"/>
  <c r="K185" i="3"/>
  <c r="K1083" i="3"/>
  <c r="K1109" i="3"/>
  <c r="K1100" i="3"/>
  <c r="K1106" i="3"/>
  <c r="K1161" i="3"/>
  <c r="K1091" i="3"/>
  <c r="M1091" i="3" s="1"/>
  <c r="D7" i="4"/>
  <c r="K1089" i="3"/>
  <c r="K1090" i="3"/>
  <c r="K1096" i="3"/>
  <c r="K1162" i="3"/>
  <c r="K1102" i="3"/>
  <c r="K1082" i="3"/>
  <c r="K1175" i="3" s="1"/>
  <c r="K1093" i="3"/>
  <c r="K1081" i="3"/>
  <c r="K1108" i="3"/>
  <c r="K129" i="3"/>
  <c r="K168" i="3"/>
  <c r="K140" i="3"/>
  <c r="M112" i="3"/>
  <c r="D6" i="4"/>
  <c r="F6" i="4" s="1"/>
  <c r="K144" i="3"/>
  <c r="K130" i="3"/>
  <c r="K158" i="3"/>
  <c r="K200" i="3"/>
  <c r="K186" i="3"/>
  <c r="Q116" i="3"/>
  <c r="K214" i="3"/>
  <c r="M116" i="3"/>
  <c r="R116" i="3" s="1"/>
  <c r="K625" i="3"/>
  <c r="K126" i="3"/>
  <c r="K196" i="3"/>
  <c r="Q112" i="3"/>
  <c r="K199" i="3"/>
  <c r="M115" i="3"/>
  <c r="K154" i="3"/>
  <c r="K182" i="3"/>
  <c r="M1082" i="3"/>
  <c r="M1230" i="3"/>
  <c r="M951" i="3"/>
  <c r="R160" i="3"/>
  <c r="M368" i="3"/>
  <c r="M40" i="3"/>
  <c r="M851" i="3"/>
  <c r="M1062" i="3"/>
  <c r="R146" i="3"/>
  <c r="P610" i="3"/>
  <c r="P590" i="3"/>
  <c r="M41" i="1"/>
  <c r="M843" i="3"/>
  <c r="M1064" i="3"/>
  <c r="M557" i="3"/>
  <c r="M145" i="3"/>
  <c r="M131" i="3"/>
  <c r="M994" i="3"/>
  <c r="M377" i="3"/>
  <c r="D52" i="4"/>
  <c r="F52" i="4" s="1"/>
  <c r="H43" i="4"/>
  <c r="L43" i="4" s="1"/>
  <c r="M735" i="3"/>
  <c r="M997" i="3"/>
  <c r="M1031" i="3"/>
  <c r="H44" i="4"/>
  <c r="L44" i="4" s="1"/>
  <c r="D53" i="4"/>
  <c r="F53" i="4" s="1"/>
  <c r="M993" i="3"/>
  <c r="M995" i="3"/>
  <c r="M867" i="3"/>
  <c r="M386" i="3"/>
  <c r="M811" i="3"/>
  <c r="M795" i="3"/>
  <c r="M575" i="3"/>
  <c r="M159" i="3"/>
  <c r="M187" i="3"/>
  <c r="M1163" i="3"/>
  <c r="M1060" i="3"/>
  <c r="D54" i="4"/>
  <c r="F54" i="4" s="1"/>
  <c r="H45" i="4"/>
  <c r="L45" i="4" s="1"/>
  <c r="M742" i="3"/>
  <c r="M143" i="3"/>
  <c r="M171" i="3"/>
  <c r="R132" i="3"/>
  <c r="P359" i="3"/>
  <c r="P353" i="3"/>
  <c r="M40" i="1"/>
  <c r="M1017" i="3"/>
  <c r="D51" i="4"/>
  <c r="F51" i="4" s="1"/>
  <c r="H42" i="4"/>
  <c r="L42" i="4" s="1"/>
  <c r="M1059" i="3"/>
  <c r="M803" i="3"/>
  <c r="M771" i="3"/>
  <c r="M835" i="3"/>
  <c r="M172" i="3"/>
  <c r="M996" i="3"/>
  <c r="M827" i="3"/>
  <c r="M859" i="3"/>
  <c r="M998" i="3"/>
  <c r="R117" i="3"/>
  <c r="M201" i="3"/>
  <c r="M215" i="3"/>
  <c r="M730" i="3"/>
  <c r="M749" i="3"/>
  <c r="M1063" i="3"/>
  <c r="M965" i="3"/>
  <c r="M41" i="3"/>
  <c r="P229" i="3"/>
  <c r="M1061" i="3"/>
  <c r="M819" i="3"/>
  <c r="M787" i="3"/>
  <c r="M779" i="3"/>
  <c r="M875" i="3"/>
  <c r="K712" i="3"/>
  <c r="K703" i="3"/>
  <c r="K721" i="3"/>
  <c r="M694" i="3"/>
  <c r="M173" i="3"/>
  <c r="K397" i="3"/>
  <c r="X23" i="2" l="1"/>
  <c r="X32" i="2"/>
  <c r="X22" i="2"/>
  <c r="K1146" i="3"/>
  <c r="M1146" i="3" s="1"/>
  <c r="K1147" i="3"/>
  <c r="M1147" i="3" s="1"/>
  <c r="M897" i="3"/>
  <c r="K1149" i="3"/>
  <c r="M1097" i="3"/>
  <c r="M214" i="3"/>
  <c r="M168" i="3"/>
  <c r="K119" i="3" s="1"/>
  <c r="K1190" i="3"/>
  <c r="M186" i="3"/>
  <c r="K949" i="3"/>
  <c r="M949" i="3" s="1"/>
  <c r="K1155" i="3"/>
  <c r="K1150" i="3"/>
  <c r="K1184" i="3"/>
  <c r="K1156" i="3"/>
  <c r="M1105" i="3"/>
  <c r="M196" i="3"/>
  <c r="M126" i="3"/>
  <c r="R126" i="3" s="1"/>
  <c r="K1138" i="3"/>
  <c r="M1161" i="3"/>
  <c r="M1081" i="3"/>
  <c r="K1140" i="3"/>
  <c r="M1140" i="3" s="1"/>
  <c r="K1144" i="3"/>
  <c r="M1144" i="3" s="1"/>
  <c r="K1137" i="3"/>
  <c r="M1137" i="3" s="1"/>
  <c r="K1136" i="3"/>
  <c r="K1129" i="3"/>
  <c r="M1129" i="3" s="1"/>
  <c r="K1153" i="3"/>
  <c r="M44" i="14"/>
  <c r="O44" i="14" s="1"/>
  <c r="Q44" i="14" s="1"/>
  <c r="O40" i="14"/>
  <c r="K1152" i="3"/>
  <c r="M1152" i="3" s="1"/>
  <c r="K1198" i="3"/>
  <c r="M1198" i="3" s="1"/>
  <c r="K1196" i="3"/>
  <c r="M185" i="3"/>
  <c r="M1103" i="3"/>
  <c r="M1092" i="3"/>
  <c r="M1162" i="3"/>
  <c r="K1185" i="3"/>
  <c r="K1139" i="3"/>
  <c r="M1083" i="3"/>
  <c r="K1193" i="3"/>
  <c r="M1108" i="3"/>
  <c r="M1093" i="3"/>
  <c r="K1130" i="3"/>
  <c r="K1176" i="3"/>
  <c r="K1128" i="3"/>
  <c r="K1174" i="3"/>
  <c r="K1201" i="3"/>
  <c r="K1186" i="3"/>
  <c r="K908" i="3"/>
  <c r="K1143" i="3"/>
  <c r="M883" i="3"/>
  <c r="K902" i="3"/>
  <c r="K1192" i="3"/>
  <c r="M1096" i="3"/>
  <c r="K1015" i="3"/>
  <c r="K1202" i="3"/>
  <c r="K894" i="3"/>
  <c r="M1106" i="3"/>
  <c r="K909" i="3"/>
  <c r="M1099" i="3"/>
  <c r="K1189" i="3"/>
  <c r="K1199" i="3"/>
  <c r="M1090" i="3"/>
  <c r="M1109" i="3"/>
  <c r="K1183" i="3"/>
  <c r="M1102" i="3"/>
  <c r="M1100" i="3"/>
  <c r="M200" i="3"/>
  <c r="K1182" i="3"/>
  <c r="M129" i="3"/>
  <c r="R129" i="3" s="1"/>
  <c r="M1089" i="3"/>
  <c r="K889" i="3"/>
  <c r="K963" i="3"/>
  <c r="K895" i="3"/>
  <c r="K1195" i="3"/>
  <c r="K903" i="3"/>
  <c r="K888" i="3"/>
  <c r="M144" i="3"/>
  <c r="R144" i="3" s="1"/>
  <c r="K1029" i="3"/>
  <c r="M130" i="3"/>
  <c r="R130" i="3" s="1"/>
  <c r="R112" i="3"/>
  <c r="M158" i="3"/>
  <c r="R158" i="3" s="1"/>
  <c r="M140" i="3"/>
  <c r="R140" i="3" s="1"/>
  <c r="M182" i="3"/>
  <c r="M625" i="3"/>
  <c r="R115" i="3"/>
  <c r="M154" i="3"/>
  <c r="R154" i="3" s="1"/>
  <c r="M199" i="3"/>
  <c r="K230" i="3"/>
  <c r="K228" i="3"/>
  <c r="K232" i="3"/>
  <c r="K227" i="3"/>
  <c r="K229" i="3"/>
  <c r="K231" i="3"/>
  <c r="P356" i="3"/>
  <c r="P355" i="3"/>
  <c r="M737" i="3"/>
  <c r="M703" i="3"/>
  <c r="P726" i="3"/>
  <c r="M44" i="1"/>
  <c r="R159" i="3"/>
  <c r="R157" i="3"/>
  <c r="P377" i="3"/>
  <c r="R131" i="3"/>
  <c r="K1213" i="3"/>
  <c r="K933" i="3"/>
  <c r="K453" i="3"/>
  <c r="K439" i="3"/>
  <c r="M397" i="3"/>
  <c r="K425" i="3"/>
  <c r="K411" i="3"/>
  <c r="M721" i="3"/>
  <c r="M579" i="3"/>
  <c r="P546" i="3"/>
  <c r="K547" i="3"/>
  <c r="O41" i="1"/>
  <c r="Q41" i="1" s="1"/>
  <c r="V41" i="2"/>
  <c r="P368" i="3"/>
  <c r="M1231" i="3"/>
  <c r="M696" i="3"/>
  <c r="M712" i="3"/>
  <c r="M751" i="3"/>
  <c r="O40" i="1"/>
  <c r="V40" i="2"/>
  <c r="R143" i="3"/>
  <c r="M744" i="3"/>
  <c r="P386" i="3"/>
  <c r="R145" i="3"/>
  <c r="P593" i="3"/>
  <c r="P592" i="3"/>
  <c r="M1175" i="3"/>
  <c r="X31" i="2" l="1"/>
  <c r="X19" i="2"/>
  <c r="X24" i="2"/>
  <c r="X30" i="2"/>
  <c r="M1190" i="3"/>
  <c r="M1155" i="3"/>
  <c r="K1165" i="3"/>
  <c r="M1165" i="3" s="1"/>
  <c r="M1192" i="3"/>
  <c r="M1153" i="3"/>
  <c r="M1150" i="3"/>
  <c r="M1015" i="3"/>
  <c r="M1182" i="3"/>
  <c r="M902" i="3"/>
  <c r="K1040" i="3"/>
  <c r="M1040" i="3" s="1"/>
  <c r="M1186" i="3"/>
  <c r="M1176" i="3"/>
  <c r="M1136" i="3"/>
  <c r="K346" i="3"/>
  <c r="K954" i="3"/>
  <c r="M903" i="3"/>
  <c r="M1201" i="3"/>
  <c r="M1196" i="3"/>
  <c r="M1149" i="3"/>
  <c r="K1026" i="3"/>
  <c r="M1026" i="3" s="1"/>
  <c r="M1193" i="3"/>
  <c r="M1185" i="3"/>
  <c r="M1143" i="3"/>
  <c r="M1138" i="3"/>
  <c r="M1156" i="3"/>
  <c r="K349" i="3"/>
  <c r="M1184" i="3"/>
  <c r="K1041" i="3"/>
  <c r="M1041" i="3" s="1"/>
  <c r="M1128" i="3"/>
  <c r="K961" i="3"/>
  <c r="M43" i="14"/>
  <c r="O43" i="14" s="1"/>
  <c r="Q43" i="14" s="1"/>
  <c r="M35" i="14"/>
  <c r="O35" i="14" s="1"/>
  <c r="Q35" i="14" s="1"/>
  <c r="Q40" i="14"/>
  <c r="M1139" i="3"/>
  <c r="M1130" i="3"/>
  <c r="M894" i="3"/>
  <c r="M1195" i="3"/>
  <c r="M1202" i="3"/>
  <c r="K969" i="3"/>
  <c r="K906" i="3"/>
  <c r="M906" i="3" s="1"/>
  <c r="M1174" i="3"/>
  <c r="M628" i="3"/>
  <c r="K975" i="3"/>
  <c r="M909" i="3"/>
  <c r="M1029" i="3"/>
  <c r="M888" i="3"/>
  <c r="M1189" i="3"/>
  <c r="K1020" i="3"/>
  <c r="K1035" i="3"/>
  <c r="K891" i="3"/>
  <c r="M1183" i="3"/>
  <c r="M895" i="3"/>
  <c r="M889" i="3"/>
  <c r="K960" i="3"/>
  <c r="K974" i="3"/>
  <c r="K955" i="3"/>
  <c r="K1027" i="3"/>
  <c r="M1199" i="3"/>
  <c r="K1021" i="3"/>
  <c r="K905" i="3"/>
  <c r="M908" i="3"/>
  <c r="K892" i="3"/>
  <c r="K968" i="3"/>
  <c r="M963" i="3"/>
  <c r="K1034" i="3"/>
  <c r="K175" i="3"/>
  <c r="K133" i="3"/>
  <c r="Q119" i="3"/>
  <c r="K203" i="3"/>
  <c r="K147" i="3"/>
  <c r="K217" i="3"/>
  <c r="K161" i="3"/>
  <c r="M119" i="3"/>
  <c r="R119" i="3" s="1"/>
  <c r="K189" i="3"/>
  <c r="Q40" i="1"/>
  <c r="M714" i="3"/>
  <c r="K569" i="3"/>
  <c r="M547" i="3"/>
  <c r="M411" i="3"/>
  <c r="P729" i="3"/>
  <c r="P728" i="3"/>
  <c r="M705" i="3"/>
  <c r="K334" i="3"/>
  <c r="Q229" i="3"/>
  <c r="K319" i="3"/>
  <c r="K274" i="3"/>
  <c r="K304" i="3"/>
  <c r="K244" i="3"/>
  <c r="M229" i="3"/>
  <c r="K259" i="3"/>
  <c r="K289" i="3"/>
  <c r="K335" i="3"/>
  <c r="K320" i="3"/>
  <c r="K275" i="3"/>
  <c r="K305" i="3"/>
  <c r="M230" i="3"/>
  <c r="K290" i="3"/>
  <c r="K245" i="3"/>
  <c r="K260" i="3"/>
  <c r="P744" i="3"/>
  <c r="P751" i="3"/>
  <c r="M425" i="3"/>
  <c r="M453" i="3"/>
  <c r="P737" i="3"/>
  <c r="K332" i="3"/>
  <c r="Q231" i="3"/>
  <c r="M227" i="3"/>
  <c r="K317" i="3"/>
  <c r="K272" i="3"/>
  <c r="Q230" i="3"/>
  <c r="K302" i="3"/>
  <c r="K242" i="3"/>
  <c r="K257" i="3"/>
  <c r="K287" i="3"/>
  <c r="P696" i="3"/>
  <c r="P690" i="3"/>
  <c r="M43" i="1"/>
  <c r="P1223" i="3"/>
  <c r="P1231" i="3"/>
  <c r="M35" i="1"/>
  <c r="M723" i="3"/>
  <c r="M400" i="3"/>
  <c r="K1065" i="3"/>
  <c r="K999" i="3"/>
  <c r="M933" i="3"/>
  <c r="K337" i="3"/>
  <c r="M232" i="3"/>
  <c r="K322" i="3"/>
  <c r="K277" i="3"/>
  <c r="K307" i="3"/>
  <c r="K292" i="3"/>
  <c r="K247" i="3"/>
  <c r="K262" i="3"/>
  <c r="M439" i="3"/>
  <c r="M1213" i="3"/>
  <c r="O44" i="1"/>
  <c r="Q44" i="1" s="1"/>
  <c r="V44" i="2"/>
  <c r="K336" i="3"/>
  <c r="K321" i="3"/>
  <c r="K276" i="3"/>
  <c r="M231" i="3"/>
  <c r="K306" i="3"/>
  <c r="K246" i="3"/>
  <c r="K261" i="3"/>
  <c r="K291" i="3"/>
  <c r="K333" i="3"/>
  <c r="K318" i="3"/>
  <c r="K273" i="3"/>
  <c r="K303" i="3"/>
  <c r="K243" i="3"/>
  <c r="K258" i="3"/>
  <c r="M228" i="3"/>
  <c r="K288" i="3"/>
  <c r="X49" i="2" l="1"/>
  <c r="M175" i="3"/>
  <c r="P121" i="3" s="1"/>
  <c r="K972" i="3"/>
  <c r="M1034" i="3"/>
  <c r="R346" i="3"/>
  <c r="M969" i="3"/>
  <c r="K958" i="3"/>
  <c r="R349" i="3"/>
  <c r="M203" i="3"/>
  <c r="M207" i="3" s="1"/>
  <c r="M161" i="3"/>
  <c r="M1021" i="3"/>
  <c r="M189" i="3"/>
  <c r="M193" i="3" s="1"/>
  <c r="M961" i="3"/>
  <c r="M954" i="3"/>
  <c r="M236" i="3"/>
  <c r="K1038" i="3"/>
  <c r="M892" i="3"/>
  <c r="M960" i="3"/>
  <c r="K957" i="3"/>
  <c r="M957" i="3" s="1"/>
  <c r="M891" i="3"/>
  <c r="K1023" i="3"/>
  <c r="M687" i="3"/>
  <c r="P687" i="3" s="1"/>
  <c r="M975" i="3"/>
  <c r="M1035" i="3"/>
  <c r="M905" i="3"/>
  <c r="M1027" i="3"/>
  <c r="K1024" i="3"/>
  <c r="K1037" i="3"/>
  <c r="K971" i="3"/>
  <c r="M1020" i="3"/>
  <c r="M974" i="3"/>
  <c r="M955" i="3"/>
  <c r="M968" i="3"/>
  <c r="M133" i="3"/>
  <c r="M217" i="3"/>
  <c r="M221" i="3" s="1"/>
  <c r="M147" i="3"/>
  <c r="R147" i="3" s="1"/>
  <c r="M123" i="3"/>
  <c r="M999" i="3"/>
  <c r="P1226" i="3"/>
  <c r="P1225" i="3"/>
  <c r="M287" i="3"/>
  <c r="M290" i="3"/>
  <c r="M320" i="3"/>
  <c r="M244" i="3"/>
  <c r="P714" i="3"/>
  <c r="M292" i="3"/>
  <c r="M322" i="3"/>
  <c r="M302" i="3"/>
  <c r="M243" i="3"/>
  <c r="M318" i="3"/>
  <c r="M261" i="3"/>
  <c r="M276" i="3"/>
  <c r="M442" i="3"/>
  <c r="M307" i="3"/>
  <c r="P723" i="3"/>
  <c r="O35" i="1"/>
  <c r="Q35" i="1" s="1"/>
  <c r="V35" i="2"/>
  <c r="O43" i="1"/>
  <c r="Q43" i="1" s="1"/>
  <c r="V43" i="2"/>
  <c r="M257" i="3"/>
  <c r="M456" i="3"/>
  <c r="P389" i="3" s="1"/>
  <c r="M289" i="3"/>
  <c r="M304" i="3"/>
  <c r="M334" i="3"/>
  <c r="M569" i="3"/>
  <c r="P584" i="3" s="1"/>
  <c r="K584" i="3" s="1"/>
  <c r="M258" i="3"/>
  <c r="M273" i="3"/>
  <c r="M1168" i="3"/>
  <c r="M288" i="3"/>
  <c r="M303" i="3"/>
  <c r="M333" i="3"/>
  <c r="M246" i="3"/>
  <c r="M321" i="3"/>
  <c r="M1215" i="3"/>
  <c r="M262" i="3"/>
  <c r="M337" i="3"/>
  <c r="M1065" i="3"/>
  <c r="M272" i="3"/>
  <c r="M332" i="3"/>
  <c r="M260" i="3"/>
  <c r="M305" i="3"/>
  <c r="M335" i="3"/>
  <c r="M259" i="3"/>
  <c r="M274" i="3"/>
  <c r="M291" i="3"/>
  <c r="M306" i="3"/>
  <c r="M336" i="3"/>
  <c r="M247" i="3"/>
  <c r="M277" i="3"/>
  <c r="P400" i="3"/>
  <c r="P693" i="3"/>
  <c r="P692" i="3"/>
  <c r="M242" i="3"/>
  <c r="M317" i="3"/>
  <c r="M428" i="3"/>
  <c r="M245" i="3"/>
  <c r="M275" i="3"/>
  <c r="M319" i="3"/>
  <c r="P705" i="3"/>
  <c r="M414" i="3"/>
  <c r="M551" i="3"/>
  <c r="M179" i="3" l="1"/>
  <c r="P112" i="3" s="1"/>
  <c r="P115" i="3" s="1"/>
  <c r="M165" i="3"/>
  <c r="P165" i="3" s="1"/>
  <c r="M1038" i="3"/>
  <c r="R161" i="3"/>
  <c r="M958" i="3"/>
  <c r="M1037" i="3"/>
  <c r="M972" i="3"/>
  <c r="M42" i="14"/>
  <c r="R123" i="3"/>
  <c r="M22" i="14"/>
  <c r="O22" i="14" s="1"/>
  <c r="Q22" i="14" s="1"/>
  <c r="M326" i="3"/>
  <c r="M266" i="3"/>
  <c r="M296" i="3"/>
  <c r="M20" i="14" s="1"/>
  <c r="O20" i="14" s="1"/>
  <c r="Q20" i="14" s="1"/>
  <c r="M311" i="3"/>
  <c r="M341" i="3"/>
  <c r="M281" i="3"/>
  <c r="M251" i="3"/>
  <c r="M1024" i="3"/>
  <c r="M1023" i="3"/>
  <c r="M42" i="1"/>
  <c r="P615" i="3"/>
  <c r="P618" i="3" s="1"/>
  <c r="M971" i="3"/>
  <c r="P345" i="3"/>
  <c r="R133" i="3"/>
  <c r="P123" i="3"/>
  <c r="M137" i="3"/>
  <c r="R137" i="3" s="1"/>
  <c r="M151" i="3"/>
  <c r="P468" i="3"/>
  <c r="P467" i="3" s="1"/>
  <c r="L39" i="4" s="1"/>
  <c r="M22" i="1"/>
  <c r="P474" i="3"/>
  <c r="K1085" i="3" s="1"/>
  <c r="P428" i="3"/>
  <c r="P193" i="3"/>
  <c r="P414" i="3"/>
  <c r="M573" i="3"/>
  <c r="P456" i="3"/>
  <c r="P442" i="3"/>
  <c r="K585" i="3"/>
  <c r="M584" i="3"/>
  <c r="M559" i="3"/>
  <c r="P392" i="3"/>
  <c r="P391" i="3"/>
  <c r="P221" i="3"/>
  <c r="P207" i="3"/>
  <c r="P236" i="3"/>
  <c r="P179" i="3" l="1"/>
  <c r="R165" i="3"/>
  <c r="P617" i="3"/>
  <c r="M19" i="1"/>
  <c r="O19" i="1" s="1"/>
  <c r="Q19" i="1" s="1"/>
  <c r="M19" i="14"/>
  <c r="O42" i="1"/>
  <c r="M20" i="1"/>
  <c r="O19" i="14"/>
  <c r="M21" i="14"/>
  <c r="O42" i="14"/>
  <c r="M45" i="14"/>
  <c r="M48" i="14" s="1"/>
  <c r="M45" i="1"/>
  <c r="V42" i="2"/>
  <c r="P137" i="3"/>
  <c r="P114" i="3"/>
  <c r="R151" i="3"/>
  <c r="P151" i="3"/>
  <c r="K1086" i="3"/>
  <c r="K465" i="3"/>
  <c r="V19" i="2"/>
  <c r="K466" i="3"/>
  <c r="K462" i="3"/>
  <c r="K464" i="3"/>
  <c r="K467" i="3"/>
  <c r="K463" i="3"/>
  <c r="K468" i="3"/>
  <c r="M21" i="1"/>
  <c r="P224" i="3"/>
  <c r="P227" i="3" s="1"/>
  <c r="V22" i="2"/>
  <c r="O22" i="1"/>
  <c r="Q22" i="1" s="1"/>
  <c r="M585" i="3"/>
  <c r="P311" i="3"/>
  <c r="P341" i="3"/>
  <c r="Q42" i="1"/>
  <c r="O45" i="1"/>
  <c r="P266" i="3"/>
  <c r="P296" i="3"/>
  <c r="P326" i="3"/>
  <c r="K1132" i="3"/>
  <c r="M1085" i="3"/>
  <c r="K1178" i="3"/>
  <c r="P251" i="3"/>
  <c r="P281" i="3"/>
  <c r="F46" i="4"/>
  <c r="F47" i="4" s="1"/>
  <c r="K913" i="3"/>
  <c r="P559" i="3"/>
  <c r="O20" i="1"/>
  <c r="Q20" i="1" s="1"/>
  <c r="V20" i="2"/>
  <c r="M581" i="3"/>
  <c r="P541" i="3" s="1"/>
  <c r="V45" i="2" l="1"/>
  <c r="M48" i="1"/>
  <c r="M1086" i="3"/>
  <c r="Q42" i="14"/>
  <c r="O45" i="14"/>
  <c r="M27" i="14"/>
  <c r="O27" i="14" s="1"/>
  <c r="Q27" i="14" s="1"/>
  <c r="O21" i="14"/>
  <c r="Q21" i="14" s="1"/>
  <c r="Q19" i="14"/>
  <c r="K1236" i="3"/>
  <c r="K504" i="3"/>
  <c r="K1240" i="3"/>
  <c r="K1241" i="3"/>
  <c r="K938" i="3"/>
  <c r="K1238" i="3"/>
  <c r="K476" i="3"/>
  <c r="M466" i="3"/>
  <c r="M462" i="3"/>
  <c r="K490" i="3"/>
  <c r="K482" i="3"/>
  <c r="M467" i="3"/>
  <c r="M468" i="3"/>
  <c r="K481" i="3"/>
  <c r="K503" i="3"/>
  <c r="K1235" i="3"/>
  <c r="K480" i="3"/>
  <c r="K936" i="3"/>
  <c r="K494" i="3"/>
  <c r="D26" i="4"/>
  <c r="K495" i="3"/>
  <c r="K508" i="3"/>
  <c r="K941" i="3"/>
  <c r="K507" i="3"/>
  <c r="K940" i="3"/>
  <c r="K496" i="3"/>
  <c r="K477" i="3"/>
  <c r="M463" i="3"/>
  <c r="D24" i="4"/>
  <c r="V21" i="2"/>
  <c r="K1239" i="3"/>
  <c r="K937" i="3"/>
  <c r="K942" i="3"/>
  <c r="K1179" i="3"/>
  <c r="K509" i="3"/>
  <c r="K1133" i="3"/>
  <c r="M464" i="3"/>
  <c r="K491" i="3"/>
  <c r="K478" i="3"/>
  <c r="K492" i="3"/>
  <c r="K505" i="3"/>
  <c r="M465" i="3"/>
  <c r="K506" i="3"/>
  <c r="K939" i="3"/>
  <c r="K1237" i="3"/>
  <c r="P226" i="3"/>
  <c r="D25" i="4"/>
  <c r="K479" i="3"/>
  <c r="K493" i="3"/>
  <c r="M586" i="3"/>
  <c r="P544" i="3"/>
  <c r="P543" i="3"/>
  <c r="O21" i="1"/>
  <c r="Q21" i="1" s="1"/>
  <c r="M27" i="1"/>
  <c r="K1045" i="3"/>
  <c r="K979" i="3"/>
  <c r="M913" i="3"/>
  <c r="M1178" i="3"/>
  <c r="V48" i="2"/>
  <c r="M1112" i="3"/>
  <c r="O48" i="1"/>
  <c r="Q45" i="1"/>
  <c r="P581" i="3"/>
  <c r="M1132" i="3"/>
  <c r="K1119" i="3" l="1"/>
  <c r="M491" i="3"/>
  <c r="M490" i="3"/>
  <c r="M480" i="3"/>
  <c r="K1115" i="3"/>
  <c r="M939" i="3"/>
  <c r="K1004" i="3"/>
  <c r="M1133" i="3"/>
  <c r="M1158" i="3" s="1"/>
  <c r="M1179" i="3"/>
  <c r="M942" i="3"/>
  <c r="M937" i="3"/>
  <c r="M481" i="3"/>
  <c r="M482" i="3"/>
  <c r="K1070" i="3"/>
  <c r="M1070" i="3" s="1"/>
  <c r="K1117" i="3"/>
  <c r="M1117" i="3" s="1"/>
  <c r="Q45" i="14"/>
  <c r="O48" i="14"/>
  <c r="M1241" i="3"/>
  <c r="M938" i="3"/>
  <c r="K517" i="3"/>
  <c r="M1238" i="3"/>
  <c r="K533" i="3"/>
  <c r="M1236" i="3"/>
  <c r="K534" i="3"/>
  <c r="K519" i="3"/>
  <c r="K531" i="3"/>
  <c r="K529" i="3"/>
  <c r="M1240" i="3"/>
  <c r="K535" i="3"/>
  <c r="D46" i="4"/>
  <c r="D55" i="4" s="1"/>
  <c r="F55" i="4" s="1"/>
  <c r="M477" i="3"/>
  <c r="M476" i="3"/>
  <c r="K1007" i="3"/>
  <c r="K520" i="3"/>
  <c r="K1120" i="3"/>
  <c r="M503" i="3"/>
  <c r="K516" i="3"/>
  <c r="K1073" i="3"/>
  <c r="M494" i="3"/>
  <c r="M1235" i="3"/>
  <c r="K1072" i="3"/>
  <c r="M940" i="3"/>
  <c r="K1006" i="3"/>
  <c r="M508" i="3"/>
  <c r="M936" i="3"/>
  <c r="D47" i="4"/>
  <c r="D56" i="4" s="1"/>
  <c r="F56" i="4" s="1"/>
  <c r="K521" i="3"/>
  <c r="K1002" i="3"/>
  <c r="K1068" i="3"/>
  <c r="K518" i="3"/>
  <c r="M941" i="3"/>
  <c r="M507" i="3"/>
  <c r="K1008" i="3"/>
  <c r="M495" i="3"/>
  <c r="K1074" i="3"/>
  <c r="K1118" i="3"/>
  <c r="K1121" i="3"/>
  <c r="K1005" i="3"/>
  <c r="M496" i="3"/>
  <c r="K1071" i="3"/>
  <c r="K530" i="3"/>
  <c r="K522" i="3"/>
  <c r="K1003" i="3"/>
  <c r="M478" i="3"/>
  <c r="M492" i="3"/>
  <c r="K1069" i="3"/>
  <c r="M504" i="3"/>
  <c r="M509" i="3"/>
  <c r="M1239" i="3"/>
  <c r="K1116" i="3"/>
  <c r="M505" i="3"/>
  <c r="K532" i="3"/>
  <c r="M1237" i="3"/>
  <c r="M479" i="3"/>
  <c r="M493" i="3"/>
  <c r="M506" i="3"/>
  <c r="M470" i="3"/>
  <c r="P585" i="3"/>
  <c r="O27" i="1"/>
  <c r="Q27" i="1" s="1"/>
  <c r="V27" i="2"/>
  <c r="M979" i="3"/>
  <c r="Q48" i="1"/>
  <c r="M1045" i="3"/>
  <c r="M1119" i="3"/>
  <c r="M23" i="14" l="1"/>
  <c r="Q471" i="3"/>
  <c r="P471" i="3"/>
  <c r="M1004" i="3"/>
  <c r="M1121" i="3"/>
  <c r="M517" i="3"/>
  <c r="M1115" i="3"/>
  <c r="M1069" i="3"/>
  <c r="M529" i="3"/>
  <c r="M1003" i="3"/>
  <c r="M519" i="3"/>
  <c r="M533" i="3"/>
  <c r="M532" i="3"/>
  <c r="M531" i="3"/>
  <c r="M1204" i="3"/>
  <c r="M1071" i="3"/>
  <c r="O23" i="14"/>
  <c r="Q48" i="14"/>
  <c r="M535" i="3"/>
  <c r="M520" i="3"/>
  <c r="M521" i="3"/>
  <c r="M1002" i="3"/>
  <c r="M534" i="3"/>
  <c r="K922" i="3"/>
  <c r="K923" i="3"/>
  <c r="M530" i="3"/>
  <c r="M1120" i="3"/>
  <c r="H46" i="4"/>
  <c r="L46" i="4" s="1"/>
  <c r="M1007" i="3"/>
  <c r="M1068" i="3"/>
  <c r="M1074" i="3"/>
  <c r="M1073" i="3"/>
  <c r="M516" i="3"/>
  <c r="M1072" i="3"/>
  <c r="M1006" i="3"/>
  <c r="M1008" i="3"/>
  <c r="M518" i="3"/>
  <c r="M943" i="3"/>
  <c r="H47" i="4"/>
  <c r="L47" i="4" s="1"/>
  <c r="M23" i="1"/>
  <c r="M1005" i="3"/>
  <c r="M522" i="3"/>
  <c r="M1118" i="3"/>
  <c r="M511" i="3"/>
  <c r="M25" i="14" s="1"/>
  <c r="O25" i="14" s="1"/>
  <c r="Q25" i="14" s="1"/>
  <c r="M1116" i="3"/>
  <c r="M1242" i="3"/>
  <c r="M24" i="14" s="1"/>
  <c r="O24" i="14" s="1"/>
  <c r="Q24" i="14" s="1"/>
  <c r="M498" i="3"/>
  <c r="P498" i="3" s="1"/>
  <c r="M484" i="3"/>
  <c r="P484" i="3" s="1"/>
  <c r="R236" i="3"/>
  <c r="M1170" i="3"/>
  <c r="M1217" i="3" l="1"/>
  <c r="M32" i="14" s="1"/>
  <c r="O32" i="14" s="1"/>
  <c r="Q32" i="14" s="1"/>
  <c r="M923" i="3"/>
  <c r="K1054" i="3"/>
  <c r="M26" i="14"/>
  <c r="M31" i="14"/>
  <c r="O31" i="14" s="1"/>
  <c r="Q31" i="14" s="1"/>
  <c r="Q23" i="14"/>
  <c r="O26" i="14"/>
  <c r="Q26" i="14" s="1"/>
  <c r="K1055" i="3"/>
  <c r="M922" i="3"/>
  <c r="K989" i="3"/>
  <c r="P1242" i="3"/>
  <c r="M1054" i="3"/>
  <c r="K988" i="3"/>
  <c r="K917" i="3"/>
  <c r="K916" i="3"/>
  <c r="M25" i="1"/>
  <c r="M537" i="3"/>
  <c r="P537" i="3" s="1"/>
  <c r="M1075" i="3"/>
  <c r="P511" i="3"/>
  <c r="M1009" i="3"/>
  <c r="M24" i="1"/>
  <c r="M1122" i="3"/>
  <c r="M524" i="3"/>
  <c r="P524" i="3" s="1"/>
  <c r="P1234" i="3"/>
  <c r="P1237" i="3" s="1"/>
  <c r="V23" i="2"/>
  <c r="O23" i="1"/>
  <c r="Q23" i="1" s="1"/>
  <c r="P1129" i="3"/>
  <c r="P1170" i="3"/>
  <c r="M31" i="1"/>
  <c r="O25" i="1" l="1"/>
  <c r="Q25" i="1" s="1"/>
  <c r="M32" i="1"/>
  <c r="O32" i="1" s="1"/>
  <c r="Q32" i="1" s="1"/>
  <c r="P1175" i="3"/>
  <c r="P1178" i="3" s="1"/>
  <c r="P1217" i="3"/>
  <c r="V25" i="2"/>
  <c r="K1049" i="3"/>
  <c r="M988" i="3"/>
  <c r="M989" i="3"/>
  <c r="M917" i="3"/>
  <c r="M1055" i="3"/>
  <c r="M916" i="3"/>
  <c r="K919" i="3"/>
  <c r="K1048" i="3"/>
  <c r="K982" i="3"/>
  <c r="K983" i="3"/>
  <c r="K920" i="3"/>
  <c r="M1124" i="3"/>
  <c r="M30" i="14" s="1"/>
  <c r="M983" i="3"/>
  <c r="M26" i="1"/>
  <c r="V24" i="2"/>
  <c r="O24" i="1"/>
  <c r="Q24" i="1" s="1"/>
  <c r="P1236" i="3"/>
  <c r="P1132" i="3"/>
  <c r="P1131" i="3"/>
  <c r="O31" i="1"/>
  <c r="Q31" i="1" s="1"/>
  <c r="V31" i="2"/>
  <c r="V32" i="2" l="1"/>
  <c r="P1177" i="3"/>
  <c r="M1049" i="3"/>
  <c r="M33" i="14"/>
  <c r="O30" i="14"/>
  <c r="O26" i="1"/>
  <c r="Q26" i="1" s="1"/>
  <c r="M1048" i="3"/>
  <c r="K1052" i="3"/>
  <c r="M920" i="3"/>
  <c r="K986" i="3"/>
  <c r="M982" i="3"/>
  <c r="K1051" i="3"/>
  <c r="K985" i="3"/>
  <c r="M919" i="3"/>
  <c r="M30" i="1"/>
  <c r="P1124" i="3"/>
  <c r="P1082" i="3"/>
  <c r="P1085" i="3" s="1"/>
  <c r="V26" i="2"/>
  <c r="O33" i="14" l="1"/>
  <c r="Q33" i="14" s="1"/>
  <c r="Q30" i="14"/>
  <c r="M985" i="3"/>
  <c r="M1052" i="3"/>
  <c r="M1051" i="3"/>
  <c r="M924" i="3"/>
  <c r="M986" i="3"/>
  <c r="P1084" i="3"/>
  <c r="V30" i="2"/>
  <c r="M33" i="1"/>
  <c r="O30" i="1"/>
  <c r="O33" i="1" s="1"/>
  <c r="Q33" i="1" s="1"/>
  <c r="Q30" i="1" l="1"/>
  <c r="M945" i="3"/>
  <c r="M29" i="14" s="1"/>
  <c r="O29" i="14" s="1"/>
  <c r="Q29" i="14" s="1"/>
  <c r="M990" i="3"/>
  <c r="M1056" i="3"/>
  <c r="V33" i="2"/>
  <c r="M1077" i="3" l="1"/>
  <c r="M1011" i="3"/>
  <c r="M29" i="1"/>
  <c r="P460" i="3"/>
  <c r="P884" i="3"/>
  <c r="P945" i="3"/>
  <c r="K65" i="3" l="1"/>
  <c r="K845" i="3"/>
  <c r="M765" i="3"/>
  <c r="Q821" i="3"/>
  <c r="Q819" i="3" s="1"/>
  <c r="K797" i="3"/>
  <c r="K813" i="3"/>
  <c r="K781" i="3"/>
  <c r="K877" i="3"/>
  <c r="O29" i="1"/>
  <c r="Q29" i="1" s="1"/>
  <c r="V29" i="2"/>
  <c r="K46" i="3"/>
  <c r="P1011" i="3"/>
  <c r="P1077" i="3"/>
  <c r="P766" i="3"/>
  <c r="P887" i="3"/>
  <c r="P886" i="3"/>
  <c r="K99" i="3"/>
  <c r="M25" i="3"/>
  <c r="K829" i="3"/>
  <c r="Q33" i="3"/>
  <c r="Q31" i="3" s="1"/>
  <c r="Q772" i="3"/>
  <c r="Q770" i="3" s="1"/>
  <c r="K80" i="3"/>
  <c r="P463" i="3"/>
  <c r="P466" i="3"/>
  <c r="P473" i="3"/>
  <c r="P462" i="3"/>
  <c r="M65" i="3"/>
  <c r="M845" i="3"/>
  <c r="K861" i="3"/>
  <c r="M781" i="3" l="1"/>
  <c r="M813" i="3"/>
  <c r="M797" i="3"/>
  <c r="M877" i="3"/>
  <c r="M829" i="3"/>
  <c r="M46" i="3"/>
  <c r="M99" i="3"/>
  <c r="M80" i="3"/>
  <c r="M861" i="3"/>
  <c r="M346" i="3" l="1"/>
  <c r="M82" i="3"/>
  <c r="M349" i="3"/>
  <c r="K760" i="3"/>
  <c r="K808" i="3" l="1"/>
  <c r="M760" i="3"/>
  <c r="K824" i="3"/>
  <c r="P763" i="3"/>
  <c r="K776" i="3"/>
  <c r="K792" i="3"/>
  <c r="K872" i="3"/>
  <c r="K762" i="3"/>
  <c r="K856" i="3"/>
  <c r="K840" i="3"/>
  <c r="K344" i="3"/>
  <c r="K21" i="3"/>
  <c r="P82" i="3"/>
  <c r="K345" i="3" l="1"/>
  <c r="K347" i="3"/>
  <c r="M344" i="3"/>
  <c r="M840" i="3"/>
  <c r="M856" i="3"/>
  <c r="K23" i="3"/>
  <c r="K95" i="3"/>
  <c r="K22" i="3"/>
  <c r="K61" i="3"/>
  <c r="M21" i="3"/>
  <c r="K42" i="3"/>
  <c r="M872" i="3"/>
  <c r="R762" i="3"/>
  <c r="M762" i="3"/>
  <c r="K794" i="3"/>
  <c r="K874" i="3"/>
  <c r="K778" i="3"/>
  <c r="K858" i="3"/>
  <c r="K826" i="3"/>
  <c r="K810" i="3"/>
  <c r="K842" i="3"/>
  <c r="M792" i="3"/>
  <c r="M776" i="3"/>
  <c r="M824" i="3"/>
  <c r="M808" i="3"/>
  <c r="K348" i="3" l="1"/>
  <c r="R344" i="3"/>
  <c r="M42" i="3"/>
  <c r="M61" i="3"/>
  <c r="K96" i="3"/>
  <c r="M22" i="3"/>
  <c r="K62" i="3"/>
  <c r="Q21" i="3"/>
  <c r="K43" i="3"/>
  <c r="M95" i="3"/>
  <c r="M826" i="3"/>
  <c r="M858" i="3"/>
  <c r="M345" i="3"/>
  <c r="M778" i="3"/>
  <c r="M794" i="3"/>
  <c r="Q20" i="3"/>
  <c r="K97" i="3"/>
  <c r="K63" i="3"/>
  <c r="K24" i="3"/>
  <c r="M23" i="3"/>
  <c r="K44" i="3"/>
  <c r="M842" i="3"/>
  <c r="M810" i="3"/>
  <c r="M874" i="3"/>
  <c r="M767" i="3"/>
  <c r="M347" i="3"/>
  <c r="M783" i="3" l="1"/>
  <c r="R347" i="3"/>
  <c r="M799" i="3"/>
  <c r="M815" i="3"/>
  <c r="M43" i="3"/>
  <c r="M348" i="3"/>
  <c r="M350" i="3" s="1"/>
  <c r="R350" i="3" s="1"/>
  <c r="M63" i="3"/>
  <c r="M863" i="3"/>
  <c r="R20" i="3"/>
  <c r="M24" i="3"/>
  <c r="M27" i="3" s="1"/>
  <c r="K98" i="3"/>
  <c r="K64" i="3"/>
  <c r="Q22" i="3"/>
  <c r="K45" i="3"/>
  <c r="M62" i="3"/>
  <c r="M831" i="3"/>
  <c r="P767" i="3"/>
  <c r="M96" i="3"/>
  <c r="M847" i="3"/>
  <c r="M44" i="3"/>
  <c r="P783" i="3"/>
  <c r="M97" i="3"/>
  <c r="M879" i="3"/>
  <c r="P799" i="3" l="1"/>
  <c r="M28" i="14"/>
  <c r="M28" i="1"/>
  <c r="P27" i="3"/>
  <c r="P863" i="3"/>
  <c r="M45" i="3"/>
  <c r="P847" i="3"/>
  <c r="P754" i="3"/>
  <c r="P831" i="3"/>
  <c r="P815" i="3"/>
  <c r="M64" i="3"/>
  <c r="M98" i="3"/>
  <c r="P879" i="3"/>
  <c r="O28" i="1" l="1"/>
  <c r="M38" i="1"/>
  <c r="M48" i="3"/>
  <c r="V28" i="2"/>
  <c r="P107" i="3"/>
  <c r="K105" i="3" s="1"/>
  <c r="M67" i="3"/>
  <c r="M15" i="14" s="1"/>
  <c r="O28" i="14"/>
  <c r="M38" i="14"/>
  <c r="M102" i="3"/>
  <c r="M15" i="1"/>
  <c r="P67" i="3"/>
  <c r="P756" i="3"/>
  <c r="P757" i="3"/>
  <c r="O38" i="1"/>
  <c r="Q38" i="1" s="1"/>
  <c r="Q28" i="1"/>
  <c r="O15" i="14" l="1"/>
  <c r="Q15" i="14" s="1"/>
  <c r="U15" i="14"/>
  <c r="V38" i="2"/>
  <c r="P48" i="3"/>
  <c r="M14" i="14"/>
  <c r="U14" i="14" s="1"/>
  <c r="M14" i="1"/>
  <c r="O14" i="1" s="1"/>
  <c r="M105" i="3"/>
  <c r="K106" i="3"/>
  <c r="K107" i="3"/>
  <c r="M1282" i="3"/>
  <c r="O14" i="14"/>
  <c r="M17" i="14"/>
  <c r="U17" i="14" s="1"/>
  <c r="P13" i="3"/>
  <c r="P102" i="3"/>
  <c r="Q28" i="14"/>
  <c r="O38" i="14"/>
  <c r="O15" i="1"/>
  <c r="Q15" i="1" s="1"/>
  <c r="V15" i="2"/>
  <c r="M49" i="14" l="1"/>
  <c r="M17" i="1"/>
  <c r="M49" i="1" s="1"/>
  <c r="V17" i="14"/>
  <c r="W17" i="14"/>
  <c r="W14" i="14"/>
  <c r="V14" i="14"/>
  <c r="V15" i="14"/>
  <c r="W15" i="14"/>
  <c r="P1282" i="3"/>
  <c r="M107" i="3"/>
  <c r="M106" i="3"/>
  <c r="K108" i="3"/>
  <c r="Q38" i="14"/>
  <c r="P15" i="3"/>
  <c r="P17" i="3"/>
  <c r="Q14" i="14"/>
  <c r="O17" i="14"/>
  <c r="Q17" i="14" s="1"/>
  <c r="K101" i="3" s="1"/>
  <c r="O101" i="3" s="1"/>
  <c r="Q14" i="1"/>
  <c r="O17" i="1"/>
  <c r="V17" i="2" l="1"/>
  <c r="V49" i="2"/>
  <c r="M108" i="3"/>
  <c r="O49" i="14"/>
  <c r="Q49" i="14" s="1"/>
  <c r="Q17" i="1"/>
  <c r="O49" i="1"/>
  <c r="Q49" i="1" s="1"/>
  <c r="M109" i="3" l="1"/>
  <c r="P108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Zhang, James</author>
  </authors>
  <commentList>
    <comment ref="N52" authorId="0" shapeId="0" xr:uid="{0A1E1585-961C-4A30-8826-3827E8E0B7F9}">
      <text>
        <r>
          <rPr>
            <b/>
            <sz val="9"/>
            <color indexed="81"/>
            <rFont val="Tahoma"/>
            <family val="2"/>
          </rPr>
          <t>Goal Seek target zero value cell</t>
        </r>
      </text>
    </comment>
    <comment ref="N54" authorId="0" shapeId="0" xr:uid="{88A6BA7D-721E-4790-9C65-059E73ECFBB3}">
      <text>
        <r>
          <rPr>
            <b/>
            <sz val="9"/>
            <color indexed="81"/>
            <rFont val="Tahoma"/>
            <family val="2"/>
          </rPr>
          <t>Goal Seek adjust cell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Zhang, James</author>
  </authors>
  <commentList>
    <comment ref="P469" authorId="0" shapeId="0" xr:uid="{BF922425-9A29-438C-9B02-41115E304AD6}">
      <text>
        <r>
          <rPr>
            <b/>
            <sz val="9"/>
            <color indexed="81"/>
            <rFont val="Tahoma"/>
            <family val="2"/>
          </rPr>
          <t>Goal Seek adjust cell to minimize cell P500</t>
        </r>
      </text>
    </comment>
  </commentList>
</comments>
</file>

<file path=xl/sharedStrings.xml><?xml version="1.0" encoding="utf-8"?>
<sst xmlns="http://schemas.openxmlformats.org/spreadsheetml/2006/main" count="2499" uniqueCount="512">
  <si>
    <t>Rocky Mountain Power</t>
  </si>
  <si>
    <t>Estimated Effect of Proposed Changes</t>
  </si>
  <si>
    <t>on Revenues from Electric Sales to Ultimate Consumers in Utah</t>
  </si>
  <si>
    <t>No. of</t>
  </si>
  <si>
    <t>Proposed</t>
  </si>
  <si>
    <t>Base</t>
  </si>
  <si>
    <t>Line</t>
  </si>
  <si>
    <t>Sch</t>
  </si>
  <si>
    <t>Customer</t>
  </si>
  <si>
    <t>MWh</t>
  </si>
  <si>
    <t>No.</t>
  </si>
  <si>
    <t>Description</t>
  </si>
  <si>
    <t>Forecast</t>
  </si>
  <si>
    <t>($000)</t>
  </si>
  <si>
    <t>(%)</t>
  </si>
  <si>
    <t>Present</t>
  </si>
  <si>
    <t>Change</t>
  </si>
  <si>
    <t>Residential</t>
  </si>
  <si>
    <t>1/3</t>
  </si>
  <si>
    <t>Res. Optional TOD</t>
  </si>
  <si>
    <t>2/2E</t>
  </si>
  <si>
    <t>AGA/Revenue Credit</t>
  </si>
  <si>
    <t>Total Residential</t>
  </si>
  <si>
    <t>Commercial &amp; Industrial</t>
  </si>
  <si>
    <t>Gen. Svc. Dist.</t>
  </si>
  <si>
    <t>Gen. Svc. Dist. Energy TOD</t>
  </si>
  <si>
    <t>6A</t>
  </si>
  <si>
    <t>Subtotal Schedule 6</t>
  </si>
  <si>
    <t>Gen. Svc. Dist. &gt; 1,000 kW</t>
  </si>
  <si>
    <t>Gen. Svc. High Voltage</t>
  </si>
  <si>
    <t>Gen. Svc. High Voltage, Former Contract 2</t>
  </si>
  <si>
    <t>9-C2</t>
  </si>
  <si>
    <t>Gen. Svc. H.V. Energy TOD</t>
  </si>
  <si>
    <t>9A</t>
  </si>
  <si>
    <t>Subtotal Schedule 9</t>
  </si>
  <si>
    <t>Irrigation</t>
  </si>
  <si>
    <t>Gen. Svc. Dist. Small</t>
  </si>
  <si>
    <t>Partial Req. Svc. &gt;= 1,000 kW</t>
  </si>
  <si>
    <t>Svc. From Ren. Ene. Facilities</t>
  </si>
  <si>
    <t>32-9</t>
  </si>
  <si>
    <t>32-6</t>
  </si>
  <si>
    <t>32-8</t>
  </si>
  <si>
    <t>Subtotal Schedule 32</t>
  </si>
  <si>
    <t>Ren. Ene. Pur. for Qlf. Cust, Option 2</t>
  </si>
  <si>
    <t>Contract 1</t>
  </si>
  <si>
    <t>Contract 3</t>
  </si>
  <si>
    <t>Total Commercial &amp; Industrial</t>
  </si>
  <si>
    <t>Public Street Lighting</t>
  </si>
  <si>
    <t>Security Area Lighting</t>
  </si>
  <si>
    <t>Street Lighting - Company Owned</t>
  </si>
  <si>
    <t>Street Lighting - Customer Owned</t>
  </si>
  <si>
    <t>Metered Outdoor Lighting</t>
  </si>
  <si>
    <t>Traffic Signal Systems</t>
  </si>
  <si>
    <t>Subtotal Public Street Lighting</t>
  </si>
  <si>
    <t>Security AR LG-Contracts (PTL)</t>
  </si>
  <si>
    <t>Total Public Street Lighting</t>
  </si>
  <si>
    <t>Total Sales to Ultimate Customers</t>
  </si>
  <si>
    <t>Spread %</t>
  </si>
  <si>
    <t>Reconsideration rev increase</t>
  </si>
  <si>
    <t>overall avg</t>
  </si>
  <si>
    <t>Spread Adj</t>
  </si>
  <si>
    <t>Res 1, 2,2E,3</t>
  </si>
  <si>
    <t>6,6A</t>
  </si>
  <si>
    <t>8</t>
  </si>
  <si>
    <t>9, 9A, 31, 32, C2</t>
  </si>
  <si>
    <t>C1</t>
  </si>
  <si>
    <t>34, C3</t>
  </si>
  <si>
    <t>15M</t>
  </si>
  <si>
    <t>15T</t>
  </si>
  <si>
    <t>Rocky Mountain Power - State of Utah</t>
  </si>
  <si>
    <t>Blocking Based on Adjusted Actuals and Forecasted Loads</t>
  </si>
  <si>
    <t>Units</t>
  </si>
  <si>
    <t>Revenue</t>
  </si>
  <si>
    <t>Price</t>
  </si>
  <si>
    <t>rounding</t>
  </si>
  <si>
    <t>Total Customer</t>
  </si>
  <si>
    <t xml:space="preserve">    Single Family - 1 Phase</t>
  </si>
  <si>
    <t>Res 1, 2, 2E, 3, 135, 136, 137</t>
  </si>
  <si>
    <t xml:space="preserve">    Multi Family - 1 Phase</t>
  </si>
  <si>
    <t>In Rate</t>
  </si>
  <si>
    <t xml:space="preserve">    Single Family - 3 Phase</t>
  </si>
  <si>
    <t>Target</t>
  </si>
  <si>
    <t xml:space="preserve">    Multi Family - 3 Phase</t>
  </si>
  <si>
    <t>D</t>
  </si>
  <si>
    <t>Aggregate Charge</t>
  </si>
  <si>
    <t>Non-Standard Meter Reading Fee</t>
  </si>
  <si>
    <t>In Rate Change</t>
  </si>
  <si>
    <t>Paperless Bill Credit</t>
  </si>
  <si>
    <t>Target Change</t>
  </si>
  <si>
    <t>On-Peak kWh (Jun - Sept)</t>
  </si>
  <si>
    <t>¢</t>
  </si>
  <si>
    <t>Energy %</t>
  </si>
  <si>
    <t>Off-Peak kWh (Jun - Sept)</t>
  </si>
  <si>
    <t>season</t>
  </si>
  <si>
    <t>First 400 kWh (Jun-Sept)</t>
  </si>
  <si>
    <t>tier</t>
  </si>
  <si>
    <t>All add'l kWh (Jun-Sept)</t>
  </si>
  <si>
    <t>Basic Charge</t>
  </si>
  <si>
    <t>First 400 kWh (Oct-May)</t>
  </si>
  <si>
    <t>All add'l kWh (Oct-May)</t>
  </si>
  <si>
    <t>Avg Usage - A</t>
  </si>
  <si>
    <t>Subscriber Solar kWh</t>
  </si>
  <si>
    <t>Avg Usage - S</t>
  </si>
  <si>
    <t>Unbilled</t>
  </si>
  <si>
    <t>Avg Usage - W</t>
  </si>
  <si>
    <t>Total</t>
  </si>
  <si>
    <t>Sch73</t>
  </si>
  <si>
    <t>G</t>
  </si>
  <si>
    <t>T</t>
  </si>
  <si>
    <t>On-Peak kWh</t>
  </si>
  <si>
    <t>Off-Peak kWh</t>
  </si>
  <si>
    <t>LOW INCOME LIFELINE CREDIT</t>
  </si>
  <si>
    <t>Schedule 1 New Time of Use Option</t>
  </si>
  <si>
    <t>On-Peak kWh New TOU (Jun-Sept)</t>
  </si>
  <si>
    <t>on-off ratio</t>
  </si>
  <si>
    <t>Off-Peak kWh New TOU (Jun-Sept)</t>
  </si>
  <si>
    <t>On-Peak kWh New TOU (Oct-May)</t>
  </si>
  <si>
    <t>Res Energy Rev</t>
  </si>
  <si>
    <t>Off-Peak kWh New TOU (Oct-May)</t>
  </si>
  <si>
    <t>Res TOU Energy Rev</t>
  </si>
  <si>
    <t>Schedule 6 - TOTAL</t>
  </si>
  <si>
    <t>Customer Charge</t>
  </si>
  <si>
    <t>Facilities kW</t>
  </si>
  <si>
    <t>All kW (Jun - Sept)</t>
  </si>
  <si>
    <t>All kW (Oct - May)</t>
  </si>
  <si>
    <t>Non-energy change</t>
  </si>
  <si>
    <t>kWh (Jun-Sept)</t>
  </si>
  <si>
    <t>kWh (Oct-May)</t>
  </si>
  <si>
    <t>Voltage Discount</t>
  </si>
  <si>
    <t>Schedule 6 (135-136-137) - TOTAL</t>
  </si>
  <si>
    <t>Schedule 6A - TOTAL</t>
  </si>
  <si>
    <t>All kWh under 50 kWh/kW (Jun-Sept) - New</t>
  </si>
  <si>
    <t>All additional kWh (Jun-Sept) - New</t>
  </si>
  <si>
    <t>Off-Pk kWh (Jun-Sept) - New</t>
  </si>
  <si>
    <t>All kWh under 50 kWh/kW (Oct-May) - New</t>
  </si>
  <si>
    <t>All additional (Oct-May) - New</t>
  </si>
  <si>
    <t>Off-Pk kWh (Oct-May) - New</t>
  </si>
  <si>
    <t>All kWh under 50 kWh/kW (Jun-Sept)</t>
  </si>
  <si>
    <t>All additional kWh (Jun-Sept)</t>
  </si>
  <si>
    <t>Off-Pk kWh (Jun-Sept)</t>
  </si>
  <si>
    <t>Non-Basic Change</t>
  </si>
  <si>
    <t>All kWh under 50 kWh/kW (Oct-May)</t>
  </si>
  <si>
    <t>kWh rate ratio</t>
  </si>
  <si>
    <t>All additional (Oct-May)</t>
  </si>
  <si>
    <t>season diff</t>
  </si>
  <si>
    <t>Off-Pk kWh (Oct-May)</t>
  </si>
  <si>
    <t>off credit</t>
  </si>
  <si>
    <t>Schedule 6A(135-136-137)- TOTAL</t>
  </si>
  <si>
    <t>Schedule No. 7 - TOTAL</t>
  </si>
  <si>
    <t>Customers</t>
  </si>
  <si>
    <t>kWh Included</t>
  </si>
  <si>
    <t>Level 1 (0-5,500 LED Equivalent Lumens)</t>
  </si>
  <si>
    <t>Level 2 (5,501-12,000 LED Equivalent Lumens)</t>
  </si>
  <si>
    <t>Level 3 (12,001 and Greater LED Equivalent Lumens)</t>
  </si>
  <si>
    <t>Total (kWh, Revenue)</t>
  </si>
  <si>
    <t>Schedule 8 -TOTAL</t>
  </si>
  <si>
    <t>On-Peak kW (Jun - Sept)</t>
  </si>
  <si>
    <t>On-Peak kW (Oct - May)</t>
  </si>
  <si>
    <t>Target Change Net</t>
  </si>
  <si>
    <t>On-Peak kWh (Oct - May)</t>
  </si>
  <si>
    <t>scalar on-off diff</t>
  </si>
  <si>
    <t>Off-Peak kWh (Oct - May)</t>
  </si>
  <si>
    <t>Season ratio</t>
  </si>
  <si>
    <t>FkW %</t>
  </si>
  <si>
    <t>kW%</t>
  </si>
  <si>
    <t>Schedule 9 - TOTAL</t>
  </si>
  <si>
    <t>Sch 9,31,32,9A,C2</t>
  </si>
  <si>
    <t>Facilities Special Credit</t>
  </si>
  <si>
    <t>In Rate Change-No PPA&amp;SUP</t>
  </si>
  <si>
    <t>Target Change-No PPA&amp;SUP</t>
  </si>
  <si>
    <t>Adj</t>
  </si>
  <si>
    <t>season ratio</t>
  </si>
  <si>
    <t>Sch 9 Change</t>
  </si>
  <si>
    <t>Schedule 9A - TOTAL</t>
  </si>
  <si>
    <t>Annual Cust. Serv. Chg. - Secondary</t>
  </si>
  <si>
    <t>Sch 10,</t>
  </si>
  <si>
    <t>Annual Cust. Serv. Chg. - Primary</t>
  </si>
  <si>
    <t>Monthly Cust. Serv. Chg. Season</t>
  </si>
  <si>
    <t>Aggregate Charge Season</t>
  </si>
  <si>
    <t>Paperless Bill Credit Season</t>
  </si>
  <si>
    <t>All kW Season</t>
  </si>
  <si>
    <t>First 30,000 kWh Season</t>
  </si>
  <si>
    <t>All add'l kWh Season</t>
  </si>
  <si>
    <t>On-Peak kWh Season</t>
  </si>
  <si>
    <t>Off-Peak kWh Season</t>
  </si>
  <si>
    <t>Total On Season</t>
  </si>
  <si>
    <t>Post Season</t>
  </si>
  <si>
    <t>Monthly Cust. Serv. Chg. Post Season</t>
  </si>
  <si>
    <t>Aggregate Charge Post Season</t>
  </si>
  <si>
    <t>Paperless Bill Credit Post Season</t>
  </si>
  <si>
    <t>All kWh Post Season</t>
  </si>
  <si>
    <t>Total Post Season</t>
  </si>
  <si>
    <t>On-Peak kWh New TOU (Irrigation Season)</t>
  </si>
  <si>
    <t>Irr Season Energy Rev</t>
  </si>
  <si>
    <t>Off-Peak kWh New TOU (Irrigation Season)</t>
  </si>
  <si>
    <t>Irr Season TOU Energy Rev</t>
  </si>
  <si>
    <t>Schedule 11</t>
  </si>
  <si>
    <t>Functional Lighting</t>
  </si>
  <si>
    <t>LED Equivalent Lumen Range</t>
  </si>
  <si>
    <t>Level 1</t>
  </si>
  <si>
    <t xml:space="preserve">  &lt;=3,500</t>
  </si>
  <si>
    <t>Level 2</t>
  </si>
  <si>
    <t xml:space="preserve"> 3,501-5,500</t>
  </si>
  <si>
    <t>Level 3</t>
  </si>
  <si>
    <t xml:space="preserve"> 5501-8000</t>
  </si>
  <si>
    <t>Level 4</t>
  </si>
  <si>
    <t xml:space="preserve"> 8,001-12,000</t>
  </si>
  <si>
    <t>Level 5</t>
  </si>
  <si>
    <t xml:space="preserve"> 12,001-15,500</t>
  </si>
  <si>
    <t>Level 6</t>
  </si>
  <si>
    <t xml:space="preserve"> &gt;=15,501</t>
  </si>
  <si>
    <t>Decorative Series</t>
  </si>
  <si>
    <t xml:space="preserve"> 5,501-8,000</t>
  </si>
  <si>
    <t>Customer-Funded Conversion</t>
  </si>
  <si>
    <t>Customer-Funded Conversion Decorative Series</t>
  </si>
  <si>
    <t>Schedule 12</t>
  </si>
  <si>
    <t>1. Energy Only, No Maintenance</t>
  </si>
  <si>
    <t xml:space="preserve">  High Pressures Sodium Vapor Lamps</t>
  </si>
  <si>
    <t xml:space="preserve">   5,600 Lumen</t>
  </si>
  <si>
    <t xml:space="preserve">   9,500 Lumen</t>
  </si>
  <si>
    <t xml:space="preserve">   16,000 Lumen</t>
  </si>
  <si>
    <t xml:space="preserve">   27,500 Lumen</t>
  </si>
  <si>
    <t xml:space="preserve">   50,000 Lumen</t>
  </si>
  <si>
    <t xml:space="preserve">  Metal Halide Lamps</t>
  </si>
  <si>
    <t xml:space="preserve">   9,000 Lumen</t>
  </si>
  <si>
    <t xml:space="preserve">   12,000 Lumen</t>
  </si>
  <si>
    <t xml:space="preserve">   19,500 Lumen</t>
  </si>
  <si>
    <t xml:space="preserve">   32,000 Lumen</t>
  </si>
  <si>
    <t xml:space="preserve">  Non-listed Luminaries kWh</t>
  </si>
  <si>
    <t xml:space="preserve">  Listed Luminaries kWh</t>
  </si>
  <si>
    <t>2a - Partial Maintenance (No New Service)</t>
  </si>
  <si>
    <t xml:space="preserve">  Incandescent Lamps</t>
  </si>
  <si>
    <t xml:space="preserve">   2,500 Lumen or Less</t>
  </si>
  <si>
    <t xml:space="preserve">   4,000 Lumen</t>
  </si>
  <si>
    <t xml:space="preserve">  Mercury Vapor Lamps</t>
  </si>
  <si>
    <t xml:space="preserve">   7,000 Lumen</t>
  </si>
  <si>
    <t xml:space="preserve">   20,000 Lumen</t>
  </si>
  <si>
    <t xml:space="preserve">   54,000 Lumen</t>
  </si>
  <si>
    <t xml:space="preserve">  High Pressure Sodium Vapor Lamps</t>
  </si>
  <si>
    <t xml:space="preserve">   9,500 Lumen - Decorative</t>
  </si>
  <si>
    <t xml:space="preserve">   16,000 Lumen - Decorative</t>
  </si>
  <si>
    <t xml:space="preserve">   22,000 Lumen </t>
  </si>
  <si>
    <t xml:space="preserve">   27,500 Lumen - Decorative</t>
  </si>
  <si>
    <t xml:space="preserve">   50,000 Lumen - Decorative</t>
  </si>
  <si>
    <t xml:space="preserve">   9,000 Lumen - Decorative</t>
  </si>
  <si>
    <t xml:space="preserve">   12,000 Lumen - Decorative</t>
  </si>
  <si>
    <t xml:space="preserve">   19,500 Lumen - Decorative</t>
  </si>
  <si>
    <t xml:space="preserve">   32,000 Lumen - Decorative</t>
  </si>
  <si>
    <t xml:space="preserve">  Fluorescent Lamps</t>
  </si>
  <si>
    <t xml:space="preserve">   21,800 Lumen</t>
  </si>
  <si>
    <t>2b - Full Maintenance (No New Service)</t>
  </si>
  <si>
    <t xml:space="preserve">   6,000 Lumen</t>
  </si>
  <si>
    <t xml:space="preserve">   10,000 Lumen</t>
  </si>
  <si>
    <t xml:space="preserve">  Sodium Vapor Lamps</t>
  </si>
  <si>
    <t xml:space="preserve">   107,000 Lumen </t>
  </si>
  <si>
    <t>Unbilled Schedule 12 Total</t>
  </si>
  <si>
    <t>kWh Schedule 12 Total</t>
  </si>
  <si>
    <t>Customers Schedule 12 Total</t>
  </si>
  <si>
    <t>Schedule 15.1 MONL TOTAL</t>
  </si>
  <si>
    <t>Annual Facility Charge</t>
  </si>
  <si>
    <t>Annual Customer Charge</t>
  </si>
  <si>
    <t>Monthly Customer Charge</t>
  </si>
  <si>
    <t>All kWh</t>
  </si>
  <si>
    <t>Schedule 15.2 TOSS-TOTAL</t>
  </si>
  <si>
    <t>Schedule 23 - TOTAL</t>
  </si>
  <si>
    <t>Minimum Charge</t>
  </si>
  <si>
    <t>kW over 15 (Jun - Sept)</t>
  </si>
  <si>
    <t>kW over 15 (Oct - May)</t>
  </si>
  <si>
    <t>First 1,500 kWh (Jun - Sept)</t>
  </si>
  <si>
    <t>All Add'l kWh (Jun - Sept)</t>
  </si>
  <si>
    <t>First 1,500 kWh (Oct - May)</t>
  </si>
  <si>
    <t>block diff</t>
  </si>
  <si>
    <t>All Add'l kWh (Oct - May)</t>
  </si>
  <si>
    <t>Schedule 23 (135-136-137) - TOTAL</t>
  </si>
  <si>
    <t>Schedule 31 - TOTAL</t>
  </si>
  <si>
    <t>Secondary Voltage</t>
  </si>
  <si>
    <t>Customer Charge per month</t>
  </si>
  <si>
    <t>Sch 31</t>
  </si>
  <si>
    <t>Facilities Charge, per kW month</t>
  </si>
  <si>
    <t>Back-up Power Charge</t>
  </si>
  <si>
    <t>Regular, per On-Peak kW day</t>
  </si>
  <si>
    <t xml:space="preserve">    Jun - Sept</t>
  </si>
  <si>
    <t xml:space="preserve">    Oct - May</t>
  </si>
  <si>
    <t>Maintenance, per On-Peak kW day</t>
  </si>
  <si>
    <t>Excess Power, per kW month</t>
  </si>
  <si>
    <t>Primary Voltage</t>
  </si>
  <si>
    <t>Transmission Voltage</t>
  </si>
  <si>
    <t>Subtotal</t>
  </si>
  <si>
    <t>Supplemental billed at Schedule 8/9 rate</t>
  </si>
  <si>
    <t>Schedule 8</t>
  </si>
  <si>
    <t>Schedule 9</t>
  </si>
  <si>
    <t>Total (Aggregated)</t>
  </si>
  <si>
    <t>Schedule 8-IND</t>
  </si>
  <si>
    <t>Schedule 32-9 - COM</t>
  </si>
  <si>
    <t>Customer Charges:</t>
  </si>
  <si>
    <t xml:space="preserve">    Distribution Voltage &lt; 1 MW </t>
  </si>
  <si>
    <t xml:space="preserve">    Distribution Voltage &gt; 1 MW </t>
  </si>
  <si>
    <t xml:space="preserve">    Transmission Voltage </t>
  </si>
  <si>
    <t>Administrative Fee:</t>
  </si>
  <si>
    <t xml:space="preserve">    All Voltages / per Generator</t>
  </si>
  <si>
    <t xml:space="preserve">    All Voltages / per Delivery Point</t>
  </si>
  <si>
    <t>Delivery Facilities Charges:</t>
  </si>
  <si>
    <t xml:space="preserve">    Secondary Voltage &lt; 1 MW </t>
  </si>
  <si>
    <t xml:space="preserve">    Primary Voltage &lt; 1 MW </t>
  </si>
  <si>
    <t xml:space="preserve">    Secondary Voltage &gt; 1 MW </t>
  </si>
  <si>
    <t xml:space="preserve">    Primary Voltage &gt; 1 MW </t>
  </si>
  <si>
    <t>Daily Power Charges:</t>
  </si>
  <si>
    <t xml:space="preserve">    On-Peak Secondary Voltage &lt; 1 MW</t>
  </si>
  <si>
    <t xml:space="preserve">        June - September: </t>
  </si>
  <si>
    <t xml:space="preserve">        October - May: </t>
  </si>
  <si>
    <t xml:space="preserve">    On-Peak Primary Voltage &lt; 1 MW</t>
  </si>
  <si>
    <t xml:space="preserve">    On-Peak Secondary Voltage &gt; 1 MW</t>
  </si>
  <si>
    <t xml:space="preserve">    On-Peak Primary Voltage &gt; 1 MW</t>
  </si>
  <si>
    <t xml:space="preserve">    On-Peak Transmission Voltage</t>
  </si>
  <si>
    <t>Renewable Energy PPA</t>
  </si>
  <si>
    <t>Renewable Energy PPA- Solar</t>
  </si>
  <si>
    <t xml:space="preserve">  Subtotal</t>
  </si>
  <si>
    <t>Supplemental billed at Schedule 6/8/9 rate</t>
  </si>
  <si>
    <t xml:space="preserve">  Schedule 9</t>
  </si>
  <si>
    <t xml:space="preserve">  Facilities kW</t>
  </si>
  <si>
    <t xml:space="preserve">  On-Peak kW (Jun - Sept)</t>
  </si>
  <si>
    <t xml:space="preserve">  On-Peak kW (Oct - May)</t>
  </si>
  <si>
    <t xml:space="preserve">  On-Peak kWh (Jun - Sept)</t>
  </si>
  <si>
    <t xml:space="preserve">  Off-Peak kWh (Jun - Sept)</t>
  </si>
  <si>
    <t xml:space="preserve">  On-Peak kWh (Oct - May)</t>
  </si>
  <si>
    <t xml:space="preserve">  Off-Peak kWh (Oct - May)</t>
  </si>
  <si>
    <t xml:space="preserve">  Total (Aggregated)</t>
  </si>
  <si>
    <t>Schedule 32-6 - COM</t>
  </si>
  <si>
    <t xml:space="preserve">  Schedule 6</t>
  </si>
  <si>
    <t>Schedule 32-8 - COM</t>
  </si>
  <si>
    <t xml:space="preserve">  Schedule 8</t>
  </si>
  <si>
    <t>Schedule 34 (Option 2) – Commercial</t>
  </si>
  <si>
    <t xml:space="preserve">Total </t>
  </si>
  <si>
    <t>Facilities Charge</t>
  </si>
  <si>
    <t>On-Peak Power kW (June - Sept)</t>
  </si>
  <si>
    <t>On-Peak Power kW (Oct - May)</t>
  </si>
  <si>
    <t>On-Peak kWh (June - Sept)</t>
  </si>
  <si>
    <t>Off-Peak kWh(June - Sept)</t>
  </si>
  <si>
    <t>Contract 2/Sch9</t>
  </si>
  <si>
    <t>Block 1</t>
  </si>
  <si>
    <t>Block 2 - Market</t>
  </si>
  <si>
    <t>Block 2 - Index</t>
  </si>
  <si>
    <t>Lighting Contract - Post Top Lighting - Total</t>
  </si>
  <si>
    <t>Energy Only Res</t>
  </si>
  <si>
    <t>Energy Only Non-Res</t>
  </si>
  <si>
    <t xml:space="preserve">  Subtotal </t>
  </si>
  <si>
    <t xml:space="preserve">  KWH Included</t>
  </si>
  <si>
    <t>Lighting Contract - Post Top Lighting - Commercial</t>
  </si>
  <si>
    <t>Lighting Contract - Post Top Lighting - Residential</t>
  </si>
  <si>
    <t>Annual Guarantee Adjustment</t>
  </si>
  <si>
    <t xml:space="preserve"> Residential</t>
  </si>
  <si>
    <t xml:space="preserve"> Commercial</t>
  </si>
  <si>
    <t xml:space="preserve"> Industrial</t>
  </si>
  <si>
    <t xml:space="preserve"> Irrigation</t>
  </si>
  <si>
    <t xml:space="preserve"> Public Street &amp; Highway Lighting</t>
  </si>
  <si>
    <t>Total AGA</t>
  </si>
  <si>
    <t>TOTAL - ALL CLASSES</t>
  </si>
  <si>
    <t>Calculation of Proposed Schedule 31 and Schedule 32 Rates</t>
  </si>
  <si>
    <t>Schedule 6 - Distribution Voltage Full Requirements (&lt;1 MW)</t>
  </si>
  <si>
    <t>Billing Component</t>
  </si>
  <si>
    <t>Present Price</t>
  </si>
  <si>
    <t>Proposed Price</t>
  </si>
  <si>
    <t>Power Charge, Jun-Sept ($/kW)</t>
  </si>
  <si>
    <t>Power Charge, Oct-May ($/kW)</t>
  </si>
  <si>
    <t>Facilities Charge ($/kW)</t>
  </si>
  <si>
    <t>Schedule 8 - Distribution Voltage Full Requirements (1 MW+)</t>
  </si>
  <si>
    <t>Schedule 9 - Transmission Voltage Full Requirements</t>
  </si>
  <si>
    <t>Schedule 31 - Partial Requirements</t>
  </si>
  <si>
    <t>Full Requirements Customer Change</t>
  </si>
  <si>
    <t>Customer Charge, Secondary Voltage</t>
  </si>
  <si>
    <t>+</t>
  </si>
  <si>
    <t>=</t>
  </si>
  <si>
    <t>Customer Charge, Primary Voltage</t>
  </si>
  <si>
    <t>Customer Charge, Transmission Voltage</t>
  </si>
  <si>
    <t>Backup Facilities Charge, Secondary Voltage ($/kW)</t>
  </si>
  <si>
    <t>Backup Facilities Charge, Primary Voltage ($/kW)</t>
  </si>
  <si>
    <t>Backup Facilities Charge, Transmission Voltage ($/kW)</t>
  </si>
  <si>
    <t>Full Requirements Demand-Related Charges</t>
  </si>
  <si>
    <t>Proposed Backup Facilities Charge</t>
  </si>
  <si>
    <t>Monthly Power Charge</t>
  </si>
  <si>
    <t>On-Peak Days in a Month</t>
  </si>
  <si>
    <t>Backup Power Charge, Secondary Voltage, Jun-Sept ($/kW/day)</t>
  </si>
  <si>
    <t>-</t>
  </si>
  <si>
    <t>/</t>
  </si>
  <si>
    <t>Backup Power Charge, Secondary Voltage, Oct-May ($/kW/day)</t>
  </si>
  <si>
    <t>Backup Power Charge, Primary Voltage, Jun-Sept ($/kW/day)</t>
  </si>
  <si>
    <t>Backup Power Charge, Primary Voltage, Oct-May ($/kW/day)</t>
  </si>
  <si>
    <t>Backup Power Charge, Transmission Voltage, Jun-Sept ($/kW/day)</t>
  </si>
  <si>
    <t>Backup Power Charge, Transmission Voltage, Oct-May ($/kW/day)</t>
  </si>
  <si>
    <t xml:space="preserve">Proposed Price </t>
  </si>
  <si>
    <t>Excess Power Charge, Secondary Voltage, Jun-Sept ($/kW)</t>
  </si>
  <si>
    <t xml:space="preserve"> x 2 =</t>
  </si>
  <si>
    <t>Excess Power Charge, Secondary Voltage, Oct-May ($/kW)</t>
  </si>
  <si>
    <t>Excess Power Charge, Primary Voltage, Jun-Sept ($/kW)</t>
  </si>
  <si>
    <t>Excess Power Charge, Primary Voltage, Oct-May ($/kW)</t>
  </si>
  <si>
    <t>Excess Power Charge, Transmission Voltage, Jun-Sept ($/kW)</t>
  </si>
  <si>
    <t>Excess Power Charge, Transmission Voltage, Oct-May ($/kW)</t>
  </si>
  <si>
    <t>Schedule 32 - Service from Renewable Facilities</t>
  </si>
  <si>
    <t>Delivery Facilities Charge, &lt;1 MW, Secondary Voltage ($/kW)</t>
  </si>
  <si>
    <t>Delivery Facilities Charge, &lt;1 MW, Primary Voltage ($/kW)</t>
  </si>
  <si>
    <t>Delivery Facilities Charge, 1 MW+, Secondary Voltage ($/kW)</t>
  </si>
  <si>
    <t>Delivery Facilities Charge, 1 MW+, Primary Voltage ($/kW)</t>
  </si>
  <si>
    <t>Delivery Facilities Charge, Transmission Voltage ($/kW)</t>
  </si>
  <si>
    <t>Daily Power Charge, &lt;1 MW, Secondary Voltage, Jun-Sept ($/kW/day)</t>
  </si>
  <si>
    <t>Daily Power Charge, &lt;1 MW, Secondary Voltage, Oct-May ($/kW/day)</t>
  </si>
  <si>
    <t>Daily Power Charge, &lt;1 MW, Primary Voltage, Jun-Sept ($/kW/day)</t>
  </si>
  <si>
    <t>Daily Power Charge, &lt;1 MW, Primary Voltage, Oct-May ($/kW/day)</t>
  </si>
  <si>
    <t>Daily Power Charge, 1 MW+, Secondary Voltage, Jun-Sept ($/kW/day)</t>
  </si>
  <si>
    <t>Daily Power Charge, 1 MW+, Secondary Voltage, Oct-May ($/kW/day)</t>
  </si>
  <si>
    <t>Daily Power Charge, 1 MW+, Primary Voltage, Jun-Sept ($/kW/day)</t>
  </si>
  <si>
    <t>Daily Power Charge, 1 MW+, Primary Voltage, Oct-May ($/kW/day)</t>
  </si>
  <si>
    <t>Daily Power Charge, Transmission Voltage, Jun-Sept ($/kW/day)</t>
  </si>
  <si>
    <t>Daily Power Charge, Transmission Voltage, Oct-May ($/kW/day)</t>
  </si>
  <si>
    <t>Amended Filing</t>
  </si>
  <si>
    <t>Proposed Price (Effective 2/23/2025)</t>
  </si>
  <si>
    <t>Full Requirements Demand-Related and Non-EBA-Related Transmission COS</t>
  </si>
  <si>
    <t>Full Requirements Dist. Xfmr/ P&amp;C/ Sub COS</t>
  </si>
  <si>
    <t>Proposed Price- Full Cost</t>
  </si>
  <si>
    <t>Proposed Delivery Facilities Charge</t>
  </si>
  <si>
    <t>Revenue $k-Amended</t>
  </si>
  <si>
    <t>Revenue $k-Proposed</t>
  </si>
  <si>
    <t>Adjustment Ratio</t>
  </si>
  <si>
    <t>Base Period 12 Months Ending December 2023</t>
  </si>
  <si>
    <t>Forecast Period 12 Months Ending December 2025</t>
  </si>
  <si>
    <t>Schedule 1</t>
  </si>
  <si>
    <t>Schedule 135-136-137</t>
  </si>
  <si>
    <t>Schedule 2</t>
  </si>
  <si>
    <t>Schedule 2E</t>
  </si>
  <si>
    <t>Schedule 3</t>
  </si>
  <si>
    <t>Schedule 6-COM</t>
  </si>
  <si>
    <t>Schedule 6-IND</t>
  </si>
  <si>
    <t>Schedule 6-RES</t>
  </si>
  <si>
    <t>Schedule 6 (135-136-137)-COM</t>
  </si>
  <si>
    <t>Schedule 6 (135-136-137)-IND</t>
  </si>
  <si>
    <t>Schedule 6 (135-136-137)-RES</t>
  </si>
  <si>
    <t>Schedule 6A-COM</t>
  </si>
  <si>
    <t>Schedule 6A-IND</t>
  </si>
  <si>
    <t>Schedule 6A-RES</t>
  </si>
  <si>
    <t>Schedule 6A(135-136-137)-COM</t>
  </si>
  <si>
    <t>Schedule 6A(135-136-137)-IND</t>
  </si>
  <si>
    <t>Schedule 6A(135-136-137)-RES</t>
  </si>
  <si>
    <t>Schedule 7-COM</t>
  </si>
  <si>
    <t>Schedule 7-IND</t>
  </si>
  <si>
    <t>Schedule 7-RES</t>
  </si>
  <si>
    <t>Schedule 8-COM</t>
  </si>
  <si>
    <t>Schedule 8-RES</t>
  </si>
  <si>
    <t>Schedule 8(135-136-137)-COM</t>
  </si>
  <si>
    <t>Schedule 9-COM</t>
  </si>
  <si>
    <t>Schedule 9-IND</t>
  </si>
  <si>
    <t>Schedule 9A-COM</t>
  </si>
  <si>
    <t>Schedule 9A-IND</t>
  </si>
  <si>
    <t>Schedule 10</t>
  </si>
  <si>
    <t>Schedule 10(135-136-137)</t>
  </si>
  <si>
    <t>Schedule 15.1 MONL-COM</t>
  </si>
  <si>
    <t>Schedule 15.1 MONL-IND</t>
  </si>
  <si>
    <t>Schedule 15.1 MONL-PSH</t>
  </si>
  <si>
    <t>Schedule 15.2 TOSS-COM</t>
  </si>
  <si>
    <t>Schedule 15.2 TOSS-IND</t>
  </si>
  <si>
    <t>Schedule 15.2 TOSS-PSH</t>
  </si>
  <si>
    <t>Schedule 23-COM</t>
  </si>
  <si>
    <t>Schedule 23-IND</t>
  </si>
  <si>
    <t>Schedule 23-RES</t>
  </si>
  <si>
    <t>Schedule 23 (135-136-137)-COM</t>
  </si>
  <si>
    <t>Schedule 23 (135-136-137)-IND</t>
  </si>
  <si>
    <t>Schedule 23 (135-136-137)-RES</t>
  </si>
  <si>
    <t>Schedule 31-COM</t>
  </si>
  <si>
    <t>Schedule 31-IND</t>
  </si>
  <si>
    <t>First ordered rev increase</t>
  </si>
  <si>
    <t>Settlement proposal</t>
  </si>
  <si>
    <t>Minus Sch 97 WMBA</t>
  </si>
  <si>
    <t>Net of GRC Total</t>
  </si>
  <si>
    <t>Note:</t>
  </si>
  <si>
    <t>1. Present base revenue prior to the last GRC price change.</t>
  </si>
  <si>
    <t>2. Rate spread based on the present base revenue prior to the last GRC price change and the total revenue increase from the last GRC including the proposed $93m.</t>
  </si>
  <si>
    <t>Ratio</t>
  </si>
  <si>
    <t>Total Energy Revenue</t>
  </si>
  <si>
    <t>Target and Conditions</t>
  </si>
  <si>
    <t>total energy revenue</t>
  </si>
  <si>
    <t>off-peak credit %</t>
  </si>
  <si>
    <r>
      <t>Present</t>
    </r>
    <r>
      <rPr>
        <b/>
        <vertAlign val="superscript"/>
        <sz val="12"/>
        <rFont val="Times New Roman"/>
        <family val="1"/>
      </rPr>
      <t xml:space="preserve"> 1</t>
    </r>
  </si>
  <si>
    <r>
      <t>Proposed</t>
    </r>
    <r>
      <rPr>
        <b/>
        <vertAlign val="superscript"/>
        <sz val="12"/>
        <rFont val="Times New Roman"/>
        <family val="1"/>
      </rPr>
      <t>2</t>
    </r>
  </si>
  <si>
    <t>Proposed New Time of Use Option Based on Phase II Stipulation and Order, Docket No. 25-035-T12</t>
  </si>
  <si>
    <t>Target increase</t>
  </si>
  <si>
    <t>Rev Increase ($000)</t>
  </si>
  <si>
    <t>2. Total base revenue increase from the last GRC including the proposed $93m.</t>
  </si>
  <si>
    <t>1. Present base revenue from the last GRC price change, Docket No. 25-035-T10.</t>
  </si>
  <si>
    <t>GRC Settlement Base Rate Impact - GRC Incremental</t>
  </si>
  <si>
    <t>GRC Settlement Base Rate Impact - GRC Total</t>
  </si>
  <si>
    <t>GRC Settlement Rate Spread - GRC Total</t>
  </si>
  <si>
    <t>GRC Settlement Rate Design</t>
  </si>
  <si>
    <t>Proposed New Time of Use Based on Phase II Stipulation and Order, Docket No. 25-035-T12</t>
  </si>
  <si>
    <t>kWh</t>
  </si>
  <si>
    <t>$</t>
  </si>
  <si>
    <t>∆</t>
  </si>
  <si>
    <t>%</t>
  </si>
  <si>
    <t>Monthly Average</t>
  </si>
  <si>
    <t>Rate (%)</t>
  </si>
  <si>
    <t>Deferral $</t>
  </si>
  <si>
    <t>Deferral M</t>
  </si>
  <si>
    <t>Recover M</t>
  </si>
  <si>
    <t>Excluding Energy Charge</t>
  </si>
  <si>
    <t>3. Assuming effective  date from August 10, 2026 to December 31, 2026: 1.3 months deferral of proposed $93m incremental base increase and recovered in 4.7 months.</t>
  </si>
  <si>
    <r>
      <t>Proposed Base</t>
    </r>
    <r>
      <rPr>
        <b/>
        <vertAlign val="superscript"/>
        <sz val="12"/>
        <rFont val="Times New Roman"/>
        <family val="1"/>
      </rPr>
      <t>2</t>
    </r>
  </si>
  <si>
    <t>Net Deferral $</t>
  </si>
  <si>
    <r>
      <t>Present</t>
    </r>
    <r>
      <rPr>
        <b/>
        <vertAlign val="superscript"/>
        <sz val="12"/>
        <rFont val="Times New Roman"/>
        <family val="1"/>
      </rPr>
      <t>3</t>
    </r>
  </si>
  <si>
    <r>
      <t>Proposed</t>
    </r>
    <r>
      <rPr>
        <b/>
        <vertAlign val="superscript"/>
        <sz val="12"/>
        <rFont val="Times New Roman"/>
        <family val="1"/>
      </rPr>
      <t>4</t>
    </r>
  </si>
  <si>
    <t>Sch 92 Deferral</t>
  </si>
  <si>
    <t>4. Assuming effective  date from September 25, 2026 to December 31, 2026: 1.6 months deferral of proposed $93m incremental base increase (7/1/2026-8/20/2026) and recovered in 3.2 months (9/25/2026-12/31/2026).</t>
  </si>
  <si>
    <t>Sch92 Recovered $</t>
  </si>
  <si>
    <t>(8/21-9/24)</t>
  </si>
  <si>
    <t>(7/1-8/20)</t>
  </si>
  <si>
    <t>(9/25-12/31)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</si>
</sst>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6">
    <numFmt numFmtId="5" formatCode="&quot;$&quot;#,##0_);\(&quot;$&quot;#,##0\)"/>
    <numFmt numFmtId="7" formatCode="&quot;$&quot;#,##0.00_);\(&quot;$&quot;#,##0.00\)"/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General_)"/>
    <numFmt numFmtId="165" formatCode="0.0%"/>
    <numFmt numFmtId="166" formatCode="0_);\(0\)"/>
    <numFmt numFmtId="167" formatCode="_(* #,##0_);_(* \(#,##0\);_(* &quot;-&quot;??_);_(@_)"/>
    <numFmt numFmtId="168" formatCode="&quot;$&quot;#,##0.00"/>
    <numFmt numFmtId="169" formatCode="_(&quot;$&quot;* #,##0_);_(&quot;$&quot;* \(#,##0\);_(&quot;$&quot;* &quot;-&quot;??_);_(@_)"/>
    <numFmt numFmtId="170" formatCode="0.0000%"/>
    <numFmt numFmtId="171" formatCode="#,##0.000"/>
    <numFmt numFmtId="172" formatCode="#,##0.000_);\(#,##0.000\)"/>
    <numFmt numFmtId="173" formatCode="0.0000"/>
    <numFmt numFmtId="174" formatCode="0.0000_);[Red]\(0.0000\)"/>
    <numFmt numFmtId="175" formatCode="0.0000_)"/>
    <numFmt numFmtId="176" formatCode="#,##0.00000_);\(#,##0.00000\)"/>
    <numFmt numFmtId="177" formatCode="&quot;$&quot;#,##0"/>
    <numFmt numFmtId="178" formatCode="#,##0.0000_);\(#,##0.0000\)"/>
    <numFmt numFmtId="179" formatCode="_(* #,##0.0000_);_(* \(#,##0.0000\);_(* &quot;-&quot;??_);_(@_)"/>
    <numFmt numFmtId="180" formatCode="#,##0.0000"/>
    <numFmt numFmtId="181" formatCode="#,##0.0"/>
    <numFmt numFmtId="182" formatCode="&quot;$&quot;#,##0.0000_);\(&quot;$&quot;#,##0.0000\)"/>
    <numFmt numFmtId="183" formatCode="0.00000"/>
    <numFmt numFmtId="184" formatCode="#,##0.0_);\(#,##0.0\)"/>
  </numFmts>
  <fonts count="24">
    <font>
      <sz val="10"/>
      <name val="Arial"/>
    </font>
    <font>
      <sz val="11"/>
      <color theme="1"/>
      <name val="Aptos Narrow"/>
      <family val="2"/>
      <scheme val="minor"/>
    </font>
    <font>
      <sz val="12"/>
      <name val="Times New Roman"/>
      <family val="1"/>
    </font>
    <font>
      <b/>
      <sz val="12"/>
      <name val="Times New Roman"/>
      <family val="1"/>
    </font>
    <font>
      <sz val="10"/>
      <name val="Arial"/>
      <family val="2"/>
    </font>
    <font>
      <i/>
      <sz val="12"/>
      <name val="Times New Roman"/>
      <family val="1"/>
    </font>
    <font>
      <sz val="12"/>
      <color rgb="FF3333FF"/>
      <name val="Times New Roman"/>
      <family val="1"/>
    </font>
    <font>
      <b/>
      <sz val="9"/>
      <color indexed="81"/>
      <name val="Tahoma"/>
      <family val="2"/>
    </font>
    <font>
      <b/>
      <sz val="13"/>
      <name val="Times New Roman"/>
      <family val="1"/>
    </font>
    <font>
      <b/>
      <sz val="14"/>
      <name val="Times New Roman"/>
      <family val="1"/>
    </font>
    <font>
      <sz val="12"/>
      <name val="TimesNewRomanPS"/>
    </font>
    <font>
      <b/>
      <sz val="12"/>
      <name val="TimesNewRomanPS"/>
      <family val="1"/>
    </font>
    <font>
      <sz val="12"/>
      <name val="Symbol"/>
      <family val="1"/>
      <charset val="2"/>
    </font>
    <font>
      <sz val="11"/>
      <name val="Times New Roman"/>
      <family val="1"/>
    </font>
    <font>
      <sz val="12"/>
      <name val="Arial"/>
      <family val="2"/>
    </font>
    <font>
      <b/>
      <u/>
      <sz val="12"/>
      <name val="Times New Roman"/>
      <family val="1"/>
    </font>
    <font>
      <b/>
      <i/>
      <u/>
      <sz val="12"/>
      <name val="Times New Roman"/>
      <family val="1"/>
    </font>
    <font>
      <i/>
      <u/>
      <sz val="12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color rgb="FF3333FF"/>
      <name val="Times New Roman"/>
      <family val="1"/>
    </font>
    <font>
      <b/>
      <i/>
      <sz val="12"/>
      <name val="Times New Roman"/>
      <family val="1"/>
    </font>
    <font>
      <b/>
      <vertAlign val="superscript"/>
      <sz val="12"/>
      <name val="Times New Roman"/>
      <family val="1"/>
    </font>
    <font>
      <b/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double">
        <color indexed="8"/>
      </bottom>
      <diagonal/>
    </border>
    <border>
      <left/>
      <right/>
      <top style="thin">
        <color indexed="8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/>
      <top style="double">
        <color indexed="64"/>
      </top>
      <bottom style="thin">
        <color indexed="64"/>
      </bottom>
      <diagonal/>
    </border>
  </borders>
  <cellStyleXfs count="14">
    <xf numFmtId="0" fontId="0" fillId="0" borderId="0"/>
    <xf numFmtId="164" fontId="2" fillId="0" borderId="0"/>
    <xf numFmtId="0" fontId="2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2" fillId="0" borderId="0"/>
    <xf numFmtId="164" fontId="2" fillId="0" borderId="0"/>
    <xf numFmtId="0" fontId="10" fillId="0" borderId="0"/>
    <xf numFmtId="164" fontId="2" fillId="0" borderId="0"/>
    <xf numFmtId="9" fontId="4" fillId="0" borderId="0" applyFont="0" applyFill="0" applyBorder="0" applyAlignment="0" applyProtection="0"/>
    <xf numFmtId="0" fontId="1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" fillId="0" borderId="0"/>
  </cellStyleXfs>
  <cellXfs count="322">
    <xf numFmtId="0" fontId="0" fillId="0" borderId="0" xfId="0"/>
    <xf numFmtId="164" fontId="3" fillId="0" borderId="0" xfId="1" applyFont="1" applyAlignment="1">
      <alignment horizontal="centerContinuous"/>
    </xf>
    <xf numFmtId="37" fontId="3" fillId="0" borderId="0" xfId="1" applyNumberFormat="1" applyFont="1" applyAlignment="1">
      <alignment horizontal="centerContinuous"/>
    </xf>
    <xf numFmtId="5" fontId="3" fillId="0" borderId="0" xfId="1" applyNumberFormat="1" applyFont="1" applyAlignment="1">
      <alignment horizontal="centerContinuous"/>
    </xf>
    <xf numFmtId="164" fontId="2" fillId="0" borderId="0" xfId="1"/>
    <xf numFmtId="2" fontId="2" fillId="0" borderId="0" xfId="1" applyNumberFormat="1"/>
    <xf numFmtId="0" fontId="2" fillId="0" borderId="0" xfId="2" applyAlignment="1">
      <alignment horizontal="centerContinuous"/>
    </xf>
    <xf numFmtId="37" fontId="2" fillId="0" borderId="0" xfId="2" applyNumberFormat="1" applyAlignment="1">
      <alignment horizontal="centerContinuous"/>
    </xf>
    <xf numFmtId="5" fontId="2" fillId="0" borderId="0" xfId="2" applyNumberFormat="1" applyAlignment="1">
      <alignment horizontal="centerContinuous"/>
    </xf>
    <xf numFmtId="0" fontId="2" fillId="0" borderId="0" xfId="2"/>
    <xf numFmtId="164" fontId="3" fillId="0" borderId="0" xfId="1" applyFont="1" applyAlignment="1">
      <alignment horizontal="left"/>
    </xf>
    <xf numFmtId="164" fontId="3" fillId="0" borderId="0" xfId="1" applyFont="1" applyAlignment="1">
      <alignment horizontal="center"/>
    </xf>
    <xf numFmtId="37" fontId="2" fillId="0" borderId="0" xfId="1" applyNumberFormat="1"/>
    <xf numFmtId="5" fontId="3" fillId="0" borderId="0" xfId="1" applyNumberFormat="1" applyFont="1" applyAlignment="1">
      <alignment horizontal="center"/>
    </xf>
    <xf numFmtId="5" fontId="3" fillId="0" borderId="0" xfId="1" applyNumberFormat="1" applyFont="1" applyAlignment="1">
      <alignment horizontal="left"/>
    </xf>
    <xf numFmtId="37" fontId="3" fillId="0" borderId="0" xfId="1" applyNumberFormat="1" applyFont="1" applyAlignment="1">
      <alignment horizontal="center"/>
    </xf>
    <xf numFmtId="5" fontId="3" fillId="0" borderId="1" xfId="1" applyNumberFormat="1" applyFont="1" applyBorder="1" applyAlignment="1">
      <alignment horizontal="centerContinuous"/>
    </xf>
    <xf numFmtId="164" fontId="3" fillId="0" borderId="1" xfId="1" applyFont="1" applyBorder="1" applyAlignment="1">
      <alignment horizontal="centerContinuous"/>
    </xf>
    <xf numFmtId="165" fontId="3" fillId="0" borderId="1" xfId="1" applyNumberFormat="1" applyFont="1" applyBorder="1" applyAlignment="1">
      <alignment horizontal="centerContinuous"/>
    </xf>
    <xf numFmtId="164" fontId="3" fillId="0" borderId="0" xfId="1" applyFont="1"/>
    <xf numFmtId="164" fontId="3" fillId="0" borderId="1" xfId="1" applyFont="1" applyBorder="1"/>
    <xf numFmtId="164" fontId="3" fillId="0" borderId="1" xfId="1" applyFont="1" applyBorder="1" applyAlignment="1">
      <alignment horizontal="center"/>
    </xf>
    <xf numFmtId="37" fontId="3" fillId="0" borderId="1" xfId="1" applyNumberFormat="1" applyFont="1" applyBorder="1" applyAlignment="1">
      <alignment horizontal="center"/>
    </xf>
    <xf numFmtId="5" fontId="3" fillId="0" borderId="1" xfId="1" quotePrefix="1" applyNumberFormat="1" applyFont="1" applyBorder="1" applyAlignment="1">
      <alignment horizontal="center"/>
    </xf>
    <xf numFmtId="5" fontId="3" fillId="0" borderId="0" xfId="1" applyNumberFormat="1" applyFont="1"/>
    <xf numFmtId="165" fontId="3" fillId="0" borderId="1" xfId="1" applyNumberFormat="1" applyFont="1" applyBorder="1" applyAlignment="1">
      <alignment horizontal="center"/>
    </xf>
    <xf numFmtId="37" fontId="3" fillId="0" borderId="0" xfId="1" quotePrefix="1" applyNumberFormat="1" applyFont="1" applyAlignment="1">
      <alignment horizontal="center"/>
    </xf>
    <xf numFmtId="166" fontId="3" fillId="0" borderId="0" xfId="1" quotePrefix="1" applyNumberFormat="1" applyFont="1" applyAlignment="1">
      <alignment horizontal="center"/>
    </xf>
    <xf numFmtId="37" fontId="3" fillId="0" borderId="0" xfId="1" applyNumberFormat="1" applyFont="1"/>
    <xf numFmtId="165" fontId="3" fillId="0" borderId="0" xfId="1" applyNumberFormat="1" applyFont="1" applyAlignment="1">
      <alignment horizontal="center"/>
    </xf>
    <xf numFmtId="5" fontId="2" fillId="0" borderId="0" xfId="1" applyNumberFormat="1"/>
    <xf numFmtId="164" fontId="2" fillId="0" borderId="0" xfId="1" quotePrefix="1" applyAlignment="1">
      <alignment horizontal="right"/>
    </xf>
    <xf numFmtId="167" fontId="2" fillId="0" borderId="0" xfId="3" applyNumberFormat="1" applyFont="1" applyFill="1"/>
    <xf numFmtId="5" fontId="2" fillId="0" borderId="0" xfId="4" applyNumberFormat="1" applyFont="1" applyFill="1"/>
    <xf numFmtId="165" fontId="2" fillId="0" borderId="0" xfId="1" applyNumberFormat="1"/>
    <xf numFmtId="164" fontId="2" fillId="0" borderId="0" xfId="1" applyAlignment="1">
      <alignment horizontal="right"/>
    </xf>
    <xf numFmtId="164" fontId="2" fillId="0" borderId="1" xfId="1" applyBorder="1"/>
    <xf numFmtId="164" fontId="2" fillId="0" borderId="1" xfId="1" applyBorder="1" applyAlignment="1">
      <alignment horizontal="right"/>
    </xf>
    <xf numFmtId="5" fontId="2" fillId="0" borderId="1" xfId="4" applyNumberFormat="1" applyFont="1" applyFill="1" applyBorder="1"/>
    <xf numFmtId="165" fontId="2" fillId="0" borderId="1" xfId="1" applyNumberFormat="1" applyBorder="1"/>
    <xf numFmtId="167" fontId="2" fillId="0" borderId="1" xfId="3" applyNumberFormat="1" applyFont="1" applyFill="1" applyBorder="1"/>
    <xf numFmtId="164" fontId="5" fillId="0" borderId="0" xfId="1" applyFont="1"/>
    <xf numFmtId="167" fontId="5" fillId="0" borderId="0" xfId="3" applyNumberFormat="1" applyFont="1" applyFill="1"/>
    <xf numFmtId="5" fontId="5" fillId="0" borderId="0" xfId="4" applyNumberFormat="1" applyFont="1" applyFill="1"/>
    <xf numFmtId="5" fontId="5" fillId="0" borderId="0" xfId="1" applyNumberFormat="1" applyFont="1"/>
    <xf numFmtId="165" fontId="5" fillId="0" borderId="0" xfId="1" applyNumberFormat="1" applyFont="1"/>
    <xf numFmtId="5" fontId="2" fillId="0" borderId="0" xfId="3" applyNumberFormat="1" applyFont="1" applyFill="1"/>
    <xf numFmtId="169" fontId="2" fillId="0" borderId="0" xfId="4" applyNumberFormat="1" applyFont="1" applyFill="1"/>
    <xf numFmtId="169" fontId="2" fillId="0" borderId="0" xfId="1" applyNumberFormat="1"/>
    <xf numFmtId="167" fontId="2" fillId="0" borderId="1" xfId="3" applyNumberFormat="1" applyFont="1" applyFill="1" applyBorder="1" applyAlignment="1">
      <alignment horizontal="right"/>
    </xf>
    <xf numFmtId="164" fontId="3" fillId="0" borderId="3" xfId="1" applyFont="1" applyBorder="1"/>
    <xf numFmtId="164" fontId="2" fillId="0" borderId="3" xfId="1" applyBorder="1"/>
    <xf numFmtId="165" fontId="2" fillId="0" borderId="3" xfId="1" applyNumberFormat="1" applyBorder="1"/>
    <xf numFmtId="164" fontId="3" fillId="0" borderId="9" xfId="1" applyFont="1" applyBorder="1"/>
    <xf numFmtId="164" fontId="2" fillId="0" borderId="9" xfId="1" applyBorder="1"/>
    <xf numFmtId="167" fontId="2" fillId="0" borderId="10" xfId="3" applyNumberFormat="1" applyFont="1" applyFill="1" applyBorder="1"/>
    <xf numFmtId="5" fontId="2" fillId="0" borderId="10" xfId="4" applyNumberFormat="1" applyFont="1" applyFill="1" applyBorder="1"/>
    <xf numFmtId="165" fontId="2" fillId="0" borderId="9" xfId="1" applyNumberFormat="1" applyBorder="1"/>
    <xf numFmtId="5" fontId="3" fillId="0" borderId="3" xfId="1" applyNumberFormat="1" applyFont="1" applyBorder="1" applyAlignment="1">
      <alignment horizontal="centerContinuous"/>
    </xf>
    <xf numFmtId="10" fontId="2" fillId="0" borderId="0" xfId="1" applyNumberFormat="1"/>
    <xf numFmtId="170" fontId="2" fillId="0" borderId="0" xfId="1" applyNumberFormat="1"/>
    <xf numFmtId="5" fontId="2" fillId="0" borderId="0" xfId="1" applyNumberFormat="1" applyAlignment="1">
      <alignment horizontal="center"/>
    </xf>
    <xf numFmtId="5" fontId="2" fillId="0" borderId="0" xfId="1" applyNumberFormat="1" applyAlignment="1">
      <alignment horizontal="right"/>
    </xf>
    <xf numFmtId="5" fontId="6" fillId="0" borderId="0" xfId="1" applyNumberFormat="1" applyFont="1"/>
    <xf numFmtId="164" fontId="2" fillId="0" borderId="0" xfId="1" applyAlignment="1">
      <alignment horizontal="center"/>
    </xf>
    <xf numFmtId="171" fontId="2" fillId="0" borderId="0" xfId="1" applyNumberFormat="1"/>
    <xf numFmtId="10" fontId="2" fillId="0" borderId="0" xfId="1" applyNumberFormat="1" applyAlignment="1">
      <alignment horizontal="center"/>
    </xf>
    <xf numFmtId="10" fontId="6" fillId="0" borderId="0" xfId="1" applyNumberFormat="1" applyFont="1"/>
    <xf numFmtId="37" fontId="2" fillId="0" borderId="0" xfId="1" quotePrefix="1" applyNumberFormat="1" applyAlignment="1">
      <alignment horizontal="right"/>
    </xf>
    <xf numFmtId="37" fontId="2" fillId="0" borderId="0" xfId="1" applyNumberFormat="1" applyAlignment="1">
      <alignment horizontal="right"/>
    </xf>
    <xf numFmtId="0" fontId="8" fillId="0" borderId="0" xfId="5" applyFont="1" applyAlignment="1">
      <alignment horizontal="centerContinuous"/>
    </xf>
    <xf numFmtId="164" fontId="9" fillId="0" borderId="0" xfId="6" applyFont="1" applyAlignment="1">
      <alignment horizontal="centerContinuous"/>
    </xf>
    <xf numFmtId="164" fontId="2" fillId="0" borderId="0" xfId="6"/>
    <xf numFmtId="0" fontId="2" fillId="0" borderId="0" xfId="6" applyNumberFormat="1"/>
    <xf numFmtId="37" fontId="11" fillId="0" borderId="0" xfId="7" applyNumberFormat="1" applyFont="1" applyAlignment="1">
      <alignment horizontal="centerContinuous"/>
    </xf>
    <xf numFmtId="166" fontId="11" fillId="0" borderId="0" xfId="7" applyNumberFormat="1" applyFont="1" applyAlignment="1">
      <alignment horizontal="centerContinuous"/>
    </xf>
    <xf numFmtId="166" fontId="11" fillId="0" borderId="0" xfId="7" applyNumberFormat="1" applyFont="1" applyAlignment="1">
      <alignment horizontal="left"/>
    </xf>
    <xf numFmtId="164" fontId="3" fillId="0" borderId="1" xfId="6" quotePrefix="1" applyFont="1" applyBorder="1" applyAlignment="1">
      <alignment horizontal="centerContinuous"/>
    </xf>
    <xf numFmtId="164" fontId="3" fillId="0" borderId="1" xfId="6" applyFont="1" applyBorder="1" applyAlignment="1">
      <alignment horizontal="centerContinuous"/>
    </xf>
    <xf numFmtId="166" fontId="11" fillId="0" borderId="1" xfId="7" applyNumberFormat="1" applyFont="1" applyBorder="1" applyAlignment="1">
      <alignment horizontal="centerContinuous"/>
    </xf>
    <xf numFmtId="37" fontId="11" fillId="0" borderId="1" xfId="7" applyNumberFormat="1" applyFont="1" applyBorder="1" applyAlignment="1">
      <alignment horizontal="centerContinuous"/>
    </xf>
    <xf numFmtId="166" fontId="11" fillId="0" borderId="0" xfId="7" applyNumberFormat="1" applyFont="1" applyAlignment="1">
      <alignment horizontal="center"/>
    </xf>
    <xf numFmtId="164" fontId="3" fillId="0" borderId="0" xfId="6" applyFont="1" applyAlignment="1">
      <alignment horizontal="center"/>
    </xf>
    <xf numFmtId="166" fontId="11" fillId="0" borderId="3" xfId="7" applyNumberFormat="1" applyFont="1" applyBorder="1" applyAlignment="1">
      <alignment horizontal="centerContinuous"/>
    </xf>
    <xf numFmtId="164" fontId="3" fillId="0" borderId="3" xfId="6" applyFont="1" applyBorder="1" applyAlignment="1">
      <alignment horizontal="centerContinuous"/>
    </xf>
    <xf numFmtId="37" fontId="11" fillId="0" borderId="1" xfId="7" applyNumberFormat="1" applyFont="1" applyBorder="1" applyAlignment="1">
      <alignment horizontal="center"/>
    </xf>
    <xf numFmtId="37" fontId="11" fillId="0" borderId="0" xfId="7" applyNumberFormat="1" applyFont="1" applyAlignment="1">
      <alignment horizontal="center"/>
    </xf>
    <xf numFmtId="164" fontId="3" fillId="0" borderId="12" xfId="6" quotePrefix="1" applyFont="1" applyBorder="1" applyAlignment="1">
      <alignment horizontal="center"/>
    </xf>
    <xf numFmtId="10" fontId="2" fillId="0" borderId="0" xfId="8" applyNumberFormat="1"/>
    <xf numFmtId="164" fontId="2" fillId="0" borderId="0" xfId="8"/>
    <xf numFmtId="0" fontId="3" fillId="0" borderId="0" xfId="6" applyNumberFormat="1" applyFont="1" applyAlignment="1">
      <alignment horizontal="left"/>
    </xf>
    <xf numFmtId="172" fontId="2" fillId="0" borderId="0" xfId="6" applyNumberFormat="1"/>
    <xf numFmtId="37" fontId="2" fillId="0" borderId="0" xfId="6" applyNumberFormat="1"/>
    <xf numFmtId="0" fontId="2" fillId="0" borderId="0" xfId="6" applyNumberFormat="1" applyAlignment="1">
      <alignment horizontal="left"/>
    </xf>
    <xf numFmtId="37" fontId="2" fillId="0" borderId="0" xfId="6" applyNumberFormat="1" applyProtection="1">
      <protection locked="0"/>
    </xf>
    <xf numFmtId="7" fontId="2" fillId="0" borderId="0" xfId="6" applyNumberFormat="1" applyProtection="1">
      <protection locked="0"/>
    </xf>
    <xf numFmtId="5" fontId="2" fillId="0" borderId="0" xfId="6" applyNumberFormat="1"/>
    <xf numFmtId="10" fontId="2" fillId="0" borderId="0" xfId="9" quotePrefix="1" applyNumberFormat="1" applyFont="1" applyFill="1"/>
    <xf numFmtId="37" fontId="2" fillId="0" borderId="0" xfId="8" applyNumberFormat="1" applyProtection="1">
      <protection locked="0"/>
    </xf>
    <xf numFmtId="164" fontId="2" fillId="0" borderId="2" xfId="8" applyBorder="1"/>
    <xf numFmtId="164" fontId="2" fillId="0" borderId="4" xfId="8" applyBorder="1"/>
    <xf numFmtId="164" fontId="2" fillId="0" borderId="0" xfId="6" applyAlignment="1">
      <alignment horizontal="right"/>
    </xf>
    <xf numFmtId="173" fontId="2" fillId="0" borderId="0" xfId="6" applyNumberFormat="1"/>
    <xf numFmtId="164" fontId="2" fillId="0" borderId="13" xfId="8" applyBorder="1"/>
    <xf numFmtId="5" fontId="2" fillId="0" borderId="14" xfId="8" applyNumberFormat="1" applyBorder="1"/>
    <xf numFmtId="164" fontId="2" fillId="0" borderId="0" xfId="6" quotePrefix="1" applyAlignment="1">
      <alignment horizontal="center"/>
    </xf>
    <xf numFmtId="164" fontId="2" fillId="0" borderId="5" xfId="8" applyBorder="1"/>
    <xf numFmtId="5" fontId="2" fillId="0" borderId="6" xfId="8" applyNumberFormat="1" applyBorder="1"/>
    <xf numFmtId="164" fontId="2" fillId="0" borderId="0" xfId="6" quotePrefix="1" applyAlignment="1">
      <alignment horizontal="right"/>
    </xf>
    <xf numFmtId="164" fontId="12" fillId="0" borderId="7" xfId="8" applyFont="1" applyBorder="1"/>
    <xf numFmtId="5" fontId="2" fillId="0" borderId="8" xfId="8" applyNumberFormat="1" applyBorder="1"/>
    <xf numFmtId="9" fontId="2" fillId="0" borderId="0" xfId="8" applyNumberFormat="1"/>
    <xf numFmtId="165" fontId="2" fillId="0" borderId="14" xfId="8" applyNumberFormat="1" applyBorder="1"/>
    <xf numFmtId="165" fontId="2" fillId="0" borderId="6" xfId="8" applyNumberFormat="1" applyBorder="1"/>
    <xf numFmtId="174" fontId="2" fillId="0" borderId="0" xfId="6" applyNumberFormat="1" applyProtection="1">
      <protection locked="0"/>
    </xf>
    <xf numFmtId="164" fontId="2" fillId="0" borderId="0" xfId="6" applyAlignment="1">
      <alignment horizontal="center"/>
    </xf>
    <xf numFmtId="165" fontId="2" fillId="0" borderId="6" xfId="3" applyNumberFormat="1" applyFont="1" applyFill="1" applyBorder="1"/>
    <xf numFmtId="164" fontId="2" fillId="0" borderId="5" xfId="6" applyBorder="1"/>
    <xf numFmtId="164" fontId="2" fillId="0" borderId="6" xfId="6" applyBorder="1"/>
    <xf numFmtId="2" fontId="2" fillId="0" borderId="0" xfId="6" applyNumberFormat="1" applyAlignment="1">
      <alignment horizontal="right"/>
    </xf>
    <xf numFmtId="0" fontId="2" fillId="0" borderId="0" xfId="5"/>
    <xf numFmtId="10" fontId="2" fillId="0" borderId="0" xfId="6" applyNumberFormat="1"/>
    <xf numFmtId="173" fontId="2" fillId="0" borderId="6" xfId="6" applyNumberFormat="1" applyBorder="1"/>
    <xf numFmtId="173" fontId="2" fillId="0" borderId="0" xfId="6" applyNumberFormat="1" applyAlignment="1">
      <alignment horizontal="right"/>
    </xf>
    <xf numFmtId="164" fontId="2" fillId="0" borderId="7" xfId="8" applyBorder="1"/>
    <xf numFmtId="9" fontId="2" fillId="0" borderId="8" xfId="8" applyNumberFormat="1" applyBorder="1"/>
    <xf numFmtId="164" fontId="5" fillId="0" borderId="0" xfId="6" applyFont="1"/>
    <xf numFmtId="175" fontId="2" fillId="0" borderId="0" xfId="6" applyNumberFormat="1" applyProtection="1">
      <protection locked="0"/>
    </xf>
    <xf numFmtId="3" fontId="2" fillId="0" borderId="0" xfId="0" applyNumberFormat="1" applyFont="1"/>
    <xf numFmtId="0" fontId="2" fillId="0" borderId="0" xfId="8" applyNumberFormat="1" applyAlignment="1">
      <alignment horizontal="left"/>
    </xf>
    <xf numFmtId="164" fontId="5" fillId="0" borderId="0" xfId="8" applyFont="1"/>
    <xf numFmtId="175" fontId="2" fillId="0" borderId="0" xfId="8" applyNumberFormat="1" applyProtection="1">
      <protection locked="0"/>
    </xf>
    <xf numFmtId="175" fontId="2" fillId="2" borderId="0" xfId="8" applyNumberFormat="1" applyFill="1" applyProtection="1">
      <protection locked="0"/>
    </xf>
    <xf numFmtId="0" fontId="2" fillId="0" borderId="10" xfId="6" applyNumberFormat="1" applyBorder="1" applyAlignment="1">
      <alignment horizontal="left"/>
    </xf>
    <xf numFmtId="164" fontId="2" fillId="0" borderId="10" xfId="6" applyBorder="1"/>
    <xf numFmtId="37" fontId="2" fillId="0" borderId="10" xfId="6" applyNumberFormat="1" applyBorder="1"/>
    <xf numFmtId="5" fontId="2" fillId="0" borderId="10" xfId="6" applyNumberFormat="1" applyBorder="1"/>
    <xf numFmtId="176" fontId="2" fillId="0" borderId="0" xfId="6" applyNumberFormat="1"/>
    <xf numFmtId="177" fontId="2" fillId="0" borderId="0" xfId="6" applyNumberFormat="1"/>
    <xf numFmtId="0" fontId="3" fillId="0" borderId="0" xfId="8" applyNumberFormat="1" applyFont="1" applyAlignment="1">
      <alignment horizontal="left"/>
    </xf>
    <xf numFmtId="7" fontId="2" fillId="0" borderId="0" xfId="8" applyNumberFormat="1" applyProtection="1">
      <protection locked="0"/>
    </xf>
    <xf numFmtId="178" fontId="2" fillId="0" borderId="0" xfId="8" applyNumberFormat="1" applyProtection="1">
      <protection locked="0"/>
    </xf>
    <xf numFmtId="7" fontId="2" fillId="2" borderId="0" xfId="6" applyNumberFormat="1" applyFill="1" applyProtection="1">
      <protection locked="0"/>
    </xf>
    <xf numFmtId="2" fontId="2" fillId="0" borderId="0" xfId="8" applyNumberFormat="1"/>
    <xf numFmtId="179" fontId="2" fillId="0" borderId="0" xfId="3" applyNumberFormat="1" applyFont="1" applyFill="1"/>
    <xf numFmtId="10" fontId="2" fillId="0" borderId="0" xfId="9" applyNumberFormat="1" applyFont="1" applyFill="1"/>
    <xf numFmtId="5" fontId="2" fillId="0" borderId="0" xfId="8" applyNumberFormat="1"/>
    <xf numFmtId="7" fontId="2" fillId="0" borderId="0" xfId="6" applyNumberFormat="1"/>
    <xf numFmtId="10" fontId="2" fillId="0" borderId="6" xfId="8" applyNumberFormat="1" applyBorder="1"/>
    <xf numFmtId="10" fontId="2" fillId="0" borderId="14" xfId="8" applyNumberFormat="1" applyBorder="1"/>
    <xf numFmtId="175" fontId="2" fillId="0" borderId="0" xfId="6" applyNumberFormat="1"/>
    <xf numFmtId="10" fontId="2" fillId="0" borderId="8" xfId="8" applyNumberFormat="1" applyBorder="1"/>
    <xf numFmtId="10" fontId="2" fillId="0" borderId="4" xfId="8" applyNumberFormat="1" applyBorder="1"/>
    <xf numFmtId="2" fontId="2" fillId="0" borderId="0" xfId="9" applyNumberFormat="1" applyFont="1" applyFill="1" applyBorder="1"/>
    <xf numFmtId="10" fontId="2" fillId="0" borderId="0" xfId="6" applyNumberFormat="1" applyAlignment="1">
      <alignment horizontal="right"/>
    </xf>
    <xf numFmtId="178" fontId="2" fillId="0" borderId="0" xfId="6" applyNumberFormat="1"/>
    <xf numFmtId="0" fontId="4" fillId="0" borderId="0" xfId="0" applyFont="1"/>
    <xf numFmtId="0" fontId="2" fillId="0" borderId="15" xfId="0" applyFont="1" applyBorder="1"/>
    <xf numFmtId="8" fontId="13" fillId="0" borderId="0" xfId="0" applyNumberFormat="1" applyFont="1"/>
    <xf numFmtId="0" fontId="2" fillId="0" borderId="0" xfId="0" applyFont="1"/>
    <xf numFmtId="37" fontId="2" fillId="0" borderId="10" xfId="6" applyNumberFormat="1" applyBorder="1" applyProtection="1">
      <protection locked="0"/>
    </xf>
    <xf numFmtId="180" fontId="2" fillId="0" borderId="0" xfId="6" applyNumberFormat="1" applyProtection="1">
      <protection locked="0"/>
    </xf>
    <xf numFmtId="165" fontId="2" fillId="0" borderId="8" xfId="8" applyNumberFormat="1" applyBorder="1"/>
    <xf numFmtId="0" fontId="14" fillId="0" borderId="0" xfId="10"/>
    <xf numFmtId="164" fontId="12" fillId="0" borderId="5" xfId="8" applyFont="1" applyBorder="1"/>
    <xf numFmtId="164" fontId="2" fillId="0" borderId="0" xfId="6" applyProtection="1">
      <protection locked="0"/>
    </xf>
    <xf numFmtId="173" fontId="2" fillId="0" borderId="0" xfId="6" applyNumberFormat="1" applyProtection="1">
      <protection locked="0"/>
    </xf>
    <xf numFmtId="2" fontId="2" fillId="0" borderId="8" xfId="8" applyNumberFormat="1" applyBorder="1"/>
    <xf numFmtId="178" fontId="2" fillId="0" borderId="0" xfId="6" applyNumberFormat="1" applyProtection="1">
      <protection locked="0"/>
    </xf>
    <xf numFmtId="177" fontId="2" fillId="0" borderId="8" xfId="8" applyNumberFormat="1" applyBorder="1"/>
    <xf numFmtId="181" fontId="2" fillId="0" borderId="0" xfId="6" applyNumberFormat="1"/>
    <xf numFmtId="37" fontId="2" fillId="0" borderId="1" xfId="6" applyNumberFormat="1" applyBorder="1"/>
    <xf numFmtId="175" fontId="2" fillId="0" borderId="1" xfId="6" applyNumberFormat="1" applyBorder="1"/>
    <xf numFmtId="0" fontId="2" fillId="0" borderId="1" xfId="5" applyBorder="1"/>
    <xf numFmtId="5" fontId="2" fillId="0" borderId="1" xfId="6" applyNumberFormat="1" applyBorder="1"/>
    <xf numFmtId="0" fontId="4" fillId="0" borderId="1" xfId="0" applyFont="1" applyBorder="1"/>
    <xf numFmtId="164" fontId="3" fillId="0" borderId="0" xfId="6" applyFont="1" applyAlignment="1">
      <alignment horizontal="left"/>
    </xf>
    <xf numFmtId="164" fontId="2" fillId="0" borderId="0" xfId="6" applyAlignment="1">
      <alignment horizontal="left"/>
    </xf>
    <xf numFmtId="164" fontId="2" fillId="0" borderId="10" xfId="6" applyBorder="1" applyAlignment="1">
      <alignment horizontal="left"/>
    </xf>
    <xf numFmtId="177" fontId="2" fillId="0" borderId="10" xfId="11" applyNumberFormat="1" applyFont="1" applyFill="1" applyBorder="1"/>
    <xf numFmtId="0" fontId="15" fillId="0" borderId="0" xfId="6" quotePrefix="1" applyNumberFormat="1" applyFont="1" applyAlignment="1">
      <alignment horizontal="left"/>
    </xf>
    <xf numFmtId="0" fontId="5" fillId="0" borderId="0" xfId="6" applyNumberFormat="1" applyFont="1" applyAlignment="1">
      <alignment horizontal="left"/>
    </xf>
    <xf numFmtId="179" fontId="2" fillId="0" borderId="0" xfId="3" applyNumberFormat="1" applyFont="1" applyFill="1" applyBorder="1" applyProtection="1">
      <protection locked="0"/>
    </xf>
    <xf numFmtId="37" fontId="2" fillId="0" borderId="12" xfId="6" applyNumberFormat="1" applyBorder="1"/>
    <xf numFmtId="164" fontId="2" fillId="0" borderId="12" xfId="6" applyBorder="1"/>
    <xf numFmtId="5" fontId="2" fillId="0" borderId="12" xfId="6" applyNumberFormat="1" applyBorder="1"/>
    <xf numFmtId="0" fontId="3" fillId="0" borderId="0" xfId="6" applyNumberFormat="1" applyFont="1"/>
    <xf numFmtId="37" fontId="2" fillId="0" borderId="12" xfId="6" applyNumberFormat="1" applyBorder="1" applyProtection="1">
      <protection locked="0"/>
    </xf>
    <xf numFmtId="177" fontId="2" fillId="0" borderId="10" xfId="3" applyNumberFormat="1" applyFont="1" applyFill="1" applyBorder="1"/>
    <xf numFmtId="0" fontId="2" fillId="0" borderId="10" xfId="6" applyNumberFormat="1" applyBorder="1"/>
    <xf numFmtId="10" fontId="2" fillId="0" borderId="0" xfId="12" applyNumberFormat="1" applyFont="1" applyFill="1"/>
    <xf numFmtId="10" fontId="2" fillId="0" borderId="0" xfId="12" applyNumberFormat="1" applyFont="1" applyFill="1" applyBorder="1"/>
    <xf numFmtId="0" fontId="16" fillId="0" borderId="0" xfId="6" applyNumberFormat="1" applyFont="1" applyAlignment="1">
      <alignment horizontal="left"/>
    </xf>
    <xf numFmtId="37" fontId="2" fillId="0" borderId="0" xfId="8" applyNumberFormat="1"/>
    <xf numFmtId="182" fontId="2" fillId="0" borderId="0" xfId="6" applyNumberFormat="1" applyProtection="1">
      <protection locked="0"/>
    </xf>
    <xf numFmtId="182" fontId="2" fillId="0" borderId="0" xfId="6" applyNumberFormat="1"/>
    <xf numFmtId="178" fontId="2" fillId="0" borderId="1" xfId="6" applyNumberFormat="1" applyBorder="1"/>
    <xf numFmtId="0" fontId="9" fillId="0" borderId="15" xfId="0" applyFont="1" applyBorder="1" applyAlignment="1">
      <alignment horizontal="left"/>
    </xf>
    <xf numFmtId="168" fontId="2" fillId="0" borderId="0" xfId="6" applyNumberFormat="1" applyProtection="1">
      <protection locked="0"/>
    </xf>
    <xf numFmtId="168" fontId="2" fillId="0" borderId="0" xfId="6" applyNumberFormat="1"/>
    <xf numFmtId="183" fontId="2" fillId="0" borderId="0" xfId="6" applyNumberFormat="1"/>
    <xf numFmtId="178" fontId="2" fillId="0" borderId="0" xfId="8" applyNumberFormat="1"/>
    <xf numFmtId="0" fontId="17" fillId="0" borderId="0" xfId="6" applyNumberFormat="1" applyFont="1" applyAlignment="1">
      <alignment horizontal="left"/>
    </xf>
    <xf numFmtId="7" fontId="2" fillId="0" borderId="0" xfId="8" applyNumberFormat="1"/>
    <xf numFmtId="178" fontId="2" fillId="0" borderId="1" xfId="8" applyNumberFormat="1" applyBorder="1"/>
    <xf numFmtId="37" fontId="2" fillId="0" borderId="16" xfId="6" applyNumberFormat="1" applyBorder="1"/>
    <xf numFmtId="164" fontId="2" fillId="0" borderId="16" xfId="6" applyBorder="1"/>
    <xf numFmtId="5" fontId="2" fillId="0" borderId="16" xfId="6" applyNumberFormat="1" applyBorder="1"/>
    <xf numFmtId="175" fontId="2" fillId="0" borderId="10" xfId="6" applyNumberFormat="1" applyBorder="1"/>
    <xf numFmtId="4" fontId="2" fillId="0" borderId="0" xfId="6" applyNumberFormat="1"/>
    <xf numFmtId="5" fontId="2" fillId="0" borderId="0" xfId="6" applyNumberFormat="1" applyProtection="1">
      <protection locked="0"/>
    </xf>
    <xf numFmtId="2" fontId="2" fillId="0" borderId="0" xfId="6" applyNumberFormat="1"/>
    <xf numFmtId="37" fontId="2" fillId="0" borderId="17" xfId="6" applyNumberFormat="1" applyBorder="1"/>
    <xf numFmtId="5" fontId="2" fillId="0" borderId="17" xfId="6" applyNumberFormat="1" applyBorder="1"/>
    <xf numFmtId="182" fontId="2" fillId="0" borderId="1" xfId="6" applyNumberFormat="1" applyBorder="1"/>
    <xf numFmtId="37" fontId="2" fillId="0" borderId="16" xfId="6" applyNumberFormat="1" applyBorder="1" applyProtection="1">
      <protection locked="0"/>
    </xf>
    <xf numFmtId="167" fontId="2" fillId="0" borderId="0" xfId="11" applyNumberFormat="1" applyFont="1" applyFill="1"/>
    <xf numFmtId="167" fontId="2" fillId="0" borderId="10" xfId="11" applyNumberFormat="1" applyFont="1" applyFill="1" applyBorder="1"/>
    <xf numFmtId="167" fontId="2" fillId="0" borderId="0" xfId="11" applyNumberFormat="1" applyFont="1" applyFill="1" applyBorder="1"/>
    <xf numFmtId="0" fontId="3" fillId="0" borderId="0" xfId="5" applyFont="1" applyAlignment="1">
      <alignment horizontal="centerContinuous"/>
    </xf>
    <xf numFmtId="164" fontId="3" fillId="0" borderId="0" xfId="6" applyFont="1" applyAlignment="1">
      <alignment horizontal="centerContinuous"/>
    </xf>
    <xf numFmtId="0" fontId="18" fillId="0" borderId="0" xfId="0" applyFont="1" applyAlignment="1">
      <alignment horizontal="centerContinuous"/>
    </xf>
    <xf numFmtId="0" fontId="18" fillId="0" borderId="0" xfId="0" applyFont="1" applyAlignment="1">
      <alignment horizontal="center"/>
    </xf>
    <xf numFmtId="0" fontId="18" fillId="0" borderId="0" xfId="0" applyFont="1"/>
    <xf numFmtId="0" fontId="3" fillId="0" borderId="13" xfId="5" applyFont="1" applyBorder="1" applyAlignment="1">
      <alignment horizontal="centerContinuous"/>
    </xf>
    <xf numFmtId="164" fontId="3" fillId="0" borderId="11" xfId="6" applyFont="1" applyBorder="1" applyAlignment="1">
      <alignment horizontal="centerContinuous"/>
    </xf>
    <xf numFmtId="0" fontId="18" fillId="0" borderId="11" xfId="0" applyFont="1" applyBorder="1" applyAlignment="1">
      <alignment horizontal="centerContinuous"/>
    </xf>
    <xf numFmtId="0" fontId="18" fillId="0" borderId="11" xfId="0" applyFont="1" applyBorder="1" applyAlignment="1">
      <alignment horizontal="center"/>
    </xf>
    <xf numFmtId="0" fontId="19" fillId="0" borderId="5" xfId="0" applyFont="1" applyBorder="1" applyAlignment="1">
      <alignment wrapText="1"/>
    </xf>
    <xf numFmtId="0" fontId="19" fillId="0" borderId="0" xfId="0" applyFont="1" applyAlignment="1">
      <alignment wrapText="1"/>
    </xf>
    <xf numFmtId="0" fontId="18" fillId="0" borderId="0" xfId="0" applyFont="1" applyAlignment="1">
      <alignment wrapText="1"/>
    </xf>
    <xf numFmtId="164" fontId="3" fillId="0" borderId="0" xfId="6" applyFont="1" applyAlignment="1">
      <alignment horizontal="left" wrapText="1"/>
    </xf>
    <xf numFmtId="0" fontId="18" fillId="0" borderId="5" xfId="0" applyFont="1" applyBorder="1"/>
    <xf numFmtId="168" fontId="18" fillId="0" borderId="0" xfId="0" applyNumberFormat="1" applyFont="1"/>
    <xf numFmtId="0" fontId="3" fillId="0" borderId="5" xfId="5" applyFont="1" applyBorder="1" applyAlignment="1">
      <alignment horizontal="centerContinuous"/>
    </xf>
    <xf numFmtId="0" fontId="18" fillId="0" borderId="0" xfId="0" applyFont="1" applyAlignment="1">
      <alignment horizontal="left"/>
    </xf>
    <xf numFmtId="168" fontId="18" fillId="0" borderId="0" xfId="0" applyNumberFormat="1" applyFont="1" applyAlignment="1">
      <alignment horizontal="centerContinuous"/>
    </xf>
    <xf numFmtId="0" fontId="19" fillId="0" borderId="5" xfId="0" applyFont="1" applyBorder="1"/>
    <xf numFmtId="164" fontId="3" fillId="0" borderId="7" xfId="6" applyFont="1" applyBorder="1" applyAlignment="1">
      <alignment horizontal="left"/>
    </xf>
    <xf numFmtId="164" fontId="3" fillId="0" borderId="1" xfId="6" applyFont="1" applyBorder="1" applyAlignment="1">
      <alignment horizontal="left"/>
    </xf>
    <xf numFmtId="168" fontId="18" fillId="0" borderId="1" xfId="0" applyNumberFormat="1" applyFont="1" applyBorder="1"/>
    <xf numFmtId="0" fontId="19" fillId="0" borderId="13" xfId="0" applyFont="1" applyBorder="1" applyAlignment="1">
      <alignment horizontal="centerContinuous"/>
    </xf>
    <xf numFmtId="168" fontId="18" fillId="0" borderId="11" xfId="0" applyNumberFormat="1" applyFont="1" applyBorder="1" applyAlignment="1">
      <alignment horizontal="centerContinuous"/>
    </xf>
    <xf numFmtId="168" fontId="18" fillId="0" borderId="11" xfId="0" applyNumberFormat="1" applyFont="1" applyBorder="1"/>
    <xf numFmtId="0" fontId="18" fillId="0" borderId="5" xfId="0" applyFont="1" applyBorder="1" applyAlignment="1">
      <alignment horizontal="left"/>
    </xf>
    <xf numFmtId="0" fontId="18" fillId="0" borderId="0" xfId="0" quotePrefix="1" applyFont="1" applyAlignment="1">
      <alignment horizontal="center"/>
    </xf>
    <xf numFmtId="168" fontId="19" fillId="0" borderId="18" xfId="0" applyNumberFormat="1" applyFont="1" applyBorder="1"/>
    <xf numFmtId="168" fontId="19" fillId="0" borderId="0" xfId="0" applyNumberFormat="1" applyFont="1"/>
    <xf numFmtId="168" fontId="19" fillId="0" borderId="19" xfId="0" applyNumberFormat="1" applyFont="1" applyBorder="1"/>
    <xf numFmtId="168" fontId="19" fillId="0" borderId="20" xfId="0" applyNumberFormat="1" applyFont="1" applyBorder="1"/>
    <xf numFmtId="0" fontId="18" fillId="0" borderId="0" xfId="0" quotePrefix="1" applyFont="1"/>
    <xf numFmtId="168" fontId="18" fillId="0" borderId="0" xfId="0" quotePrefix="1" applyNumberFormat="1" applyFont="1"/>
    <xf numFmtId="168" fontId="18" fillId="0" borderId="0" xfId="0" quotePrefix="1" applyNumberFormat="1" applyFont="1" applyAlignment="1">
      <alignment horizontal="center"/>
    </xf>
    <xf numFmtId="167" fontId="18" fillId="0" borderId="0" xfId="3" applyNumberFormat="1" applyFont="1" applyFill="1" applyBorder="1"/>
    <xf numFmtId="0" fontId="19" fillId="0" borderId="0" xfId="0" applyFont="1" applyAlignment="1">
      <alignment horizontal="right"/>
    </xf>
    <xf numFmtId="0" fontId="18" fillId="0" borderId="7" xfId="0" applyFont="1" applyBorder="1"/>
    <xf numFmtId="0" fontId="18" fillId="0" borderId="1" xfId="0" applyFont="1" applyBorder="1"/>
    <xf numFmtId="0" fontId="20" fillId="2" borderId="13" xfId="0" applyFont="1" applyFill="1" applyBorder="1" applyAlignment="1">
      <alignment horizontal="centerContinuous"/>
    </xf>
    <xf numFmtId="164" fontId="20" fillId="2" borderId="11" xfId="6" applyFont="1" applyFill="1" applyBorder="1" applyAlignment="1">
      <alignment horizontal="centerContinuous"/>
    </xf>
    <xf numFmtId="168" fontId="6" fillId="2" borderId="11" xfId="0" applyNumberFormat="1" applyFont="1" applyFill="1" applyBorder="1" applyAlignment="1">
      <alignment horizontal="centerContinuous"/>
    </xf>
    <xf numFmtId="0" fontId="20" fillId="0" borderId="5" xfId="0" applyFont="1" applyBorder="1"/>
    <xf numFmtId="0" fontId="20" fillId="0" borderId="0" xfId="0" applyFont="1" applyAlignment="1">
      <alignment wrapText="1"/>
    </xf>
    <xf numFmtId="0" fontId="6" fillId="0" borderId="0" xfId="0" applyFont="1" applyAlignment="1">
      <alignment wrapText="1"/>
    </xf>
    <xf numFmtId="168" fontId="6" fillId="0" borderId="0" xfId="0" applyNumberFormat="1" applyFont="1"/>
    <xf numFmtId="0" fontId="6" fillId="0" borderId="5" xfId="0" applyFont="1" applyBorder="1"/>
    <xf numFmtId="0" fontId="6" fillId="0" borderId="0" xfId="0" quotePrefix="1" applyFont="1" applyAlignment="1">
      <alignment horizontal="center"/>
    </xf>
    <xf numFmtId="168" fontId="20" fillId="0" borderId="18" xfId="0" applyNumberFormat="1" applyFont="1" applyBorder="1"/>
    <xf numFmtId="168" fontId="20" fillId="0" borderId="0" xfId="0" applyNumberFormat="1" applyFont="1"/>
    <xf numFmtId="168" fontId="20" fillId="0" borderId="19" xfId="0" applyNumberFormat="1" applyFont="1" applyBorder="1"/>
    <xf numFmtId="0" fontId="6" fillId="0" borderId="0" xfId="0" applyFont="1"/>
    <xf numFmtId="0" fontId="20" fillId="0" borderId="5" xfId="0" applyFont="1" applyBorder="1" applyAlignment="1">
      <alignment wrapText="1"/>
    </xf>
    <xf numFmtId="0" fontId="6" fillId="0" borderId="0" xfId="0" quotePrefix="1" applyFont="1"/>
    <xf numFmtId="168" fontId="6" fillId="0" borderId="0" xfId="0" quotePrefix="1" applyNumberFormat="1" applyFont="1"/>
    <xf numFmtId="168" fontId="6" fillId="0" borderId="0" xfId="0" quotePrefix="1" applyNumberFormat="1" applyFont="1" applyAlignment="1">
      <alignment horizontal="center"/>
    </xf>
    <xf numFmtId="167" fontId="6" fillId="0" borderId="0" xfId="3" applyNumberFormat="1" applyFont="1" applyFill="1" applyBorder="1"/>
    <xf numFmtId="5" fontId="6" fillId="0" borderId="0" xfId="0" applyNumberFormat="1" applyFont="1"/>
    <xf numFmtId="5" fontId="18" fillId="0" borderId="0" xfId="0" applyNumberFormat="1" applyFont="1"/>
    <xf numFmtId="10" fontId="18" fillId="0" borderId="0" xfId="0" applyNumberFormat="1" applyFont="1"/>
    <xf numFmtId="5" fontId="5" fillId="0" borderId="0" xfId="6" applyNumberFormat="1" applyFont="1"/>
    <xf numFmtId="170" fontId="2" fillId="0" borderId="6" xfId="8" applyNumberFormat="1" applyBorder="1"/>
    <xf numFmtId="5" fontId="6" fillId="0" borderId="1" xfId="1" applyNumberFormat="1" applyFont="1" applyBorder="1"/>
    <xf numFmtId="37" fontId="2" fillId="0" borderId="21" xfId="1" applyNumberFormat="1" applyBorder="1"/>
    <xf numFmtId="37" fontId="2" fillId="0" borderId="10" xfId="1" applyNumberFormat="1" applyBorder="1"/>
    <xf numFmtId="0" fontId="15" fillId="0" borderId="1" xfId="6" applyNumberFormat="1" applyFont="1" applyBorder="1" applyAlignment="1">
      <alignment horizontal="left"/>
    </xf>
    <xf numFmtId="2" fontId="5" fillId="0" borderId="0" xfId="8" applyNumberFormat="1" applyFont="1"/>
    <xf numFmtId="0" fontId="21" fillId="0" borderId="0" xfId="6" applyNumberFormat="1" applyFont="1" applyAlignment="1">
      <alignment horizontal="right"/>
    </xf>
    <xf numFmtId="0" fontId="5" fillId="0" borderId="0" xfId="6" applyNumberFormat="1" applyFont="1" applyAlignment="1">
      <alignment horizontal="right"/>
    </xf>
    <xf numFmtId="164" fontId="5" fillId="0" borderId="0" xfId="8" applyFont="1" applyAlignment="1">
      <alignment horizontal="right"/>
    </xf>
    <xf numFmtId="10" fontId="5" fillId="0" borderId="0" xfId="8" applyNumberFormat="1" applyFont="1" applyAlignment="1">
      <alignment horizontal="right"/>
    </xf>
    <xf numFmtId="164" fontId="2" fillId="0" borderId="23" xfId="1" applyBorder="1"/>
    <xf numFmtId="164" fontId="2" fillId="0" borderId="22" xfId="1" applyBorder="1"/>
    <xf numFmtId="165" fontId="3" fillId="0" borderId="1" xfId="1" applyNumberFormat="1" applyFont="1" applyBorder="1" applyAlignment="1">
      <alignment horizontal="left"/>
    </xf>
    <xf numFmtId="5" fontId="3" fillId="0" borderId="21" xfId="1" quotePrefix="1" applyNumberFormat="1" applyFont="1" applyBorder="1" applyAlignment="1">
      <alignment horizontal="center"/>
    </xf>
    <xf numFmtId="165" fontId="3" fillId="0" borderId="0" xfId="1" applyNumberFormat="1" applyFont="1" applyAlignment="1">
      <alignment horizontal="left"/>
    </xf>
    <xf numFmtId="5" fontId="6" fillId="0" borderId="0" xfId="1" applyNumberFormat="1" applyFont="1" applyAlignment="1">
      <alignment horizontal="center"/>
    </xf>
    <xf numFmtId="164" fontId="3" fillId="3" borderId="2" xfId="1" applyFont="1" applyFill="1" applyBorder="1" applyAlignment="1">
      <alignment horizontal="centerContinuous"/>
    </xf>
    <xf numFmtId="164" fontId="3" fillId="3" borderId="21" xfId="1" applyFont="1" applyFill="1" applyBorder="1" applyAlignment="1">
      <alignment horizontal="centerContinuous"/>
    </xf>
    <xf numFmtId="164" fontId="3" fillId="3" borderId="4" xfId="1" applyFont="1" applyFill="1" applyBorder="1" applyAlignment="1">
      <alignment horizontal="centerContinuous"/>
    </xf>
    <xf numFmtId="164" fontId="3" fillId="3" borderId="5" xfId="1" applyFont="1" applyFill="1" applyBorder="1" applyAlignment="1">
      <alignment horizontal="center"/>
    </xf>
    <xf numFmtId="164" fontId="3" fillId="3" borderId="0" xfId="1" applyFont="1" applyFill="1"/>
    <xf numFmtId="164" fontId="3" fillId="3" borderId="6" xfId="1" applyFont="1" applyFill="1" applyBorder="1"/>
    <xf numFmtId="164" fontId="3" fillId="3" borderId="0" xfId="1" applyFont="1" applyFill="1" applyAlignment="1">
      <alignment horizontal="center"/>
    </xf>
    <xf numFmtId="164" fontId="23" fillId="3" borderId="0" xfId="1" applyFont="1" applyFill="1" applyAlignment="1">
      <alignment horizontal="center"/>
    </xf>
    <xf numFmtId="164" fontId="3" fillId="3" borderId="6" xfId="1" applyFont="1" applyFill="1" applyBorder="1" applyAlignment="1">
      <alignment horizontal="center"/>
    </xf>
    <xf numFmtId="164" fontId="2" fillId="3" borderId="5" xfId="1" applyFill="1" applyBorder="1"/>
    <xf numFmtId="164" fontId="2" fillId="3" borderId="0" xfId="1" applyFill="1"/>
    <xf numFmtId="164" fontId="2" fillId="3" borderId="6" xfId="1" applyFill="1" applyBorder="1"/>
    <xf numFmtId="168" fontId="2" fillId="3" borderId="0" xfId="1" applyNumberFormat="1" applyFill="1"/>
    <xf numFmtId="165" fontId="2" fillId="3" borderId="6" xfId="1" applyNumberFormat="1" applyFill="1" applyBorder="1"/>
    <xf numFmtId="164" fontId="2" fillId="3" borderId="7" xfId="1" applyFill="1" applyBorder="1"/>
    <xf numFmtId="168" fontId="2" fillId="3" borderId="22" xfId="1" applyNumberFormat="1" applyFill="1" applyBorder="1"/>
    <xf numFmtId="165" fontId="2" fillId="3" borderId="8" xfId="1" applyNumberFormat="1" applyFill="1" applyBorder="1"/>
    <xf numFmtId="10" fontId="2" fillId="0" borderId="1" xfId="1" applyNumberFormat="1" applyBorder="1"/>
    <xf numFmtId="10" fontId="5" fillId="0" borderId="0" xfId="1" applyNumberFormat="1" applyFont="1"/>
    <xf numFmtId="10" fontId="2" fillId="0" borderId="3" xfId="1" applyNumberFormat="1" applyBorder="1"/>
    <xf numFmtId="10" fontId="2" fillId="0" borderId="9" xfId="1" applyNumberFormat="1" applyBorder="1"/>
    <xf numFmtId="177" fontId="2" fillId="0" borderId="0" xfId="1" applyNumberFormat="1"/>
    <xf numFmtId="5" fontId="18" fillId="0" borderId="0" xfId="1" applyNumberFormat="1" applyFont="1" applyAlignment="1">
      <alignment horizontal="center"/>
    </xf>
    <xf numFmtId="10" fontId="18" fillId="0" borderId="0" xfId="1" applyNumberFormat="1" applyFont="1" applyAlignment="1">
      <alignment horizontal="center"/>
    </xf>
    <xf numFmtId="165" fontId="2" fillId="0" borderId="0" xfId="8" applyNumberFormat="1"/>
    <xf numFmtId="184" fontId="6" fillId="2" borderId="0" xfId="1" applyNumberFormat="1" applyFont="1" applyFill="1" applyAlignment="1">
      <alignment horizontal="center"/>
    </xf>
    <xf numFmtId="5" fontId="18" fillId="2" borderId="0" xfId="1" applyNumberFormat="1" applyFont="1" applyFill="1" applyAlignment="1">
      <alignment horizontal="center"/>
    </xf>
  </cellXfs>
  <cellStyles count="14">
    <cellStyle name="Comma 11" xfId="3" xr:uid="{52D86FA2-6C8D-4C8E-82BA-599204DE3C7A}"/>
    <cellStyle name="Comma 2" xfId="11" xr:uid="{A028584C-37AF-4D31-A6B2-CB569FD6F33D}"/>
    <cellStyle name="Currency 2" xfId="4" xr:uid="{67CBC69A-C98A-4E1C-9488-42431406E13E}"/>
    <cellStyle name="Normal" xfId="0" builtinId="0"/>
    <cellStyle name="Normal 11 2" xfId="2" xr:uid="{1E1A95A0-C9E3-4FF5-B078-6F1D05A60A0C}"/>
    <cellStyle name="Normal 15" xfId="5" xr:uid="{91CC50BC-F24A-4A24-BB6E-70867DC5C508}"/>
    <cellStyle name="Normal 33" xfId="13" xr:uid="{99254C29-EBC7-4E87-8D2F-BAAD37E6594D}"/>
    <cellStyle name="Normal_Blocking" xfId="7" xr:uid="{402CC568-D4E9-4EF0-8D3D-5A967D75D12E}"/>
    <cellStyle name="Normal_Blocking 03-01" xfId="1" xr:uid="{7EBD87A7-EDBB-4B8B-A296-203268D18C56}"/>
    <cellStyle name="Normal_Blocking 09-00" xfId="6" xr:uid="{FAD3877B-A236-4A77-AB47-A59E050A9E53}"/>
    <cellStyle name="Normal_Blocking 09-00 2" xfId="8" xr:uid="{FF62497C-65EC-4AE1-B67A-DA2EE9033F43}"/>
    <cellStyle name="Normal_Book4" xfId="10" xr:uid="{66CD9581-F485-4E19-9EC9-0AFB6BDEAA0E}"/>
    <cellStyle name="Percent 13" xfId="9" xr:uid="{A5DB0956-8CA0-42E2-9B03-632EC9C05261}"/>
    <cellStyle name="Percent 2 2" xfId="12" xr:uid="{86363B23-D5F4-489A-9F25-4EA60788A6D9}"/>
  </cellStyles>
  <dxfs count="0"/>
  <tableStyles count="0" defaultTableStyle="TableStyleMedium2" defaultPivotStyle="PivotStyleLight16"/>
  <colors>
    <mruColors>
      <color rgb="FF33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78AEAA-8464-4568-8F1A-168B71231EFC}">
  <sheetPr>
    <pageSetUpPr fitToPage="1"/>
  </sheetPr>
  <dimension ref="A1:W52"/>
  <sheetViews>
    <sheetView tabSelected="1" view="pageBreakPreview" zoomScale="85" zoomScaleNormal="100" zoomScaleSheetLayoutView="85" workbookViewId="0">
      <selection activeCell="T23" sqref="T23"/>
    </sheetView>
  </sheetViews>
  <sheetFormatPr defaultColWidth="10" defaultRowHeight="15.75"/>
  <cols>
    <col min="1" max="1" width="5.140625" style="4" customWidth="1"/>
    <col min="2" max="2" width="1.7109375" style="4" customWidth="1"/>
    <col min="3" max="3" width="40.7109375" style="4" customWidth="1"/>
    <col min="4" max="4" width="1.7109375" style="4" customWidth="1"/>
    <col min="5" max="5" width="5.7109375" style="4" customWidth="1"/>
    <col min="6" max="6" width="1.7109375" style="4" customWidth="1"/>
    <col min="7" max="7" width="12" style="4" customWidth="1"/>
    <col min="8" max="8" width="1.7109375" style="4" customWidth="1"/>
    <col min="9" max="9" width="13.28515625" style="12" customWidth="1"/>
    <col min="10" max="10" width="1.7109375" style="4" customWidth="1"/>
    <col min="11" max="11" width="12.42578125" style="30" customWidth="1"/>
    <col min="12" max="12" width="1.7109375" style="30" customWidth="1"/>
    <col min="13" max="13" width="12.42578125" style="30" customWidth="1"/>
    <col min="14" max="14" width="1.7109375" style="30" customWidth="1"/>
    <col min="15" max="15" width="10.28515625" style="30" customWidth="1"/>
    <col min="16" max="16" width="1.7109375" style="4" customWidth="1"/>
    <col min="17" max="17" width="8.42578125" style="4" customWidth="1"/>
    <col min="18" max="16384" width="10" style="4"/>
  </cols>
  <sheetData>
    <row r="1" spans="1:23">
      <c r="A1" s="1" t="s">
        <v>486</v>
      </c>
      <c r="B1" s="1"/>
      <c r="C1" s="1"/>
      <c r="D1" s="1"/>
      <c r="E1" s="1"/>
      <c r="F1" s="1"/>
      <c r="G1" s="1"/>
      <c r="H1" s="1"/>
      <c r="I1" s="2"/>
      <c r="J1" s="1"/>
      <c r="K1" s="3"/>
      <c r="L1" s="3"/>
      <c r="M1" s="3"/>
      <c r="N1" s="3"/>
      <c r="O1" s="3"/>
      <c r="P1" s="1"/>
      <c r="Q1" s="1"/>
    </row>
    <row r="2" spans="1:23" s="9" customFormat="1">
      <c r="A2" s="1" t="s">
        <v>0</v>
      </c>
      <c r="B2" s="6"/>
      <c r="C2" s="6"/>
      <c r="D2" s="6"/>
      <c r="E2" s="6"/>
      <c r="F2" s="6"/>
      <c r="G2" s="6"/>
      <c r="H2" s="6"/>
      <c r="I2" s="7"/>
      <c r="J2" s="6"/>
      <c r="K2" s="8"/>
      <c r="L2" s="8"/>
      <c r="M2" s="8"/>
      <c r="N2" s="8"/>
      <c r="O2" s="8"/>
      <c r="P2" s="6"/>
      <c r="Q2" s="6"/>
    </row>
    <row r="3" spans="1:23" s="9" customFormat="1">
      <c r="A3" s="1" t="s">
        <v>1</v>
      </c>
      <c r="B3" s="6"/>
      <c r="C3" s="6"/>
      <c r="D3" s="6"/>
      <c r="E3" s="6"/>
      <c r="F3" s="6"/>
      <c r="G3" s="6"/>
      <c r="H3" s="6"/>
      <c r="I3" s="7"/>
      <c r="J3" s="6"/>
      <c r="K3" s="8"/>
      <c r="L3" s="8"/>
      <c r="M3" s="8"/>
      <c r="N3" s="8"/>
      <c r="O3" s="8"/>
      <c r="P3" s="6"/>
      <c r="Q3" s="6"/>
    </row>
    <row r="4" spans="1:23" s="9" customFormat="1">
      <c r="A4" s="1" t="s">
        <v>2</v>
      </c>
      <c r="B4" s="6"/>
      <c r="C4" s="6"/>
      <c r="D4" s="6"/>
      <c r="E4" s="6"/>
      <c r="F4" s="6"/>
      <c r="G4" s="6"/>
      <c r="H4" s="6"/>
      <c r="I4" s="7"/>
      <c r="J4" s="6"/>
      <c r="K4" s="8"/>
      <c r="L4" s="8"/>
      <c r="M4" s="8"/>
      <c r="N4" s="8"/>
      <c r="O4" s="8"/>
      <c r="P4" s="6"/>
      <c r="Q4" s="6"/>
    </row>
    <row r="5" spans="1:23" s="9" customFormat="1">
      <c r="A5" s="1" t="s">
        <v>422</v>
      </c>
      <c r="B5" s="6"/>
      <c r="C5" s="6"/>
      <c r="D5" s="6"/>
      <c r="E5" s="6"/>
      <c r="F5" s="6"/>
      <c r="G5" s="6"/>
      <c r="H5" s="6"/>
      <c r="I5" s="7"/>
      <c r="J5" s="6"/>
      <c r="K5" s="8"/>
      <c r="L5" s="8"/>
      <c r="M5" s="8"/>
      <c r="N5" s="8"/>
      <c r="O5" s="8"/>
      <c r="P5" s="6"/>
      <c r="Q5" s="6"/>
    </row>
    <row r="6" spans="1:23">
      <c r="A6" s="1" t="s">
        <v>423</v>
      </c>
      <c r="B6" s="6"/>
      <c r="C6" s="6"/>
      <c r="D6" s="6"/>
      <c r="E6" s="6"/>
      <c r="F6" s="6"/>
      <c r="G6" s="6"/>
      <c r="H6" s="6"/>
      <c r="I6" s="7"/>
      <c r="J6" s="6"/>
      <c r="K6" s="8"/>
      <c r="L6" s="8"/>
      <c r="M6" s="8"/>
      <c r="N6" s="8"/>
      <c r="O6" s="8"/>
      <c r="P6" s="6"/>
      <c r="Q6" s="6"/>
    </row>
    <row r="7" spans="1:23">
      <c r="D7" s="10"/>
      <c r="F7" s="10"/>
      <c r="G7" s="11"/>
      <c r="H7" s="10"/>
      <c r="J7" s="10"/>
      <c r="K7" s="13"/>
      <c r="L7" s="14"/>
      <c r="M7" s="13"/>
      <c r="N7" s="14"/>
      <c r="O7" s="13"/>
      <c r="P7" s="10"/>
      <c r="Q7" s="11"/>
    </row>
    <row r="8" spans="1:23" ht="18.75">
      <c r="D8" s="11"/>
      <c r="E8" s="11"/>
      <c r="F8" s="11"/>
      <c r="G8" s="11" t="s">
        <v>3</v>
      </c>
      <c r="H8" s="11"/>
      <c r="I8" s="15"/>
      <c r="J8" s="11"/>
      <c r="K8" s="13" t="s">
        <v>479</v>
      </c>
      <c r="L8" s="13"/>
      <c r="M8" s="16" t="s">
        <v>480</v>
      </c>
      <c r="N8" s="16"/>
      <c r="O8" s="16"/>
      <c r="P8" s="17"/>
      <c r="Q8" s="18"/>
    </row>
    <row r="9" spans="1:23" s="19" customFormat="1">
      <c r="A9" s="19" t="s">
        <v>6</v>
      </c>
      <c r="D9" s="11"/>
      <c r="E9" s="11" t="s">
        <v>7</v>
      </c>
      <c r="F9" s="11"/>
      <c r="G9" s="11" t="s">
        <v>8</v>
      </c>
      <c r="H9" s="11"/>
      <c r="I9" s="15" t="s">
        <v>9</v>
      </c>
      <c r="J9" s="11"/>
      <c r="K9" s="13" t="s">
        <v>5</v>
      </c>
      <c r="L9" s="13"/>
      <c r="M9" s="13" t="s">
        <v>5</v>
      </c>
      <c r="N9" s="13"/>
      <c r="O9" s="16" t="s">
        <v>16</v>
      </c>
      <c r="P9" s="17"/>
      <c r="Q9" s="18"/>
    </row>
    <row r="10" spans="1:23" s="19" customFormat="1">
      <c r="A10" s="20" t="s">
        <v>10</v>
      </c>
      <c r="C10" s="21" t="s">
        <v>11</v>
      </c>
      <c r="E10" s="21" t="s">
        <v>10</v>
      </c>
      <c r="G10" s="21" t="s">
        <v>12</v>
      </c>
      <c r="I10" s="22" t="s">
        <v>12</v>
      </c>
      <c r="K10" s="23" t="s">
        <v>13</v>
      </c>
      <c r="L10" s="24"/>
      <c r="M10" s="23" t="s">
        <v>13</v>
      </c>
      <c r="N10" s="24"/>
      <c r="O10" s="23" t="s">
        <v>13</v>
      </c>
      <c r="Q10" s="25" t="s">
        <v>14</v>
      </c>
      <c r="S10" s="295" t="s">
        <v>495</v>
      </c>
      <c r="T10" s="296"/>
      <c r="U10" s="296"/>
      <c r="V10" s="296"/>
      <c r="W10" s="297"/>
    </row>
    <row r="11" spans="1:23" s="19" customFormat="1">
      <c r="C11" s="26">
        <v>-1</v>
      </c>
      <c r="D11" s="26"/>
      <c r="E11" s="26">
        <f>MIN($A11:D11)-1</f>
        <v>-2</v>
      </c>
      <c r="F11" s="26"/>
      <c r="G11" s="26">
        <f>MIN($A11:F11)-1</f>
        <v>-3</v>
      </c>
      <c r="H11" s="26"/>
      <c r="I11" s="26">
        <f>MIN($A11:H11)-1</f>
        <v>-4</v>
      </c>
      <c r="J11" s="26"/>
      <c r="K11" s="27">
        <f>MIN($A11:J11)-1</f>
        <v>-5</v>
      </c>
      <c r="L11" s="27"/>
      <c r="M11" s="27">
        <f>MIN($A11:L11)-1</f>
        <v>-6</v>
      </c>
      <c r="N11" s="27"/>
      <c r="O11" s="27">
        <f>MIN($A11:N11)-1</f>
        <v>-7</v>
      </c>
      <c r="P11" s="27"/>
      <c r="Q11" s="27">
        <f>MIN($A11:P11)-1</f>
        <v>-8</v>
      </c>
      <c r="S11" s="298"/>
      <c r="T11" s="299" t="s">
        <v>15</v>
      </c>
      <c r="U11" s="299" t="s">
        <v>4</v>
      </c>
      <c r="V11" s="299"/>
      <c r="W11" s="300"/>
    </row>
    <row r="12" spans="1:23" s="19" customFormat="1">
      <c r="I12" s="28"/>
      <c r="K12" s="24"/>
      <c r="L12" s="24"/>
      <c r="M12" s="24"/>
      <c r="N12" s="24"/>
      <c r="O12" s="13" t="str">
        <f>"(" &amp; -M11 &amp; ")-(" &amp; -K11 &amp; ")"</f>
        <v>(6)-(5)</v>
      </c>
      <c r="Q12" s="29" t="str">
        <f>"(" &amp; -O11 &amp; ")/(" &amp; -K11 &amp; ")"</f>
        <v>(7)/(5)</v>
      </c>
      <c r="S12" s="298" t="s">
        <v>491</v>
      </c>
      <c r="T12" s="301" t="s">
        <v>492</v>
      </c>
      <c r="U12" s="301" t="s">
        <v>492</v>
      </c>
      <c r="V12" s="302" t="s">
        <v>493</v>
      </c>
      <c r="W12" s="303" t="s">
        <v>494</v>
      </c>
    </row>
    <row r="13" spans="1:23" s="19" customFormat="1">
      <c r="A13" s="4"/>
      <c r="B13" s="4"/>
      <c r="C13" s="19" t="s">
        <v>17</v>
      </c>
      <c r="D13" s="4"/>
      <c r="E13" s="4"/>
      <c r="F13" s="4"/>
      <c r="G13" s="4"/>
      <c r="H13" s="4"/>
      <c r="I13" s="12"/>
      <c r="J13" s="4"/>
      <c r="K13" s="30"/>
      <c r="L13" s="30"/>
      <c r="M13" s="30"/>
      <c r="N13" s="30"/>
      <c r="O13" s="30"/>
      <c r="P13" s="4"/>
      <c r="Q13" s="4"/>
      <c r="S13" s="304"/>
      <c r="T13" s="305"/>
      <c r="U13" s="305"/>
      <c r="V13" s="305"/>
      <c r="W13" s="306"/>
    </row>
    <row r="14" spans="1:23">
      <c r="A14" s="4">
        <v>1</v>
      </c>
      <c r="C14" s="4" t="s">
        <v>17</v>
      </c>
      <c r="E14" s="31" t="s">
        <v>18</v>
      </c>
      <c r="G14" s="32">
        <f>ROUND(('Rate Design'!D11+'Rate Design'!D30+'Rate Design'!D85)/12,0)</f>
        <v>955431</v>
      </c>
      <c r="I14" s="32">
        <f>('Rate Design'!D27+'Rate Design'!D48+'Rate Design'!D102)/1000</f>
        <v>8246234.6115655489</v>
      </c>
      <c r="K14" s="33">
        <v>946585.31200000003</v>
      </c>
      <c r="M14" s="33">
        <f>('Rate Design'!M27+'Rate Design'!M48+'Rate Design'!M102)/1000</f>
        <v>985965.07</v>
      </c>
      <c r="O14" s="33">
        <f>M14-K14</f>
        <v>39379.757999999914</v>
      </c>
      <c r="Q14" s="34">
        <f>O14/K14</f>
        <v>4.1601911101701007E-2</v>
      </c>
      <c r="S14" s="304">
        <f>ROUND(I14/($G14*12)*1000,0)</f>
        <v>719</v>
      </c>
      <c r="T14" s="307">
        <f>ROUND(K14/($G14*12)*1000,2)</f>
        <v>82.56</v>
      </c>
      <c r="U14" s="307">
        <f>ROUND(M14/($G14*12)*1000,2)</f>
        <v>86</v>
      </c>
      <c r="V14" s="307">
        <f>U14-T14</f>
        <v>3.4399999999999977</v>
      </c>
      <c r="W14" s="308">
        <f>U14/T14-1</f>
        <v>4.1666666666666741E-2</v>
      </c>
    </row>
    <row r="15" spans="1:23">
      <c r="A15" s="4">
        <f>MAX(A$13:A14)+1</f>
        <v>2</v>
      </c>
      <c r="C15" s="4" t="s">
        <v>19</v>
      </c>
      <c r="E15" s="35" t="s">
        <v>20</v>
      </c>
      <c r="G15" s="32">
        <f>ROUND(('Rate Design'!D51+'Rate Design'!D70)/12,0)</f>
        <v>1029</v>
      </c>
      <c r="I15" s="32">
        <f>('Rate Design'!D67+'Rate Design'!D82)/1000</f>
        <v>13246.398031460629</v>
      </c>
      <c r="K15" s="33">
        <v>1326.991</v>
      </c>
      <c r="M15" s="33">
        <f>('Rate Design'!M67+'Rate Design'!M82)/1000</f>
        <v>1383.8779999999999</v>
      </c>
      <c r="O15" s="33">
        <f>M15-K15</f>
        <v>56.886999999999944</v>
      </c>
      <c r="Q15" s="34">
        <f>O15/K15</f>
        <v>4.2869167914477146E-2</v>
      </c>
      <c r="S15" s="304">
        <f>ROUND(I15/($G15*12)*1000,0)</f>
        <v>1073</v>
      </c>
      <c r="T15" s="307">
        <f>ROUND(K15/($G15*12)*1000,2)</f>
        <v>107.47</v>
      </c>
      <c r="U15" s="307">
        <f>ROUND(M15/($G15*12)*1000,2)</f>
        <v>112.07</v>
      </c>
      <c r="V15" s="307">
        <f>U15-T15</f>
        <v>4.5999999999999943</v>
      </c>
      <c r="W15" s="308">
        <f>U15/T15-1</f>
        <v>4.2802642597934204E-2</v>
      </c>
    </row>
    <row r="16" spans="1:23">
      <c r="A16" s="4">
        <f>MAX(A$13:A15)+1</f>
        <v>3</v>
      </c>
      <c r="C16" s="36" t="s">
        <v>21</v>
      </c>
      <c r="E16" s="37"/>
      <c r="G16" s="37"/>
      <c r="I16" s="37"/>
      <c r="K16" s="38">
        <v>37.136720000000011</v>
      </c>
      <c r="M16" s="38">
        <f>'Rate Design'!M1275/1000</f>
        <v>37.136720000000011</v>
      </c>
      <c r="O16" s="38">
        <f>M16-K16</f>
        <v>0</v>
      </c>
      <c r="Q16" s="39">
        <f>O16/K16</f>
        <v>0</v>
      </c>
      <c r="S16" s="304"/>
      <c r="T16" s="307"/>
      <c r="U16" s="307"/>
      <c r="V16" s="307"/>
      <c r="W16" s="308"/>
    </row>
    <row r="17" spans="1:23">
      <c r="A17" s="4">
        <f>MAX(A$13:A16)+1</f>
        <v>4</v>
      </c>
      <c r="C17" s="19" t="s">
        <v>22</v>
      </c>
      <c r="G17" s="32">
        <f>SUM(G14:G16)</f>
        <v>956460</v>
      </c>
      <c r="I17" s="32">
        <f>SUM(I14:I16)</f>
        <v>8259481.00959701</v>
      </c>
      <c r="K17" s="33">
        <v>947949.43972000002</v>
      </c>
      <c r="M17" s="33">
        <f>SUM(M14:M16)</f>
        <v>987386.08471999993</v>
      </c>
      <c r="O17" s="33">
        <f>SUM(O14:O16)</f>
        <v>39436.644999999917</v>
      </c>
      <c r="Q17" s="34">
        <f>O17/K17</f>
        <v>4.1602055286459681E-2</v>
      </c>
      <c r="S17" s="309">
        <f>ROUND(I17/($G17*12)*1000,0)</f>
        <v>720</v>
      </c>
      <c r="T17" s="310">
        <f>ROUND(K17/($G17*12)*1000,2)</f>
        <v>82.59</v>
      </c>
      <c r="U17" s="310">
        <f>ROUND(M17/($G17*12)*1000,2)</f>
        <v>86.03</v>
      </c>
      <c r="V17" s="310">
        <f>U17-T17</f>
        <v>3.4399999999999977</v>
      </c>
      <c r="W17" s="311">
        <f>U17/T17-1</f>
        <v>4.1651531662428853E-2</v>
      </c>
    </row>
    <row r="18" spans="1:23">
      <c r="C18" s="19" t="s">
        <v>23</v>
      </c>
      <c r="G18" s="32"/>
      <c r="I18" s="32"/>
      <c r="K18" s="33"/>
      <c r="M18" s="33"/>
      <c r="O18" s="33"/>
    </row>
    <row r="19" spans="1:23">
      <c r="A19" s="4">
        <f>MAX(A$13:A18)+1</f>
        <v>5</v>
      </c>
      <c r="C19" s="4" t="s">
        <v>24</v>
      </c>
      <c r="E19" s="31">
        <v>6</v>
      </c>
      <c r="G19" s="32">
        <f>ROUND(('Rate Design'!D112+'Rate Design'!D168)/12,0)</f>
        <v>14281</v>
      </c>
      <c r="I19" s="32">
        <f>('Rate Design'!D123+'Rate Design'!D179)/1000</f>
        <v>6403525.7686540503</v>
      </c>
      <c r="K19" s="33">
        <v>549379.31000000006</v>
      </c>
      <c r="M19" s="33">
        <f>('Rate Design'!M123+'Rate Design'!M179)/1000</f>
        <v>570479.978</v>
      </c>
      <c r="O19" s="33">
        <f>M19-K19</f>
        <v>21100.667999999947</v>
      </c>
      <c r="Q19" s="34">
        <f t="shared" ref="Q19:Q38" si="0">O19/K19</f>
        <v>3.8408195605327662E-2</v>
      </c>
    </row>
    <row r="20" spans="1:23">
      <c r="A20" s="4">
        <f>MAX(A$13:A19)+1</f>
        <v>6</v>
      </c>
      <c r="C20" s="4" t="s">
        <v>25</v>
      </c>
      <c r="E20" s="35" t="s">
        <v>26</v>
      </c>
      <c r="G20" s="40">
        <f>ROUND(('Rate Design'!D224+'Rate Design'!D284)/12,0)</f>
        <v>2827</v>
      </c>
      <c r="I20" s="40">
        <f>('Rate Design'!D236+'Rate Design'!D296)/1000</f>
        <v>380064.31338959344</v>
      </c>
      <c r="K20" s="38">
        <v>44191.167999999998</v>
      </c>
      <c r="M20" s="38">
        <f>('Rate Design'!M236+'Rate Design'!M296)/1000</f>
        <v>45888.661999999997</v>
      </c>
      <c r="O20" s="38">
        <f>M20-K20</f>
        <v>1697.4939999999988</v>
      </c>
      <c r="Q20" s="39">
        <f t="shared" si="0"/>
        <v>3.8412517179903433E-2</v>
      </c>
    </row>
    <row r="21" spans="1:23">
      <c r="A21" s="4">
        <f>MAX(A$13:A20)+1</f>
        <v>7</v>
      </c>
      <c r="B21" s="41"/>
      <c r="C21" s="41" t="s">
        <v>27</v>
      </c>
      <c r="D21" s="41"/>
      <c r="E21" s="41"/>
      <c r="F21" s="41"/>
      <c r="G21" s="42">
        <f>SUM(G19:G20)</f>
        <v>17108</v>
      </c>
      <c r="H21" s="41"/>
      <c r="I21" s="42">
        <f>SUM(I19:I20)</f>
        <v>6783590.082043644</v>
      </c>
      <c r="J21" s="41"/>
      <c r="K21" s="43">
        <v>593570.478</v>
      </c>
      <c r="L21" s="44"/>
      <c r="M21" s="43">
        <f>SUM(M19:M20)</f>
        <v>616368.64000000001</v>
      </c>
      <c r="N21" s="44"/>
      <c r="O21" s="43">
        <f>SUM(O19:O20)</f>
        <v>22798.161999999946</v>
      </c>
      <c r="P21" s="41"/>
      <c r="Q21" s="45">
        <f t="shared" si="0"/>
        <v>3.8408517345432984E-2</v>
      </c>
    </row>
    <row r="22" spans="1:23" s="41" customFormat="1">
      <c r="A22" s="4">
        <f>MAX(A$13:A21)+1</f>
        <v>8</v>
      </c>
      <c r="B22" s="4"/>
      <c r="C22" s="4" t="s">
        <v>28</v>
      </c>
      <c r="D22" s="4"/>
      <c r="E22" s="4">
        <v>8</v>
      </c>
      <c r="F22" s="32"/>
      <c r="G22" s="32">
        <f>ROUND(('Rate Design'!D389+'Rate Design'!D445)/12,0)</f>
        <v>223</v>
      </c>
      <c r="H22" s="32"/>
      <c r="I22" s="32">
        <f>('Rate Design'!D400+'Rate Design'!D456)/1000</f>
        <v>2393014.31817408</v>
      </c>
      <c r="J22" s="32"/>
      <c r="K22" s="33">
        <v>180100.288</v>
      </c>
      <c r="L22" s="46"/>
      <c r="M22" s="33">
        <f>('Rate Design'!M400+'Rate Design'!M456)/1000</f>
        <v>186985.304</v>
      </c>
      <c r="N22" s="46"/>
      <c r="O22" s="33">
        <f>M22-K22</f>
        <v>6885.0160000000033</v>
      </c>
      <c r="P22" s="4"/>
      <c r="Q22" s="34">
        <f t="shared" si="0"/>
        <v>3.8228789506433235E-2</v>
      </c>
    </row>
    <row r="23" spans="1:23" ht="22.15" customHeight="1">
      <c r="A23" s="4">
        <f>MAX(A$13:A22)+1</f>
        <v>9</v>
      </c>
      <c r="C23" s="4" t="s">
        <v>29</v>
      </c>
      <c r="E23" s="4">
        <v>9</v>
      </c>
      <c r="G23" s="32">
        <f>ROUND(('Rate Design'!D459)/12,0)</f>
        <v>164</v>
      </c>
      <c r="I23" s="32">
        <f>('Rate Design'!D470)/1000</f>
        <v>5060524.3736956455</v>
      </c>
      <c r="K23" s="33">
        <v>293629.88500000001</v>
      </c>
      <c r="M23" s="33">
        <f>('Rate Design'!M470)/1000</f>
        <v>305776.21799999999</v>
      </c>
      <c r="O23" s="33">
        <f>M23-K23</f>
        <v>12146.332999999984</v>
      </c>
      <c r="Q23" s="34">
        <f t="shared" si="0"/>
        <v>4.1366133423374064E-2</v>
      </c>
    </row>
    <row r="24" spans="1:23" ht="22.15" customHeight="1">
      <c r="A24" s="4">
        <f>MAX(A$13:A23)+1</f>
        <v>10</v>
      </c>
      <c r="C24" s="4" t="s">
        <v>30</v>
      </c>
      <c r="E24" s="35" t="s">
        <v>31</v>
      </c>
      <c r="G24" s="32">
        <f>ROUND(('Rate Design'!D1234)/12,0)</f>
        <v>1</v>
      </c>
      <c r="I24" s="32">
        <f>('Rate Design'!D1242)/1000</f>
        <v>324160</v>
      </c>
      <c r="K24" s="33">
        <v>18717.984</v>
      </c>
      <c r="M24" s="33">
        <f>('Rate Design'!M1242)/1000</f>
        <v>19493.901999999998</v>
      </c>
      <c r="O24" s="33">
        <f>M24-K24</f>
        <v>775.91799999999785</v>
      </c>
      <c r="Q24" s="34">
        <f t="shared" si="0"/>
        <v>4.1453075288449749E-2</v>
      </c>
    </row>
    <row r="25" spans="1:23" ht="22.15" customHeight="1">
      <c r="A25" s="4">
        <f>MAX(A$13:A24)+1</f>
        <v>11</v>
      </c>
      <c r="C25" s="4" t="s">
        <v>32</v>
      </c>
      <c r="E25" s="35" t="s">
        <v>33</v>
      </c>
      <c r="G25" s="40">
        <f>ROUND(('Rate Design'!D501)/12,0)</f>
        <v>8</v>
      </c>
      <c r="I25" s="40">
        <f>('Rate Design'!D511)/1000</f>
        <v>45448.731500000002</v>
      </c>
      <c r="K25" s="38">
        <v>3447.654</v>
      </c>
      <c r="M25" s="38">
        <f>('Rate Design'!M511)/1000</f>
        <v>3589.1210000000001</v>
      </c>
      <c r="O25" s="38">
        <f>M25-K25</f>
        <v>141.4670000000001</v>
      </c>
      <c r="Q25" s="39">
        <f t="shared" si="0"/>
        <v>4.1032829860537079E-2</v>
      </c>
    </row>
    <row r="26" spans="1:23">
      <c r="A26" s="4">
        <f>MAX(A$13:A25)+1</f>
        <v>12</v>
      </c>
      <c r="C26" s="41" t="s">
        <v>34</v>
      </c>
      <c r="D26" s="41"/>
      <c r="E26" s="41"/>
      <c r="F26" s="41"/>
      <c r="G26" s="42">
        <f>SUM(G23:G25)</f>
        <v>173</v>
      </c>
      <c r="H26" s="41"/>
      <c r="I26" s="42">
        <f>SUM(I23:I25)</f>
        <v>5430133.1051956452</v>
      </c>
      <c r="J26" s="41"/>
      <c r="K26" s="43">
        <v>315795.52299999999</v>
      </c>
      <c r="L26" s="44"/>
      <c r="M26" s="43">
        <f>SUM(M23:M25)</f>
        <v>328859.24099999998</v>
      </c>
      <c r="N26" s="44"/>
      <c r="O26" s="43">
        <f>SUM(O23:O25)</f>
        <v>13063.717999999983</v>
      </c>
      <c r="P26" s="41"/>
      <c r="Q26" s="45">
        <f t="shared" si="0"/>
        <v>4.1367647887775735E-2</v>
      </c>
    </row>
    <row r="27" spans="1:23">
      <c r="A27" s="4">
        <f>MAX(A$13:A26)+1</f>
        <v>13</v>
      </c>
      <c r="C27" s="4" t="s">
        <v>35</v>
      </c>
      <c r="E27" s="35">
        <v>10</v>
      </c>
      <c r="G27" s="32">
        <f>ROUND('Rate Design'!D540+'Rate Design'!D541+'Rate Design'!D562+'Rate Design'!D563,0)</f>
        <v>3540</v>
      </c>
      <c r="I27" s="32">
        <f>('Rate Design'!D559+'Rate Design'!D581)/1000</f>
        <v>242214.34810360699</v>
      </c>
      <c r="K27" s="33">
        <v>19702.608</v>
      </c>
      <c r="M27" s="33">
        <f>('Rate Design'!M559+'Rate Design'!M581)/1000</f>
        <v>20455.027999999998</v>
      </c>
      <c r="O27" s="33">
        <f t="shared" ref="O27:O32" si="1">M27-K27</f>
        <v>752.41999999999825</v>
      </c>
      <c r="Q27" s="34">
        <f t="shared" si="0"/>
        <v>3.8188852968094288E-2</v>
      </c>
    </row>
    <row r="28" spans="1:23" ht="22.15" customHeight="1">
      <c r="A28" s="4">
        <f>MAX(A$13:A27)+1</f>
        <v>14</v>
      </c>
      <c r="C28" s="4" t="s">
        <v>36</v>
      </c>
      <c r="E28" s="31">
        <v>23</v>
      </c>
      <c r="G28" s="32">
        <f>ROUND(('Rate Design'!D754+'Rate Design'!D818)/12,0)</f>
        <v>102995</v>
      </c>
      <c r="I28" s="32">
        <f>('Rate Design'!D767+'Rate Design'!D831)/1000</f>
        <v>1823052.4187130935</v>
      </c>
      <c r="K28" s="33">
        <v>181756.15400000001</v>
      </c>
      <c r="M28" s="33">
        <f>('Rate Design'!M767+'Rate Design'!M831)/1000</f>
        <v>188697.39799999999</v>
      </c>
      <c r="O28" s="33">
        <f t="shared" si="1"/>
        <v>6941.2439999999769</v>
      </c>
      <c r="Q28" s="34">
        <f t="shared" si="0"/>
        <v>3.8189870588920892E-2</v>
      </c>
    </row>
    <row r="29" spans="1:23">
      <c r="A29" s="4">
        <f>MAX(A$13:A28)+1</f>
        <v>15</v>
      </c>
      <c r="C29" s="4" t="s">
        <v>37</v>
      </c>
      <c r="E29" s="4">
        <v>31</v>
      </c>
      <c r="G29" s="32">
        <f>ROUND(('Rate Design'!D883+'Rate Design'!D897+'Rate Design'!D911)/12,0)</f>
        <v>7</v>
      </c>
      <c r="I29" s="32">
        <f>('Rate Design'!D945)/1000</f>
        <v>319328.38347723125</v>
      </c>
      <c r="K29" s="33">
        <v>19035.503000000001</v>
      </c>
      <c r="M29" s="33">
        <f>('Rate Design'!M945)/1000</f>
        <v>19839.987000000001</v>
      </c>
      <c r="O29" s="33">
        <f t="shared" si="1"/>
        <v>804.48400000000038</v>
      </c>
      <c r="Q29" s="34">
        <f t="shared" si="0"/>
        <v>4.2262292727436743E-2</v>
      </c>
    </row>
    <row r="30" spans="1:23">
      <c r="A30" s="4">
        <f>MAX(A$13:A29)+1</f>
        <v>16</v>
      </c>
      <c r="C30" s="4" t="s">
        <v>38</v>
      </c>
      <c r="E30" s="35" t="s">
        <v>39</v>
      </c>
      <c r="G30" s="32">
        <f>ROUND(('Rate Design'!D1081+'Rate Design'!D1082+'Rate Design'!D1083)/12,0)</f>
        <v>3</v>
      </c>
      <c r="I30" s="32">
        <f>('Rate Design'!D1124)/1000</f>
        <v>173984.215</v>
      </c>
      <c r="K30" s="33">
        <v>3855.027</v>
      </c>
      <c r="M30" s="33">
        <f>('Rate Design'!M1124-'Rate Design'!M1110-'Rate Design'!M1111)/1000</f>
        <v>4015.9430000000002</v>
      </c>
      <c r="O30" s="33">
        <f t="shared" si="1"/>
        <v>160.91600000000017</v>
      </c>
      <c r="Q30" s="34">
        <f t="shared" si="0"/>
        <v>4.1741860692545131E-2</v>
      </c>
    </row>
    <row r="31" spans="1:23">
      <c r="A31" s="4">
        <f>MAX(A$13:A30)+1</f>
        <v>17</v>
      </c>
      <c r="C31" s="4" t="s">
        <v>38</v>
      </c>
      <c r="E31" s="35" t="s">
        <v>40</v>
      </c>
      <c r="G31" s="32">
        <f>ROUND(('Rate Design'!D1128+'Rate Design'!D1129+'Rate Design'!D1130)/12,0)</f>
        <v>15</v>
      </c>
      <c r="I31" s="32">
        <f>('Rate Design'!D1170)/1000</f>
        <v>31450.823</v>
      </c>
      <c r="K31" s="33">
        <v>1618.4570000000001</v>
      </c>
      <c r="M31" s="33">
        <f>('Rate Design'!M1170-'Rate Design'!M1157)/1000</f>
        <v>1677.64</v>
      </c>
      <c r="O31" s="33">
        <f t="shared" si="1"/>
        <v>59.182999999999993</v>
      </c>
      <c r="Q31" s="34">
        <f t="shared" si="0"/>
        <v>3.656754550785099E-2</v>
      </c>
    </row>
    <row r="32" spans="1:23">
      <c r="A32" s="4">
        <f>MAX(A$13:A31)+1</f>
        <v>18</v>
      </c>
      <c r="C32" s="4" t="s">
        <v>38</v>
      </c>
      <c r="E32" s="35" t="s">
        <v>41</v>
      </c>
      <c r="G32" s="40">
        <f>ROUND(('Rate Design'!D1174+'Rate Design'!D1175+'Rate Design'!D1176)/12,0)</f>
        <v>6</v>
      </c>
      <c r="I32" s="40">
        <f>('Rate Design'!D1217)/1000</f>
        <v>69497.998999999996</v>
      </c>
      <c r="K32" s="38">
        <v>3583.7440000000001</v>
      </c>
      <c r="M32" s="38">
        <f>('Rate Design'!M1217-'Rate Design'!M1203)/1000</f>
        <v>3724.5819999999999</v>
      </c>
      <c r="O32" s="38">
        <f t="shared" si="1"/>
        <v>140.83799999999974</v>
      </c>
      <c r="Q32" s="39">
        <f t="shared" si="0"/>
        <v>3.9299124044574536E-2</v>
      </c>
    </row>
    <row r="33" spans="1:17">
      <c r="A33" s="4">
        <f>MAX(A$13:A32)+1</f>
        <v>19</v>
      </c>
      <c r="C33" s="41" t="s">
        <v>42</v>
      </c>
      <c r="D33" s="41"/>
      <c r="E33" s="41"/>
      <c r="F33" s="41"/>
      <c r="G33" s="42">
        <f>SUM(G30:G32)</f>
        <v>24</v>
      </c>
      <c r="H33" s="41"/>
      <c r="I33" s="42">
        <f>SUM(I30:I32)</f>
        <v>274933.03700000001</v>
      </c>
      <c r="J33" s="41"/>
      <c r="K33" s="43">
        <v>9057.228000000001</v>
      </c>
      <c r="L33" s="44"/>
      <c r="M33" s="43">
        <f>SUM(M30:M32)</f>
        <v>9418.1650000000009</v>
      </c>
      <c r="N33" s="44"/>
      <c r="O33" s="43">
        <f>SUM(O30:O32)</f>
        <v>360.9369999999999</v>
      </c>
      <c r="P33" s="41"/>
      <c r="Q33" s="45">
        <f t="shared" si="0"/>
        <v>3.985071370622445E-2</v>
      </c>
    </row>
    <row r="34" spans="1:17">
      <c r="A34" s="4">
        <f>MAX(A$13:A33)+1</f>
        <v>20</v>
      </c>
      <c r="C34" s="4" t="s">
        <v>43</v>
      </c>
      <c r="E34" s="4">
        <v>34</v>
      </c>
      <c r="G34" s="32">
        <v>1</v>
      </c>
      <c r="I34" s="32">
        <f>('Rate Design'!D1220)/1000</f>
        <v>1236761.9577242604</v>
      </c>
      <c r="K34" s="33">
        <v>16875.427752652893</v>
      </c>
      <c r="M34" s="33">
        <f>('Rate Design'!M1220)/1000</f>
        <v>16875.427752652893</v>
      </c>
      <c r="O34" s="33">
        <f>M34-K34</f>
        <v>0</v>
      </c>
      <c r="Q34" s="34">
        <f t="shared" si="0"/>
        <v>0</v>
      </c>
    </row>
    <row r="35" spans="1:17">
      <c r="A35" s="4">
        <f>MAX(A$13:A34)+1</f>
        <v>21</v>
      </c>
      <c r="C35" s="4" t="s">
        <v>44</v>
      </c>
      <c r="E35" s="35"/>
      <c r="G35" s="32">
        <f>ROUND(('Rate Design'!D1223)/12,0)</f>
        <v>1</v>
      </c>
      <c r="I35" s="32">
        <f>('Rate Design'!D1231)/1000</f>
        <v>647000</v>
      </c>
      <c r="K35" s="33">
        <v>40829.442999999999</v>
      </c>
      <c r="M35" s="33">
        <f>('Rate Design'!M1231)/1000</f>
        <v>42382.478999999999</v>
      </c>
      <c r="O35" s="33">
        <f>M35-K35</f>
        <v>1553.0360000000001</v>
      </c>
      <c r="Q35" s="34">
        <f t="shared" si="0"/>
        <v>3.8037158625945498E-2</v>
      </c>
    </row>
    <row r="36" spans="1:17">
      <c r="A36" s="4">
        <f>MAX(A$13:A35)+1</f>
        <v>22</v>
      </c>
      <c r="C36" s="4" t="s">
        <v>45</v>
      </c>
      <c r="E36" s="35"/>
      <c r="G36" s="32">
        <v>1</v>
      </c>
      <c r="I36" s="32">
        <f>('Rate Design'!D1248)/1000</f>
        <v>1339588</v>
      </c>
      <c r="K36" s="33">
        <v>104628.47446898281</v>
      </c>
      <c r="M36" s="33">
        <f>('Rate Design'!M1248)/1000</f>
        <v>104628.47446898281</v>
      </c>
      <c r="O36" s="33">
        <f>M36-K36</f>
        <v>0</v>
      </c>
      <c r="Q36" s="34">
        <f t="shared" si="0"/>
        <v>0</v>
      </c>
    </row>
    <row r="37" spans="1:17">
      <c r="A37" s="4">
        <f>MAX(A$13:A36)+1</f>
        <v>23</v>
      </c>
      <c r="C37" s="4" t="s">
        <v>21</v>
      </c>
      <c r="E37" s="35"/>
      <c r="G37" s="40"/>
      <c r="I37" s="40"/>
      <c r="K37" s="38">
        <v>7039.6780500000004</v>
      </c>
      <c r="M37" s="38">
        <f>('Rate Design'!M1276+'Rate Design'!M1277+'Rate Design'!M1278)/1000</f>
        <v>7039.6780500000004</v>
      </c>
      <c r="O37" s="38">
        <f>M37-K37</f>
        <v>0</v>
      </c>
      <c r="Q37" s="39">
        <f t="shared" si="0"/>
        <v>0</v>
      </c>
    </row>
    <row r="38" spans="1:17">
      <c r="A38" s="4">
        <f>MAX(A$13:A37)+1</f>
        <v>24</v>
      </c>
      <c r="C38" s="19" t="s">
        <v>46</v>
      </c>
      <c r="G38" s="32">
        <f>SUM(G19:G20,G22:G25,G27:G32,G34:G37)</f>
        <v>124073</v>
      </c>
      <c r="I38" s="32">
        <f>SUM(I19:I20,I22:I25,I27:I32,I34:I37)</f>
        <v>20489615.650431562</v>
      </c>
      <c r="K38" s="33">
        <v>1488390.8052716358</v>
      </c>
      <c r="M38" s="33">
        <f>SUM(M19:M20,M22:M25,M27:M32,M34:M37)</f>
        <v>1541549.8222716355</v>
      </c>
      <c r="O38" s="33">
        <f>SUM(O19:O20,O22:O25,O27:O32,O34:O37)</f>
        <v>53159.016999999898</v>
      </c>
      <c r="Q38" s="34">
        <f t="shared" si="0"/>
        <v>3.5715765517846117E-2</v>
      </c>
    </row>
    <row r="39" spans="1:17">
      <c r="C39" s="19" t="s">
        <v>47</v>
      </c>
      <c r="G39" s="32"/>
      <c r="I39" s="32"/>
      <c r="K39" s="33"/>
      <c r="M39" s="33"/>
      <c r="O39" s="33"/>
    </row>
    <row r="40" spans="1:17">
      <c r="A40" s="4">
        <f>MAX(A$13:A39)+1</f>
        <v>25</v>
      </c>
      <c r="C40" s="4" t="s">
        <v>48</v>
      </c>
      <c r="E40" s="4">
        <v>7</v>
      </c>
      <c r="G40" s="32">
        <f>ROUND(('Rate Design'!D353),0)</f>
        <v>6333</v>
      </c>
      <c r="I40" s="32">
        <f>('Rate Design'!D359)/1000</f>
        <v>10030.59208518304</v>
      </c>
      <c r="K40" s="33">
        <v>1372.3520000000001</v>
      </c>
      <c r="M40" s="33">
        <f>('Rate Design'!M359)/1000</f>
        <v>1426.482</v>
      </c>
      <c r="O40" s="33">
        <f>M40-K40</f>
        <v>54.129999999999882</v>
      </c>
      <c r="Q40" s="34">
        <f t="shared" ref="Q40:Q49" si="2">O40/K40</f>
        <v>3.9443233222963114E-2</v>
      </c>
    </row>
    <row r="41" spans="1:17">
      <c r="A41" s="4">
        <f>MAX(A$13:A40)+1</f>
        <v>26</v>
      </c>
      <c r="C41" s="4" t="s">
        <v>49</v>
      </c>
      <c r="E41" s="4">
        <v>11</v>
      </c>
      <c r="G41" s="32">
        <f>ROUND(('Rate Design'!D589),0)</f>
        <v>795</v>
      </c>
      <c r="I41" s="32">
        <f>('Rate Design'!D610)/1000</f>
        <v>13419.473877279579</v>
      </c>
      <c r="K41" s="33">
        <v>3925.4839999999999</v>
      </c>
      <c r="M41" s="33">
        <f>('Rate Design'!M610)/1000</f>
        <v>4080.3870000000002</v>
      </c>
      <c r="O41" s="33">
        <f>M41-K41</f>
        <v>154.90300000000025</v>
      </c>
      <c r="Q41" s="34">
        <f t="shared" si="2"/>
        <v>3.9460866481687416E-2</v>
      </c>
    </row>
    <row r="42" spans="1:17">
      <c r="A42" s="4">
        <f>MAX(A$13:A41)+1</f>
        <v>27</v>
      </c>
      <c r="C42" s="4" t="s">
        <v>50</v>
      </c>
      <c r="E42" s="4">
        <v>12</v>
      </c>
      <c r="G42" s="32">
        <f>ROUND(('Rate Design'!D686),0)</f>
        <v>1331</v>
      </c>
      <c r="I42" s="32">
        <f>('Rate Design'!D687)/1000</f>
        <v>29890.554483748136</v>
      </c>
      <c r="K42" s="33">
        <v>1495.6510000000001</v>
      </c>
      <c r="M42" s="33">
        <f>('Rate Design'!M687)/1000</f>
        <v>1554.2439999999999</v>
      </c>
      <c r="O42" s="33">
        <f>M42-K42</f>
        <v>58.592999999999847</v>
      </c>
      <c r="Q42" s="34">
        <f t="shared" si="2"/>
        <v>3.9175583073858704E-2</v>
      </c>
    </row>
    <row r="43" spans="1:17">
      <c r="A43" s="4">
        <f>MAX(A$13:A42)+1</f>
        <v>28</v>
      </c>
      <c r="C43" s="4" t="s">
        <v>51</v>
      </c>
      <c r="E43" s="4">
        <v>15</v>
      </c>
      <c r="G43" s="32">
        <f>ROUND(('Rate Design'!D692)/12,0)</f>
        <v>780</v>
      </c>
      <c r="I43" s="32">
        <f>('Rate Design'!D696)/1000</f>
        <v>15798.908622976987</v>
      </c>
      <c r="K43" s="33">
        <v>816.46</v>
      </c>
      <c r="M43" s="33">
        <f>('Rate Design'!M696)/1000</f>
        <v>850.42200000000003</v>
      </c>
      <c r="O43" s="33">
        <f>M43-K43</f>
        <v>33.961999999999989</v>
      </c>
      <c r="Q43" s="34">
        <f t="shared" si="2"/>
        <v>4.1596648947897004E-2</v>
      </c>
    </row>
    <row r="44" spans="1:17">
      <c r="A44" s="4">
        <f>MAX(A$13:A43)+1</f>
        <v>29</v>
      </c>
      <c r="C44" s="4" t="s">
        <v>52</v>
      </c>
      <c r="E44" s="4">
        <v>15</v>
      </c>
      <c r="G44" s="40">
        <f>ROUND(('Rate Design'!D726)/12,0)</f>
        <v>2738</v>
      </c>
      <c r="I44" s="40">
        <f>('Rate Design'!D730)/1000</f>
        <v>8267.891702285393</v>
      </c>
      <c r="K44" s="38">
        <v>870.07</v>
      </c>
      <c r="M44" s="38">
        <f>('Rate Design'!M730)/1000</f>
        <v>906.25800000000004</v>
      </c>
      <c r="O44" s="38">
        <f>M44-K44</f>
        <v>36.187999999999988</v>
      </c>
      <c r="Q44" s="39">
        <f t="shared" si="2"/>
        <v>4.1592055811601351E-2</v>
      </c>
    </row>
    <row r="45" spans="1:17">
      <c r="A45" s="4">
        <f>MAX(A$13:A44)+1</f>
        <v>30</v>
      </c>
      <c r="C45" s="41" t="s">
        <v>53</v>
      </c>
      <c r="D45" s="47"/>
      <c r="F45" s="47"/>
      <c r="G45" s="32">
        <f>SUM(G40:G44)</f>
        <v>11977</v>
      </c>
      <c r="H45" s="47"/>
      <c r="I45" s="32">
        <f>SUM(I40:I44)</f>
        <v>77407.420771473146</v>
      </c>
      <c r="J45" s="47"/>
      <c r="K45" s="33">
        <v>8480.0169999999998</v>
      </c>
      <c r="L45" s="33"/>
      <c r="M45" s="33">
        <f>SUM(M40:M44)</f>
        <v>8817.7929999999997</v>
      </c>
      <c r="N45" s="33"/>
      <c r="O45" s="33">
        <f>SUM(O40:O44)</f>
        <v>337.77599999999995</v>
      </c>
      <c r="Q45" s="34">
        <f t="shared" si="2"/>
        <v>3.98319956198201E-2</v>
      </c>
    </row>
    <row r="46" spans="1:17">
      <c r="A46" s="4">
        <f>MAX(A$13:A45)+1</f>
        <v>31</v>
      </c>
      <c r="C46" s="4" t="s">
        <v>54</v>
      </c>
      <c r="E46" s="35"/>
      <c r="G46" s="32">
        <f>ROUND(('Rate Design'!D1255),0)</f>
        <v>4</v>
      </c>
      <c r="I46" s="32">
        <f>('Rate Design'!D1256)/1000</f>
        <v>7.423</v>
      </c>
      <c r="K46" s="33">
        <v>0.56000000000000005</v>
      </c>
      <c r="M46" s="33">
        <f>('Rate Design'!M1256)/1000</f>
        <v>0.56000000000000005</v>
      </c>
      <c r="O46" s="33">
        <f>M46-K46</f>
        <v>0</v>
      </c>
      <c r="Q46" s="34">
        <f t="shared" si="2"/>
        <v>0</v>
      </c>
    </row>
    <row r="47" spans="1:17" ht="22.15" customHeight="1">
      <c r="A47" s="4">
        <f>MAX(A$13:A46)+1</f>
        <v>32</v>
      </c>
      <c r="C47" s="36" t="s">
        <v>21</v>
      </c>
      <c r="D47" s="48"/>
      <c r="E47" s="37"/>
      <c r="F47" s="48"/>
      <c r="G47" s="49"/>
      <c r="H47" s="48"/>
      <c r="I47" s="49"/>
      <c r="J47" s="48"/>
      <c r="K47" s="38">
        <v>4.6616400000000002</v>
      </c>
      <c r="M47" s="38">
        <f>'Rate Design'!M1279/1000</f>
        <v>4.6616400000000002</v>
      </c>
      <c r="O47" s="38">
        <f>M47-K47</f>
        <v>0</v>
      </c>
      <c r="Q47" s="39">
        <f t="shared" si="2"/>
        <v>0</v>
      </c>
    </row>
    <row r="48" spans="1:17">
      <c r="A48" s="4">
        <f>MAX(A$13:A47)+1</f>
        <v>33</v>
      </c>
      <c r="C48" s="50" t="s">
        <v>55</v>
      </c>
      <c r="E48" s="51"/>
      <c r="G48" s="40">
        <f>SUM(G46:G47)+G45</f>
        <v>11981</v>
      </c>
      <c r="I48" s="40">
        <f>SUM(I46:I47)+I45</f>
        <v>77414.843771473141</v>
      </c>
      <c r="K48" s="38">
        <v>8485.2386399999996</v>
      </c>
      <c r="M48" s="38">
        <f>SUM(M46:M47)+M45</f>
        <v>8823.0146399999994</v>
      </c>
      <c r="O48" s="38">
        <f>SUM(O46:O47)+O45</f>
        <v>337.77599999999995</v>
      </c>
      <c r="Q48" s="52">
        <f t="shared" si="2"/>
        <v>3.9807483835245433E-2</v>
      </c>
    </row>
    <row r="49" spans="1:23" ht="22.15" customHeight="1" thickBot="1">
      <c r="A49" s="4">
        <f>MAX(A$13:A48)+1</f>
        <v>34</v>
      </c>
      <c r="C49" s="53" t="s">
        <v>56</v>
      </c>
      <c r="E49" s="54"/>
      <c r="G49" s="55">
        <f>G48+G38+G17</f>
        <v>1092514</v>
      </c>
      <c r="I49" s="55">
        <f>I48+I38+I17</f>
        <v>28826511.503800046</v>
      </c>
      <c r="K49" s="56">
        <v>2444825.483631636</v>
      </c>
      <c r="M49" s="56">
        <f>M48+M38+M17</f>
        <v>2537758.9216316352</v>
      </c>
      <c r="O49" s="56">
        <f>O48+O38+O17</f>
        <v>92933.43799999982</v>
      </c>
      <c r="Q49" s="57">
        <f t="shared" si="2"/>
        <v>3.8012299291789522E-2</v>
      </c>
    </row>
    <row r="50" spans="1:23" ht="16.5" thickTop="1">
      <c r="A50" s="290" t="s">
        <v>471</v>
      </c>
      <c r="B50" s="290"/>
      <c r="C50" s="290"/>
      <c r="G50" s="30"/>
      <c r="H50" s="30"/>
      <c r="I50" s="30"/>
      <c r="J50" s="30"/>
      <c r="L50" s="4"/>
      <c r="M50" s="4"/>
      <c r="P50" s="30"/>
      <c r="Q50" s="30"/>
      <c r="T50" s="30"/>
      <c r="U50" s="30"/>
      <c r="V50" s="30"/>
      <c r="W50" s="30"/>
    </row>
    <row r="51" spans="1:23">
      <c r="A51" s="4" t="s">
        <v>485</v>
      </c>
      <c r="G51" s="30"/>
      <c r="H51" s="30"/>
      <c r="I51" s="30"/>
      <c r="J51" s="30"/>
      <c r="L51" s="4"/>
      <c r="M51" s="4"/>
      <c r="P51" s="30"/>
      <c r="Q51" s="30"/>
      <c r="T51" s="30"/>
      <c r="U51" s="30"/>
      <c r="V51" s="30"/>
      <c r="W51" s="30"/>
    </row>
    <row r="52" spans="1:23">
      <c r="A52" s="4" t="s">
        <v>484</v>
      </c>
      <c r="O52" s="4"/>
    </row>
  </sheetData>
  <printOptions horizontalCentered="1"/>
  <pageMargins left="0.5" right="0.5" top="1" bottom="0.5" header="0.5" footer="0.25"/>
  <pageSetup scale="72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2A3AA0-0F64-42C9-AC73-94409CBB0EF0}">
  <sheetPr>
    <pageSetUpPr fitToPage="1"/>
  </sheetPr>
  <dimension ref="A1:W52"/>
  <sheetViews>
    <sheetView view="pageBreakPreview" topLeftCell="D4" zoomScale="85" zoomScaleNormal="100" zoomScaleSheetLayoutView="85" workbookViewId="0">
      <selection activeCell="O22" sqref="O22"/>
    </sheetView>
  </sheetViews>
  <sheetFormatPr defaultColWidth="10" defaultRowHeight="15.75"/>
  <cols>
    <col min="1" max="1" width="5.140625" style="4" customWidth="1"/>
    <col min="2" max="2" width="1.7109375" style="4" customWidth="1"/>
    <col min="3" max="3" width="40.7109375" style="4" customWidth="1"/>
    <col min="4" max="4" width="1.7109375" style="4" customWidth="1"/>
    <col min="5" max="5" width="5.7109375" style="4" customWidth="1"/>
    <col min="6" max="6" width="1.7109375" style="4" customWidth="1"/>
    <col min="7" max="7" width="12" style="4" customWidth="1"/>
    <col min="8" max="8" width="1.7109375" style="4" customWidth="1"/>
    <col min="9" max="9" width="13.28515625" style="12" customWidth="1"/>
    <col min="10" max="10" width="1.7109375" style="4" customWidth="1"/>
    <col min="11" max="11" width="12.42578125" style="30" customWidth="1"/>
    <col min="12" max="12" width="1.7109375" style="30" customWidth="1"/>
    <col min="13" max="13" width="12.42578125" style="30" customWidth="1"/>
    <col min="14" max="14" width="1.7109375" style="30" customWidth="1"/>
    <col min="15" max="15" width="10.7109375" style="30" bestFit="1" customWidth="1"/>
    <col min="16" max="16" width="1.7109375" style="4" customWidth="1"/>
    <col min="17" max="17" width="8.42578125" style="4" customWidth="1"/>
    <col min="18" max="16384" width="10" style="4"/>
  </cols>
  <sheetData>
    <row r="1" spans="1:17">
      <c r="A1" s="1" t="s">
        <v>487</v>
      </c>
      <c r="B1" s="1"/>
      <c r="C1" s="1"/>
      <c r="D1" s="1"/>
      <c r="E1" s="1"/>
      <c r="F1" s="1"/>
      <c r="G1" s="1"/>
      <c r="H1" s="1"/>
      <c r="I1" s="2"/>
      <c r="J1" s="1"/>
      <c r="K1" s="3"/>
      <c r="L1" s="3"/>
      <c r="M1" s="3"/>
      <c r="N1" s="3"/>
      <c r="O1" s="3"/>
      <c r="P1" s="1"/>
      <c r="Q1" s="1"/>
    </row>
    <row r="2" spans="1:17" s="9" customFormat="1">
      <c r="A2" s="1" t="s">
        <v>0</v>
      </c>
      <c r="B2" s="6"/>
      <c r="C2" s="6"/>
      <c r="D2" s="6"/>
      <c r="E2" s="6"/>
      <c r="F2" s="6"/>
      <c r="G2" s="6"/>
      <c r="H2" s="6"/>
      <c r="I2" s="7"/>
      <c r="J2" s="6"/>
      <c r="K2" s="8"/>
      <c r="L2" s="8"/>
      <c r="M2" s="8"/>
      <c r="N2" s="8"/>
      <c r="O2" s="8"/>
      <c r="P2" s="6"/>
      <c r="Q2" s="6"/>
    </row>
    <row r="3" spans="1:17" s="9" customFormat="1">
      <c r="A3" s="1" t="s">
        <v>1</v>
      </c>
      <c r="B3" s="6"/>
      <c r="C3" s="6"/>
      <c r="D3" s="6"/>
      <c r="E3" s="6"/>
      <c r="F3" s="6"/>
      <c r="G3" s="6"/>
      <c r="H3" s="6"/>
      <c r="I3" s="7"/>
      <c r="J3" s="6"/>
      <c r="K3" s="8"/>
      <c r="L3" s="8"/>
      <c r="M3" s="8"/>
      <c r="N3" s="8"/>
      <c r="O3" s="8"/>
      <c r="P3" s="6"/>
      <c r="Q3" s="6"/>
    </row>
    <row r="4" spans="1:17" s="9" customFormat="1">
      <c r="A4" s="1" t="s">
        <v>2</v>
      </c>
      <c r="B4" s="6"/>
      <c r="C4" s="6"/>
      <c r="D4" s="6"/>
      <c r="E4" s="6"/>
      <c r="F4" s="6"/>
      <c r="G4" s="6"/>
      <c r="H4" s="6"/>
      <c r="I4" s="7"/>
      <c r="J4" s="6"/>
      <c r="K4" s="8"/>
      <c r="L4" s="8"/>
      <c r="M4" s="8"/>
      <c r="N4" s="8"/>
      <c r="O4" s="8"/>
      <c r="P4" s="6"/>
      <c r="Q4" s="6"/>
    </row>
    <row r="5" spans="1:17" s="9" customFormat="1">
      <c r="A5" s="1" t="s">
        <v>422</v>
      </c>
      <c r="B5" s="6"/>
      <c r="C5" s="6"/>
      <c r="D5" s="6"/>
      <c r="E5" s="6"/>
      <c r="F5" s="6"/>
      <c r="G5" s="6"/>
      <c r="H5" s="6"/>
      <c r="I5" s="7"/>
      <c r="J5" s="6"/>
      <c r="K5" s="8"/>
      <c r="L5" s="8"/>
      <c r="M5" s="8"/>
      <c r="N5" s="8"/>
      <c r="O5" s="8"/>
      <c r="P5" s="6"/>
      <c r="Q5" s="6"/>
    </row>
    <row r="6" spans="1:17">
      <c r="A6" s="1" t="s">
        <v>423</v>
      </c>
      <c r="B6" s="6"/>
      <c r="C6" s="6"/>
      <c r="D6" s="6"/>
      <c r="E6" s="6"/>
      <c r="F6" s="6"/>
      <c r="G6" s="6"/>
      <c r="H6" s="6"/>
      <c r="I6" s="7"/>
      <c r="J6" s="6"/>
      <c r="K6" s="8"/>
      <c r="L6" s="8"/>
      <c r="M6" s="8"/>
      <c r="N6" s="8"/>
      <c r="O6" s="8"/>
      <c r="P6" s="6"/>
      <c r="Q6" s="6"/>
    </row>
    <row r="7" spans="1:17">
      <c r="D7" s="10"/>
      <c r="F7" s="10"/>
      <c r="G7" s="11"/>
      <c r="H7" s="10"/>
      <c r="J7" s="10"/>
      <c r="K7" s="13"/>
      <c r="L7" s="14"/>
      <c r="M7" s="13"/>
      <c r="N7" s="14"/>
      <c r="O7" s="13"/>
      <c r="P7" s="10"/>
      <c r="Q7" s="11"/>
    </row>
    <row r="8" spans="1:17" ht="18.75">
      <c r="D8" s="11"/>
      <c r="E8" s="11"/>
      <c r="F8" s="11"/>
      <c r="G8" s="11" t="s">
        <v>3</v>
      </c>
      <c r="H8" s="11"/>
      <c r="I8" s="15"/>
      <c r="J8" s="11"/>
      <c r="K8" s="13" t="s">
        <v>479</v>
      </c>
      <c r="L8" s="13"/>
      <c r="M8" s="16" t="s">
        <v>480</v>
      </c>
      <c r="N8" s="16"/>
      <c r="O8" s="16"/>
      <c r="P8" s="17"/>
      <c r="Q8" s="18"/>
    </row>
    <row r="9" spans="1:17" s="19" customFormat="1">
      <c r="A9" s="19" t="s">
        <v>6</v>
      </c>
      <c r="D9" s="11"/>
      <c r="E9" s="11" t="s">
        <v>7</v>
      </c>
      <c r="F9" s="11"/>
      <c r="G9" s="11" t="s">
        <v>8</v>
      </c>
      <c r="H9" s="11"/>
      <c r="I9" s="15" t="s">
        <v>9</v>
      </c>
      <c r="J9" s="11"/>
      <c r="K9" s="13" t="s">
        <v>5</v>
      </c>
      <c r="L9" s="13"/>
      <c r="M9" s="13" t="s">
        <v>5</v>
      </c>
      <c r="N9" s="13"/>
      <c r="O9" s="16" t="s">
        <v>16</v>
      </c>
      <c r="P9" s="17"/>
      <c r="Q9" s="18"/>
    </row>
    <row r="10" spans="1:17" s="19" customFormat="1">
      <c r="A10" s="20" t="s">
        <v>10</v>
      </c>
      <c r="C10" s="21" t="s">
        <v>11</v>
      </c>
      <c r="E10" s="21" t="s">
        <v>10</v>
      </c>
      <c r="G10" s="21" t="s">
        <v>12</v>
      </c>
      <c r="I10" s="22" t="s">
        <v>12</v>
      </c>
      <c r="K10" s="23" t="s">
        <v>13</v>
      </c>
      <c r="L10" s="24"/>
      <c r="M10" s="23" t="s">
        <v>13</v>
      </c>
      <c r="N10" s="24"/>
      <c r="O10" s="23" t="s">
        <v>13</v>
      </c>
      <c r="Q10" s="25" t="s">
        <v>14</v>
      </c>
    </row>
    <row r="11" spans="1:17" s="19" customFormat="1">
      <c r="C11" s="26">
        <v>-1</v>
      </c>
      <c r="D11" s="26"/>
      <c r="E11" s="26">
        <f>MIN($A11:D11)-1</f>
        <v>-2</v>
      </c>
      <c r="F11" s="26"/>
      <c r="G11" s="26">
        <f>MIN($A11:F11)-1</f>
        <v>-3</v>
      </c>
      <c r="H11" s="26"/>
      <c r="I11" s="26">
        <f>MIN($A11:H11)-1</f>
        <v>-4</v>
      </c>
      <c r="J11" s="26"/>
      <c r="K11" s="27">
        <f>MIN($A11:J11)-1</f>
        <v>-5</v>
      </c>
      <c r="L11" s="27"/>
      <c r="M11" s="27">
        <f>MIN($A11:L11)-1</f>
        <v>-6</v>
      </c>
      <c r="N11" s="27"/>
      <c r="O11" s="27">
        <f>MIN($A11:N11)-1</f>
        <v>-7</v>
      </c>
      <c r="P11" s="27"/>
      <c r="Q11" s="27">
        <f>MIN($A11:P11)-1</f>
        <v>-8</v>
      </c>
    </row>
    <row r="12" spans="1:17" s="19" customFormat="1">
      <c r="I12" s="28"/>
      <c r="K12" s="24"/>
      <c r="L12" s="24"/>
      <c r="M12" s="24"/>
      <c r="N12" s="24"/>
      <c r="O12" s="13" t="str">
        <f>"(" &amp; -M11 &amp; ")-(" &amp; -K11 &amp; ")"</f>
        <v>(6)-(5)</v>
      </c>
      <c r="Q12" s="29" t="str">
        <f>"(" &amp; -O11 &amp; ")/(" &amp; -K11 &amp; ")"</f>
        <v>(7)/(5)</v>
      </c>
    </row>
    <row r="13" spans="1:17" s="19" customFormat="1">
      <c r="A13" s="4"/>
      <c r="B13" s="4"/>
      <c r="C13" s="19" t="s">
        <v>17</v>
      </c>
      <c r="D13" s="4"/>
      <c r="E13" s="4"/>
      <c r="F13" s="4"/>
      <c r="G13" s="4"/>
      <c r="H13" s="4"/>
      <c r="I13" s="12"/>
      <c r="J13" s="4"/>
      <c r="K13" s="30"/>
      <c r="L13" s="30"/>
      <c r="M13" s="30"/>
      <c r="N13" s="30"/>
      <c r="O13" s="30"/>
      <c r="P13" s="4"/>
      <c r="Q13" s="4"/>
    </row>
    <row r="14" spans="1:17">
      <c r="A14" s="4">
        <v>1</v>
      </c>
      <c r="C14" s="4" t="s">
        <v>17</v>
      </c>
      <c r="E14" s="31" t="s">
        <v>18</v>
      </c>
      <c r="G14" s="32">
        <f>ROUND(('Rate Design'!D11+'Rate Design'!D30+'Rate Design'!D85)/12,0)</f>
        <v>955431</v>
      </c>
      <c r="I14" s="32">
        <f>('Rate Design'!D27+'Rate Design'!D48+'Rate Design'!D102)/1000</f>
        <v>8246234.6115655489</v>
      </c>
      <c r="K14" s="33">
        <f>('Rate Design'!I27+'Rate Design'!I48+'Rate Design'!I102)/1000</f>
        <v>903796.52599999995</v>
      </c>
      <c r="M14" s="33">
        <f>('Rate Design'!M27+'Rate Design'!M48+'Rate Design'!M102)/1000</f>
        <v>985965.07</v>
      </c>
      <c r="O14" s="33">
        <f>M14-K14</f>
        <v>82168.543999999994</v>
      </c>
      <c r="Q14" s="34">
        <f>O14/K14</f>
        <v>9.0914870367625203E-2</v>
      </c>
    </row>
    <row r="15" spans="1:17">
      <c r="A15" s="4">
        <f>MAX(A$13:A14)+1</f>
        <v>2</v>
      </c>
      <c r="C15" s="4" t="s">
        <v>19</v>
      </c>
      <c r="E15" s="35" t="s">
        <v>20</v>
      </c>
      <c r="G15" s="32">
        <f>ROUND(('Rate Design'!D51+'Rate Design'!D70)/12,0)</f>
        <v>1029</v>
      </c>
      <c r="I15" s="32">
        <f>('Rate Design'!D67+'Rate Design'!D82)/1000</f>
        <v>13246.398031460629</v>
      </c>
      <c r="K15" s="33">
        <f>('Rate Design'!I67+'Rate Design'!I82)/1000</f>
        <v>1271.4949999999999</v>
      </c>
      <c r="M15" s="33">
        <f>('Rate Design'!M67+'Rate Design'!M82)/1000</f>
        <v>1383.8779999999999</v>
      </c>
      <c r="O15" s="33">
        <f>M15-K15</f>
        <v>112.38300000000004</v>
      </c>
      <c r="Q15" s="34">
        <f>O15/K15</f>
        <v>8.8386505648862204E-2</v>
      </c>
    </row>
    <row r="16" spans="1:17">
      <c r="A16" s="4">
        <f>MAX(A$13:A15)+1</f>
        <v>3</v>
      </c>
      <c r="C16" s="36" t="s">
        <v>21</v>
      </c>
      <c r="E16" s="37"/>
      <c r="G16" s="37"/>
      <c r="I16" s="37"/>
      <c r="K16" s="38">
        <f>'Rate Design'!I1275/1000</f>
        <v>37.136720000000011</v>
      </c>
      <c r="M16" s="38">
        <f>'Rate Design'!M1275/1000</f>
        <v>37.136720000000011</v>
      </c>
      <c r="O16" s="38">
        <f>M16-K16</f>
        <v>0</v>
      </c>
      <c r="Q16" s="39">
        <f>O16/K16</f>
        <v>0</v>
      </c>
    </row>
    <row r="17" spans="1:17">
      <c r="A17" s="4">
        <f>MAX(A$13:A16)+1</f>
        <v>4</v>
      </c>
      <c r="C17" s="19" t="s">
        <v>22</v>
      </c>
      <c r="G17" s="32">
        <f>SUM(G14:G16)</f>
        <v>956460</v>
      </c>
      <c r="I17" s="32">
        <f>SUM(I14:I16)</f>
        <v>8259481.00959701</v>
      </c>
      <c r="K17" s="33">
        <f>SUM(K14:K16)</f>
        <v>905105.1577199999</v>
      </c>
      <c r="M17" s="33">
        <f>SUM(M14:M16)</f>
        <v>987386.08471999993</v>
      </c>
      <c r="O17" s="33">
        <f>SUM(O14:O16)</f>
        <v>82280.926999999996</v>
      </c>
      <c r="Q17" s="34">
        <f>O17/K17</f>
        <v>9.0907588248938173E-2</v>
      </c>
    </row>
    <row r="18" spans="1:17">
      <c r="C18" s="19" t="s">
        <v>23</v>
      </c>
      <c r="G18" s="32"/>
      <c r="I18" s="32"/>
      <c r="K18" s="33"/>
      <c r="M18" s="33"/>
      <c r="O18" s="33"/>
    </row>
    <row r="19" spans="1:17">
      <c r="A19" s="4">
        <f>MAX(A$13:A18)+1</f>
        <v>5</v>
      </c>
      <c r="C19" s="4" t="s">
        <v>24</v>
      </c>
      <c r="E19" s="31">
        <v>6</v>
      </c>
      <c r="G19" s="32">
        <f>ROUND(('Rate Design'!D112+'Rate Design'!D168)/12,0)</f>
        <v>14281</v>
      </c>
      <c r="I19" s="32">
        <f>('Rate Design'!D123+'Rate Design'!D179)/1000</f>
        <v>6403525.7686540503</v>
      </c>
      <c r="K19" s="33">
        <f>('Rate Design'!I123+'Rate Design'!I179)/1000</f>
        <v>534791.63699999999</v>
      </c>
      <c r="M19" s="33">
        <f>('Rate Design'!M123+'Rate Design'!M179)/1000</f>
        <v>570479.978</v>
      </c>
      <c r="O19" s="33">
        <f>M19-K19</f>
        <v>35688.341000000015</v>
      </c>
      <c r="Q19" s="34">
        <f t="shared" ref="Q19:Q38" si="0">O19/K19</f>
        <v>6.6733169576471921E-2</v>
      </c>
    </row>
    <row r="20" spans="1:17">
      <c r="A20" s="4">
        <f>MAX(A$13:A19)+1</f>
        <v>6</v>
      </c>
      <c r="C20" s="4" t="s">
        <v>25</v>
      </c>
      <c r="E20" s="35" t="s">
        <v>26</v>
      </c>
      <c r="G20" s="40">
        <f>ROUND(('Rate Design'!D224+'Rate Design'!D284)/12,0)</f>
        <v>2827</v>
      </c>
      <c r="I20" s="40">
        <f>('Rate Design'!D236+'Rate Design'!D296)/1000</f>
        <v>380064.31338959344</v>
      </c>
      <c r="K20" s="38">
        <f>('Rate Design'!I236+'Rate Design'!I296)/1000</f>
        <v>43017.667000000001</v>
      </c>
      <c r="M20" s="38">
        <f>('Rate Design'!M236+'Rate Design'!M296)/1000</f>
        <v>45888.661999999997</v>
      </c>
      <c r="O20" s="38">
        <f>M20-K20</f>
        <v>2870.9949999999953</v>
      </c>
      <c r="Q20" s="39">
        <f t="shared" si="0"/>
        <v>6.673990479307014E-2</v>
      </c>
    </row>
    <row r="21" spans="1:17">
      <c r="A21" s="4">
        <f>MAX(A$13:A20)+1</f>
        <v>7</v>
      </c>
      <c r="B21" s="41"/>
      <c r="C21" s="41" t="s">
        <v>27</v>
      </c>
      <c r="D21" s="41"/>
      <c r="E21" s="41"/>
      <c r="F21" s="41"/>
      <c r="G21" s="42">
        <f>SUM(G19:G20)</f>
        <v>17108</v>
      </c>
      <c r="H21" s="41"/>
      <c r="I21" s="42">
        <f>SUM(I19:I20)</f>
        <v>6783590.082043644</v>
      </c>
      <c r="J21" s="41"/>
      <c r="K21" s="43">
        <f>SUM(K19:K20)</f>
        <v>577809.304</v>
      </c>
      <c r="L21" s="44"/>
      <c r="M21" s="43">
        <f>SUM(M19:M20)</f>
        <v>616368.64000000001</v>
      </c>
      <c r="N21" s="44"/>
      <c r="O21" s="43">
        <f>SUM(O19:O20)</f>
        <v>38559.33600000001</v>
      </c>
      <c r="P21" s="41"/>
      <c r="Q21" s="45">
        <f t="shared" si="0"/>
        <v>6.6733671010600432E-2</v>
      </c>
    </row>
    <row r="22" spans="1:17" s="41" customFormat="1">
      <c r="A22" s="4">
        <f>MAX(A$13:A21)+1</f>
        <v>8</v>
      </c>
      <c r="B22" s="4"/>
      <c r="C22" s="4" t="s">
        <v>28</v>
      </c>
      <c r="D22" s="4"/>
      <c r="E22" s="4">
        <v>8</v>
      </c>
      <c r="F22" s="32"/>
      <c r="G22" s="32">
        <f>ROUND(('Rate Design'!D389+'Rate Design'!D445)/12,0)</f>
        <v>223</v>
      </c>
      <c r="H22" s="32"/>
      <c r="I22" s="32">
        <f>('Rate Design'!D400+'Rate Design'!D456)/1000</f>
        <v>2393014.31817408</v>
      </c>
      <c r="J22" s="32"/>
      <c r="K22" s="33">
        <f>('Rate Design'!I400+'Rate Design'!I456)/1000</f>
        <v>174469.02100000001</v>
      </c>
      <c r="L22" s="46"/>
      <c r="M22" s="33">
        <f>('Rate Design'!M400+'Rate Design'!M456)/1000</f>
        <v>186985.304</v>
      </c>
      <c r="N22" s="46"/>
      <c r="O22" s="33">
        <f>M22-K22</f>
        <v>12516.282999999996</v>
      </c>
      <c r="P22" s="4"/>
      <c r="Q22" s="34">
        <f t="shared" si="0"/>
        <v>7.1739286024881152E-2</v>
      </c>
    </row>
    <row r="23" spans="1:17" ht="22.15" customHeight="1">
      <c r="A23" s="4">
        <f>MAX(A$13:A22)+1</f>
        <v>9</v>
      </c>
      <c r="C23" s="4" t="s">
        <v>29</v>
      </c>
      <c r="E23" s="4">
        <v>9</v>
      </c>
      <c r="G23" s="32">
        <f>ROUND(('Rate Design'!D459)/12,0)</f>
        <v>164</v>
      </c>
      <c r="I23" s="32">
        <f>('Rate Design'!D470)/1000</f>
        <v>5060524.3736956455</v>
      </c>
      <c r="K23" s="33">
        <f>('Rate Design'!I470)/1000</f>
        <v>281744.34100000001</v>
      </c>
      <c r="M23" s="33">
        <f>('Rate Design'!M470)/1000</f>
        <v>305776.21799999999</v>
      </c>
      <c r="O23" s="33">
        <f>M23-K23</f>
        <v>24031.876999999979</v>
      </c>
      <c r="Q23" s="34">
        <f t="shared" si="0"/>
        <v>8.5296751355158462E-2</v>
      </c>
    </row>
    <row r="24" spans="1:17" ht="22.15" customHeight="1">
      <c r="A24" s="4">
        <f>MAX(A$13:A23)+1</f>
        <v>10</v>
      </c>
      <c r="C24" s="4" t="s">
        <v>30</v>
      </c>
      <c r="E24" s="35" t="s">
        <v>31</v>
      </c>
      <c r="G24" s="32">
        <f>ROUND(('Rate Design'!D1234)/12,0)</f>
        <v>1</v>
      </c>
      <c r="I24" s="32">
        <f>('Rate Design'!D1242)/1000</f>
        <v>324160</v>
      </c>
      <c r="K24" s="33">
        <f>('Rate Design'!I1242)/1000</f>
        <v>16067.134</v>
      </c>
      <c r="M24" s="33">
        <f>('Rate Design'!M1242)/1000</f>
        <v>19493.901999999998</v>
      </c>
      <c r="O24" s="33">
        <f>M24-K24</f>
        <v>3426.7679999999982</v>
      </c>
      <c r="Q24" s="34">
        <f t="shared" si="0"/>
        <v>0.21327811170305783</v>
      </c>
    </row>
    <row r="25" spans="1:17" ht="22.15" customHeight="1">
      <c r="A25" s="4">
        <f>MAX(A$13:A24)+1</f>
        <v>11</v>
      </c>
      <c r="C25" s="4" t="s">
        <v>32</v>
      </c>
      <c r="E25" s="35" t="s">
        <v>33</v>
      </c>
      <c r="G25" s="40">
        <f>ROUND(('Rate Design'!D501)/12,0)</f>
        <v>8</v>
      </c>
      <c r="I25" s="40">
        <f>('Rate Design'!D511)/1000</f>
        <v>45448.731500000002</v>
      </c>
      <c r="K25" s="38">
        <f>('Rate Design'!I511)/1000</f>
        <v>2817.835</v>
      </c>
      <c r="M25" s="38">
        <f>('Rate Design'!M511)/1000</f>
        <v>3589.1210000000001</v>
      </c>
      <c r="O25" s="38">
        <f>M25-K25</f>
        <v>771.28600000000006</v>
      </c>
      <c r="Q25" s="39">
        <f t="shared" si="0"/>
        <v>0.27371581373643245</v>
      </c>
    </row>
    <row r="26" spans="1:17">
      <c r="A26" s="4">
        <f>MAX(A$13:A25)+1</f>
        <v>12</v>
      </c>
      <c r="C26" s="41" t="s">
        <v>34</v>
      </c>
      <c r="D26" s="41"/>
      <c r="E26" s="41"/>
      <c r="F26" s="41"/>
      <c r="G26" s="42">
        <f>SUM(G23:G25)</f>
        <v>173</v>
      </c>
      <c r="H26" s="41"/>
      <c r="I26" s="42">
        <f>SUM(I23:I25)</f>
        <v>5430133.1051956452</v>
      </c>
      <c r="J26" s="41"/>
      <c r="K26" s="43">
        <f>SUM(K23:K25)</f>
        <v>300629.31000000006</v>
      </c>
      <c r="L26" s="44"/>
      <c r="M26" s="43">
        <f>SUM(M23:M25)</f>
        <v>328859.24099999998</v>
      </c>
      <c r="N26" s="44"/>
      <c r="O26" s="43">
        <f>SUM(O23:O25)</f>
        <v>28229.930999999975</v>
      </c>
      <c r="P26" s="41"/>
      <c r="Q26" s="45">
        <f t="shared" si="0"/>
        <v>9.3902790117171106E-2</v>
      </c>
    </row>
    <row r="27" spans="1:17">
      <c r="A27" s="4">
        <f>MAX(A$13:A26)+1</f>
        <v>13</v>
      </c>
      <c r="C27" s="4" t="s">
        <v>35</v>
      </c>
      <c r="E27" s="35">
        <v>10</v>
      </c>
      <c r="G27" s="32">
        <f>ROUND('Rate Design'!D540+'Rate Design'!D541+'Rate Design'!D562+'Rate Design'!D563,0)</f>
        <v>3540</v>
      </c>
      <c r="I27" s="32">
        <f>('Rate Design'!D559+'Rate Design'!D581)/1000</f>
        <v>242214.34810360699</v>
      </c>
      <c r="K27" s="33">
        <f>('Rate Design'!I559+'Rate Design'!I581)/1000</f>
        <v>19068.064999999999</v>
      </c>
      <c r="M27" s="33">
        <f>('Rate Design'!M559+'Rate Design'!M581)/1000</f>
        <v>20455.027999999998</v>
      </c>
      <c r="O27" s="33">
        <f t="shared" ref="O27:O32" si="1">M27-K27</f>
        <v>1386.9629999999997</v>
      </c>
      <c r="Q27" s="34">
        <f t="shared" si="0"/>
        <v>7.2737480179556752E-2</v>
      </c>
    </row>
    <row r="28" spans="1:17" ht="22.15" customHeight="1">
      <c r="A28" s="4">
        <f>MAX(A$13:A27)+1</f>
        <v>14</v>
      </c>
      <c r="C28" s="4" t="s">
        <v>36</v>
      </c>
      <c r="E28" s="31">
        <v>23</v>
      </c>
      <c r="G28" s="32">
        <f>ROUND(('Rate Design'!D754+'Rate Design'!D818)/12,0)</f>
        <v>102995</v>
      </c>
      <c r="I28" s="32">
        <f>('Rate Design'!D767+'Rate Design'!D831)/1000</f>
        <v>1823052.4187130935</v>
      </c>
      <c r="K28" s="33">
        <f>('Rate Design'!I767+'Rate Design'!I831)/1000</f>
        <v>175902.86</v>
      </c>
      <c r="M28" s="33">
        <f>('Rate Design'!M767+'Rate Design'!M831)/1000</f>
        <v>188697.39799999999</v>
      </c>
      <c r="O28" s="33">
        <f t="shared" si="1"/>
        <v>12794.538</v>
      </c>
      <c r="Q28" s="34">
        <f t="shared" si="0"/>
        <v>7.2736384161121659E-2</v>
      </c>
    </row>
    <row r="29" spans="1:17">
      <c r="A29" s="4">
        <f>MAX(A$13:A28)+1</f>
        <v>15</v>
      </c>
      <c r="C29" s="4" t="s">
        <v>37</v>
      </c>
      <c r="E29" s="4">
        <v>31</v>
      </c>
      <c r="G29" s="32">
        <f>ROUND(('Rate Design'!D883+'Rate Design'!D897+'Rate Design'!D911)/12,0)</f>
        <v>7</v>
      </c>
      <c r="I29" s="32">
        <f>('Rate Design'!D945)/1000</f>
        <v>319328.38347723125</v>
      </c>
      <c r="K29" s="33">
        <f>('Rate Design'!I945)/1000</f>
        <v>18496.418000000001</v>
      </c>
      <c r="M29" s="33">
        <f>('Rate Design'!M945)/1000</f>
        <v>19839.987000000001</v>
      </c>
      <c r="O29" s="33">
        <f t="shared" si="1"/>
        <v>1343.5689999999995</v>
      </c>
      <c r="Q29" s="34">
        <f t="shared" si="0"/>
        <v>7.2639415912854013E-2</v>
      </c>
    </row>
    <row r="30" spans="1:17">
      <c r="A30" s="4">
        <f>MAX(A$13:A29)+1</f>
        <v>16</v>
      </c>
      <c r="C30" s="4" t="s">
        <v>38</v>
      </c>
      <c r="E30" s="35" t="s">
        <v>39</v>
      </c>
      <c r="G30" s="32">
        <f>ROUND(('Rate Design'!D1081+'Rate Design'!D1082+'Rate Design'!D1083)/12,0)</f>
        <v>3</v>
      </c>
      <c r="I30" s="32">
        <f>('Rate Design'!D1124)/1000</f>
        <v>173984.215</v>
      </c>
      <c r="K30" s="33">
        <f>('Rate Design'!I1124-'Rate Design'!I1110-'Rate Design'!I1111)/1000</f>
        <v>3951.837</v>
      </c>
      <c r="M30" s="33">
        <f>('Rate Design'!M1124-'Rate Design'!M1110-'Rate Design'!M1111)/1000</f>
        <v>4015.9430000000002</v>
      </c>
      <c r="O30" s="33">
        <f t="shared" si="1"/>
        <v>64.106000000000222</v>
      </c>
      <c r="Q30" s="34">
        <f t="shared" si="0"/>
        <v>1.622182291425487E-2</v>
      </c>
    </row>
    <row r="31" spans="1:17">
      <c r="A31" s="4">
        <f>MAX(A$13:A30)+1</f>
        <v>17</v>
      </c>
      <c r="C31" s="4" t="s">
        <v>38</v>
      </c>
      <c r="E31" s="35" t="s">
        <v>40</v>
      </c>
      <c r="G31" s="32">
        <f>ROUND(('Rate Design'!D1128+'Rate Design'!D1129+'Rate Design'!D1130)/12,0)</f>
        <v>15</v>
      </c>
      <c r="I31" s="32">
        <f>('Rate Design'!D1170)/1000</f>
        <v>31450.823</v>
      </c>
      <c r="K31" s="33">
        <f>('Rate Design'!I1170-'Rate Design'!I1157)/1000</f>
        <v>1661.0930000000001</v>
      </c>
      <c r="M31" s="33">
        <f>('Rate Design'!M1170-'Rate Design'!M1157)/1000</f>
        <v>1677.64</v>
      </c>
      <c r="O31" s="33">
        <f t="shared" si="1"/>
        <v>16.547000000000025</v>
      </c>
      <c r="Q31" s="34">
        <f t="shared" si="0"/>
        <v>9.9615132927536407E-3</v>
      </c>
    </row>
    <row r="32" spans="1:17">
      <c r="A32" s="4">
        <f>MAX(A$13:A31)+1</f>
        <v>18</v>
      </c>
      <c r="C32" s="4" t="s">
        <v>38</v>
      </c>
      <c r="E32" s="35" t="s">
        <v>41</v>
      </c>
      <c r="G32" s="40">
        <f>ROUND(('Rate Design'!D1174+'Rate Design'!D1175+'Rate Design'!D1176)/12,0)</f>
        <v>6</v>
      </c>
      <c r="I32" s="40">
        <f>('Rate Design'!D1217)/1000</f>
        <v>69497.998999999996</v>
      </c>
      <c r="K32" s="38">
        <f>('Rate Design'!I1217-'Rate Design'!I1203)/1000</f>
        <v>3588.1930000000002</v>
      </c>
      <c r="M32" s="38">
        <f>('Rate Design'!M1217-'Rate Design'!M1203)/1000</f>
        <v>3724.5819999999999</v>
      </c>
      <c r="O32" s="38">
        <f t="shared" si="1"/>
        <v>136.38899999999967</v>
      </c>
      <c r="Q32" s="39">
        <f t="shared" si="0"/>
        <v>3.8010497205696478E-2</v>
      </c>
    </row>
    <row r="33" spans="1:17">
      <c r="A33" s="4">
        <f>MAX(A$13:A32)+1</f>
        <v>19</v>
      </c>
      <c r="C33" s="41" t="s">
        <v>42</v>
      </c>
      <c r="D33" s="41"/>
      <c r="E33" s="41"/>
      <c r="F33" s="41"/>
      <c r="G33" s="42">
        <f>SUM(G30:G32)</f>
        <v>24</v>
      </c>
      <c r="H33" s="41"/>
      <c r="I33" s="42">
        <f>SUM(I30:I32)</f>
        <v>274933.03700000001</v>
      </c>
      <c r="J33" s="41"/>
      <c r="K33" s="43">
        <f>SUM(K30:K32)</f>
        <v>9201.1229999999996</v>
      </c>
      <c r="L33" s="44"/>
      <c r="M33" s="43">
        <f>SUM(M30:M32)</f>
        <v>9418.1650000000009</v>
      </c>
      <c r="N33" s="44"/>
      <c r="O33" s="43">
        <f>SUM(O30:O32)</f>
        <v>217.04199999999992</v>
      </c>
      <c r="P33" s="41"/>
      <c r="Q33" s="45">
        <f t="shared" si="0"/>
        <v>2.3588642386369568E-2</v>
      </c>
    </row>
    <row r="34" spans="1:17">
      <c r="A34" s="4">
        <f>MAX(A$13:A33)+1</f>
        <v>20</v>
      </c>
      <c r="C34" s="4" t="s">
        <v>43</v>
      </c>
      <c r="E34" s="4">
        <v>34</v>
      </c>
      <c r="G34" s="32">
        <v>1</v>
      </c>
      <c r="I34" s="32">
        <f>('Rate Design'!D1220)/1000</f>
        <v>1236761.9577242604</v>
      </c>
      <c r="K34" s="33">
        <f>('Rate Design'!I1220)/1000</f>
        <v>16875.427752652893</v>
      </c>
      <c r="M34" s="33">
        <f>('Rate Design'!M1220)/1000</f>
        <v>16875.427752652893</v>
      </c>
      <c r="O34" s="33">
        <f>M34-K34</f>
        <v>0</v>
      </c>
      <c r="Q34" s="34">
        <f t="shared" si="0"/>
        <v>0</v>
      </c>
    </row>
    <row r="35" spans="1:17">
      <c r="A35" s="4">
        <f>MAX(A$13:A34)+1</f>
        <v>21</v>
      </c>
      <c r="C35" s="4" t="s">
        <v>44</v>
      </c>
      <c r="E35" s="35"/>
      <c r="G35" s="32">
        <f>ROUND(('Rate Design'!D1223)/12,0)</f>
        <v>1</v>
      </c>
      <c r="I35" s="32">
        <f>('Rate Design'!D1231)/1000</f>
        <v>647000</v>
      </c>
      <c r="K35" s="33">
        <f>('Rate Design'!I1231)/1000</f>
        <v>39362.118000000002</v>
      </c>
      <c r="M35" s="33">
        <f>('Rate Design'!M1231)/1000</f>
        <v>42382.478999999999</v>
      </c>
      <c r="O35" s="33">
        <f>M35-K35</f>
        <v>3020.3609999999971</v>
      </c>
      <c r="Q35" s="34">
        <f t="shared" si="0"/>
        <v>7.6732684963751116E-2</v>
      </c>
    </row>
    <row r="36" spans="1:17">
      <c r="A36" s="4">
        <f>MAX(A$13:A35)+1</f>
        <v>22</v>
      </c>
      <c r="C36" s="4" t="s">
        <v>45</v>
      </c>
      <c r="E36" s="35"/>
      <c r="G36" s="32">
        <v>1</v>
      </c>
      <c r="I36" s="32">
        <f>('Rate Design'!D1248)/1000</f>
        <v>1339588</v>
      </c>
      <c r="K36" s="33">
        <f>('Rate Design'!I1248)/1000</f>
        <v>104628.47446898281</v>
      </c>
      <c r="M36" s="33">
        <f>('Rate Design'!M1248)/1000</f>
        <v>104628.47446898281</v>
      </c>
      <c r="O36" s="33">
        <f>M36-K36</f>
        <v>0</v>
      </c>
      <c r="Q36" s="34">
        <f t="shared" si="0"/>
        <v>0</v>
      </c>
    </row>
    <row r="37" spans="1:17">
      <c r="A37" s="4">
        <f>MAX(A$13:A36)+1</f>
        <v>23</v>
      </c>
      <c r="C37" s="4" t="s">
        <v>21</v>
      </c>
      <c r="E37" s="35"/>
      <c r="G37" s="40"/>
      <c r="I37" s="40"/>
      <c r="K37" s="38">
        <f>('Rate Design'!I1276+'Rate Design'!I1277+'Rate Design'!I1278)/1000</f>
        <v>7039.6780500000004</v>
      </c>
      <c r="M37" s="38">
        <f>('Rate Design'!M1276+'Rate Design'!M1277+'Rate Design'!M1278)/1000</f>
        <v>7039.6780500000004</v>
      </c>
      <c r="O37" s="38">
        <f>M37-K37</f>
        <v>0</v>
      </c>
      <c r="Q37" s="39">
        <f t="shared" si="0"/>
        <v>0</v>
      </c>
    </row>
    <row r="38" spans="1:17">
      <c r="A38" s="4">
        <f>MAX(A$13:A37)+1</f>
        <v>24</v>
      </c>
      <c r="C38" s="19" t="s">
        <v>46</v>
      </c>
      <c r="G38" s="32">
        <f>SUM(G19:G20,G22:G25,G27:G32,G34:G37)</f>
        <v>124073</v>
      </c>
      <c r="I38" s="32">
        <f>SUM(I19:I20,I22:I25,I27:I32,I34:I37)</f>
        <v>20489615.650431562</v>
      </c>
      <c r="K38" s="33">
        <f>SUM(K19:K20,K22:K25,K27:K32,K34:K37)</f>
        <v>1443481.7992716359</v>
      </c>
      <c r="M38" s="33">
        <f>SUM(M19:M20,M22:M25,M27:M32,M34:M37)</f>
        <v>1541549.8222716355</v>
      </c>
      <c r="O38" s="33">
        <f>SUM(O19:O20,O22:O25,O27:O32,O34:O37)</f>
        <v>98068.022999999986</v>
      </c>
      <c r="Q38" s="34">
        <f t="shared" si="0"/>
        <v>6.793852409464668E-2</v>
      </c>
    </row>
    <row r="39" spans="1:17">
      <c r="C39" s="19" t="s">
        <v>47</v>
      </c>
      <c r="G39" s="32"/>
      <c r="I39" s="32"/>
      <c r="K39" s="33"/>
      <c r="M39" s="33"/>
      <c r="O39" s="33"/>
    </row>
    <row r="40" spans="1:17">
      <c r="A40" s="4">
        <f>MAX(A$13:A39)+1</f>
        <v>25</v>
      </c>
      <c r="C40" s="4" t="s">
        <v>48</v>
      </c>
      <c r="E40" s="4">
        <v>7</v>
      </c>
      <c r="G40" s="32">
        <f>ROUND(('Rate Design'!D353),0)</f>
        <v>6333</v>
      </c>
      <c r="I40" s="32">
        <f>('Rate Design'!D359)/1000</f>
        <v>10030.59208518304</v>
      </c>
      <c r="K40" s="33">
        <f>('Rate Design'!I359)/1000</f>
        <v>1362.222</v>
      </c>
      <c r="M40" s="33">
        <f>('Rate Design'!M359)/1000</f>
        <v>1426.482</v>
      </c>
      <c r="O40" s="33">
        <f>M40-K40</f>
        <v>64.259999999999991</v>
      </c>
      <c r="Q40" s="34">
        <f t="shared" ref="Q40:Q49" si="2">O40/K40</f>
        <v>4.7172927760673361E-2</v>
      </c>
    </row>
    <row r="41" spans="1:17">
      <c r="A41" s="4">
        <f>MAX(A$13:A40)+1</f>
        <v>26</v>
      </c>
      <c r="C41" s="4" t="s">
        <v>49</v>
      </c>
      <c r="E41" s="4">
        <v>11</v>
      </c>
      <c r="G41" s="32">
        <f>ROUND(('Rate Design'!D589),0)</f>
        <v>795</v>
      </c>
      <c r="I41" s="32">
        <f>('Rate Design'!D610)/1000</f>
        <v>13419.473877279579</v>
      </c>
      <c r="K41" s="33">
        <f>('Rate Design'!I610)/1000</f>
        <v>3897.3339999999998</v>
      </c>
      <c r="M41" s="33">
        <f>('Rate Design'!M610)/1000</f>
        <v>4080.3870000000002</v>
      </c>
      <c r="O41" s="33">
        <f>M41-K41</f>
        <v>183.05300000000034</v>
      </c>
      <c r="Q41" s="34">
        <f t="shared" si="2"/>
        <v>4.6968774038868712E-2</v>
      </c>
    </row>
    <row r="42" spans="1:17">
      <c r="A42" s="4">
        <f>MAX(A$13:A41)+1</f>
        <v>27</v>
      </c>
      <c r="C42" s="4" t="s">
        <v>50</v>
      </c>
      <c r="E42" s="4">
        <v>12</v>
      </c>
      <c r="G42" s="32">
        <f>ROUND(('Rate Design'!D686),0)</f>
        <v>1331</v>
      </c>
      <c r="I42" s="32">
        <f>('Rate Design'!D687)/1000</f>
        <v>29890.554483748136</v>
      </c>
      <c r="K42" s="33">
        <f>('Rate Design'!I687)/1000</f>
        <v>1484.8420000000001</v>
      </c>
      <c r="M42" s="33">
        <f>('Rate Design'!M687)/1000</f>
        <v>1554.2439999999999</v>
      </c>
      <c r="O42" s="33">
        <f>M42-K42</f>
        <v>69.401999999999816</v>
      </c>
      <c r="Q42" s="34">
        <f t="shared" si="2"/>
        <v>4.674032658020167E-2</v>
      </c>
    </row>
    <row r="43" spans="1:17">
      <c r="A43" s="4">
        <f>MAX(A$13:A42)+1</f>
        <v>28</v>
      </c>
      <c r="C43" s="4" t="s">
        <v>51</v>
      </c>
      <c r="E43" s="4">
        <v>15</v>
      </c>
      <c r="G43" s="32">
        <f>ROUND(('Rate Design'!D692)/12,0)</f>
        <v>780</v>
      </c>
      <c r="I43" s="32">
        <f>('Rate Design'!D696)/1000</f>
        <v>15798.908622976987</v>
      </c>
      <c r="K43" s="33">
        <f>('Rate Design'!I696)/1000</f>
        <v>779.55399999999997</v>
      </c>
      <c r="M43" s="33">
        <f>('Rate Design'!M696)/1000</f>
        <v>850.42200000000003</v>
      </c>
      <c r="O43" s="33">
        <f>M43-K43</f>
        <v>70.868000000000052</v>
      </c>
      <c r="Q43" s="34">
        <f t="shared" si="2"/>
        <v>9.0908391208306363E-2</v>
      </c>
    </row>
    <row r="44" spans="1:17">
      <c r="A44" s="4">
        <f>MAX(A$13:A43)+1</f>
        <v>29</v>
      </c>
      <c r="C44" s="4" t="s">
        <v>52</v>
      </c>
      <c r="E44" s="4">
        <v>15</v>
      </c>
      <c r="G44" s="40">
        <f>ROUND(('Rate Design'!D726)/12,0)</f>
        <v>2738</v>
      </c>
      <c r="I44" s="40">
        <f>('Rate Design'!D730)/1000</f>
        <v>8267.891702285393</v>
      </c>
      <c r="K44" s="38">
        <f>('Rate Design'!I730)/1000</f>
        <v>830.74199999999996</v>
      </c>
      <c r="M44" s="38">
        <f>('Rate Design'!M730)/1000</f>
        <v>906.25800000000004</v>
      </c>
      <c r="O44" s="38">
        <f>M44-K44</f>
        <v>75.516000000000076</v>
      </c>
      <c r="Q44" s="39">
        <f t="shared" si="2"/>
        <v>9.0901868450132622E-2</v>
      </c>
    </row>
    <row r="45" spans="1:17">
      <c r="A45" s="4">
        <f>MAX(A$13:A44)+1</f>
        <v>30</v>
      </c>
      <c r="C45" s="41" t="s">
        <v>53</v>
      </c>
      <c r="D45" s="47"/>
      <c r="F45" s="47"/>
      <c r="G45" s="32">
        <f>SUM(G40:G44)</f>
        <v>11977</v>
      </c>
      <c r="H45" s="47"/>
      <c r="I45" s="32">
        <f>SUM(I40:I44)</f>
        <v>77407.420771473146</v>
      </c>
      <c r="J45" s="47"/>
      <c r="K45" s="33">
        <f>SUM(K40:K44)</f>
        <v>8354.6939999999995</v>
      </c>
      <c r="L45" s="33"/>
      <c r="M45" s="33">
        <f>SUM(M40:M44)</f>
        <v>8817.7929999999997</v>
      </c>
      <c r="N45" s="33"/>
      <c r="O45" s="33">
        <f>SUM(O40:O44)</f>
        <v>463.09900000000027</v>
      </c>
      <c r="Q45" s="34">
        <f t="shared" si="2"/>
        <v>5.5429797907619392E-2</v>
      </c>
    </row>
    <row r="46" spans="1:17">
      <c r="A46" s="4">
        <f>MAX(A$13:A45)+1</f>
        <v>31</v>
      </c>
      <c r="C46" s="4" t="s">
        <v>54</v>
      </c>
      <c r="E46" s="35"/>
      <c r="G46" s="32">
        <f>ROUND(('Rate Design'!D1255),0)</f>
        <v>4</v>
      </c>
      <c r="I46" s="32">
        <f>('Rate Design'!D1256)/1000</f>
        <v>7.423</v>
      </c>
      <c r="K46" s="33">
        <f>('Rate Design'!I1256)/1000</f>
        <v>0.56000000000000005</v>
      </c>
      <c r="M46" s="33">
        <f>('Rate Design'!M1256)/1000</f>
        <v>0.56000000000000005</v>
      </c>
      <c r="O46" s="33">
        <f>M46-K46</f>
        <v>0</v>
      </c>
      <c r="Q46" s="34">
        <f t="shared" si="2"/>
        <v>0</v>
      </c>
    </row>
    <row r="47" spans="1:17" ht="22.15" customHeight="1">
      <c r="A47" s="4">
        <f>MAX(A$13:A46)+1</f>
        <v>32</v>
      </c>
      <c r="C47" s="36" t="s">
        <v>21</v>
      </c>
      <c r="D47" s="48"/>
      <c r="E47" s="37"/>
      <c r="F47" s="48"/>
      <c r="G47" s="49"/>
      <c r="H47" s="48"/>
      <c r="I47" s="49"/>
      <c r="J47" s="48"/>
      <c r="K47" s="38">
        <f>'Rate Design'!I1279/1000</f>
        <v>4.6616400000000002</v>
      </c>
      <c r="M47" s="38">
        <f>'Rate Design'!M1279/1000</f>
        <v>4.6616400000000002</v>
      </c>
      <c r="O47" s="38">
        <f>M47-K47</f>
        <v>0</v>
      </c>
      <c r="Q47" s="39">
        <f t="shared" si="2"/>
        <v>0</v>
      </c>
    </row>
    <row r="48" spans="1:17">
      <c r="A48" s="4">
        <f>MAX(A$13:A47)+1</f>
        <v>33</v>
      </c>
      <c r="C48" s="50" t="s">
        <v>55</v>
      </c>
      <c r="E48" s="51"/>
      <c r="G48" s="40">
        <f>SUM(G46:G47)+G45</f>
        <v>11981</v>
      </c>
      <c r="I48" s="40">
        <f>SUM(I46:I47)+I45</f>
        <v>77414.843771473141</v>
      </c>
      <c r="K48" s="38">
        <f>SUM(K46:K47)+K45</f>
        <v>8359.9156399999993</v>
      </c>
      <c r="M48" s="38">
        <f>SUM(M46:M47)+M45</f>
        <v>8823.0146399999994</v>
      </c>
      <c r="O48" s="38">
        <f>SUM(O46:O47)+O45</f>
        <v>463.09900000000027</v>
      </c>
      <c r="Q48" s="52">
        <f t="shared" si="2"/>
        <v>5.5395176212567655E-2</v>
      </c>
    </row>
    <row r="49" spans="1:23" ht="22.15" customHeight="1" thickBot="1">
      <c r="A49" s="4">
        <f>MAX(A$13:A48)+1</f>
        <v>34</v>
      </c>
      <c r="C49" s="53" t="s">
        <v>56</v>
      </c>
      <c r="E49" s="54"/>
      <c r="G49" s="55">
        <f>G48+G38+G17</f>
        <v>1092514</v>
      </c>
      <c r="I49" s="55">
        <f>I48+I38+I17</f>
        <v>28826511.503800046</v>
      </c>
      <c r="K49" s="56">
        <f>K48+K38+K17</f>
        <v>2356946.872631636</v>
      </c>
      <c r="M49" s="56">
        <f>M48+M38+M17</f>
        <v>2537758.9216316352</v>
      </c>
      <c r="O49" s="56">
        <f>O48+O38+O17</f>
        <v>180812.049</v>
      </c>
      <c r="Q49" s="57">
        <f t="shared" si="2"/>
        <v>7.6714520424516527E-2</v>
      </c>
    </row>
    <row r="50" spans="1:23" ht="16.5" thickTop="1">
      <c r="A50" s="290" t="s">
        <v>471</v>
      </c>
      <c r="B50" s="290"/>
      <c r="C50" s="290"/>
      <c r="G50" s="30"/>
      <c r="H50" s="30"/>
      <c r="I50" s="30"/>
      <c r="J50" s="30"/>
      <c r="L50" s="4"/>
      <c r="M50" s="4"/>
      <c r="P50" s="30"/>
      <c r="Q50" s="30"/>
      <c r="T50" s="30"/>
      <c r="U50" s="30"/>
      <c r="V50" s="30"/>
      <c r="W50" s="30"/>
    </row>
    <row r="51" spans="1:23">
      <c r="A51" s="4" t="s">
        <v>472</v>
      </c>
      <c r="G51" s="30"/>
      <c r="H51" s="30"/>
      <c r="I51" s="30"/>
      <c r="J51" s="30"/>
      <c r="L51" s="4"/>
      <c r="M51" s="4"/>
      <c r="P51" s="30"/>
      <c r="Q51" s="30"/>
      <c r="T51" s="30"/>
      <c r="U51" s="30"/>
      <c r="V51" s="30"/>
      <c r="W51" s="30"/>
    </row>
    <row r="52" spans="1:23">
      <c r="A52" s="4" t="s">
        <v>484</v>
      </c>
      <c r="O52" s="4"/>
    </row>
  </sheetData>
  <printOptions horizontalCentered="1"/>
  <pageMargins left="0.5" right="0.5" top="1" bottom="0.5" header="0.5" footer="0.25"/>
  <pageSetup scale="72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A91098-8EBB-4FD4-95A4-BB92495B8C12}">
  <sheetPr>
    <tabColor rgb="FFFFC000"/>
    <pageSetUpPr fitToPage="1"/>
  </sheetPr>
  <dimension ref="A1:Z72"/>
  <sheetViews>
    <sheetView view="pageBreakPreview" zoomScale="90" zoomScaleNormal="100" zoomScaleSheetLayoutView="90" workbookViewId="0">
      <selection activeCell="R58" sqref="R58"/>
    </sheetView>
  </sheetViews>
  <sheetFormatPr defaultColWidth="10" defaultRowHeight="15.75"/>
  <cols>
    <col min="1" max="1" width="5.140625" style="4" customWidth="1"/>
    <col min="2" max="2" width="1.7109375" style="4" customWidth="1"/>
    <col min="3" max="3" width="40.7109375" style="4" customWidth="1"/>
    <col min="4" max="4" width="1.7109375" style="4" customWidth="1"/>
    <col min="5" max="5" width="12.28515625" style="4" customWidth="1"/>
    <col min="6" max="6" width="1.7109375" style="4" customWidth="1"/>
    <col min="7" max="7" width="15.7109375" style="4" customWidth="1"/>
    <col min="8" max="8" width="1.7109375" style="4" customWidth="1"/>
    <col min="9" max="9" width="17" style="12" customWidth="1"/>
    <col min="10" max="10" width="1.7109375" style="4" customWidth="1"/>
    <col min="11" max="11" width="16.28515625" style="30" customWidth="1"/>
    <col min="12" max="12" width="1.7109375" style="30" customWidth="1"/>
    <col min="13" max="13" width="12.85546875" style="30" customWidth="1"/>
    <col min="14" max="14" width="11.7109375" style="30" customWidth="1"/>
    <col min="15" max="15" width="8.7109375" style="4" customWidth="1"/>
    <col min="16" max="16" width="11.140625" style="30" bestFit="1" customWidth="1"/>
    <col min="17" max="17" width="15.42578125" style="4" customWidth="1"/>
    <col min="18" max="18" width="18.7109375" style="30" bestFit="1" customWidth="1"/>
    <col min="19" max="19" width="16.5703125" style="4" bestFit="1" customWidth="1"/>
    <col min="20" max="20" width="2.28515625" style="4" customWidth="1"/>
    <col min="21" max="21" width="14.140625" style="4" customWidth="1"/>
    <col min="22" max="22" width="9.7109375" style="4" customWidth="1"/>
    <col min="23" max="16384" width="10" style="4"/>
  </cols>
  <sheetData>
    <row r="1" spans="1:24">
      <c r="A1" s="1" t="s">
        <v>488</v>
      </c>
      <c r="B1" s="1"/>
      <c r="C1" s="1"/>
      <c r="D1" s="1"/>
      <c r="E1" s="1"/>
      <c r="F1" s="1"/>
      <c r="G1" s="1"/>
      <c r="H1" s="1"/>
      <c r="I1" s="2"/>
      <c r="J1" s="1"/>
      <c r="K1" s="3"/>
      <c r="L1" s="3"/>
      <c r="M1" s="3"/>
      <c r="N1" s="3"/>
      <c r="O1" s="1"/>
      <c r="P1" s="3"/>
      <c r="Q1" s="1"/>
      <c r="R1" s="3"/>
      <c r="S1" s="1"/>
    </row>
    <row r="2" spans="1:24" s="9" customFormat="1">
      <c r="A2" s="1" t="s">
        <v>0</v>
      </c>
      <c r="B2" s="6"/>
      <c r="C2" s="6"/>
      <c r="D2" s="6"/>
      <c r="E2" s="6"/>
      <c r="F2" s="6"/>
      <c r="G2" s="6"/>
      <c r="H2" s="6"/>
      <c r="I2" s="7"/>
      <c r="J2" s="6"/>
      <c r="K2" s="8"/>
      <c r="L2" s="8"/>
      <c r="M2" s="8"/>
      <c r="N2" s="8"/>
      <c r="O2" s="6"/>
      <c r="P2" s="8"/>
      <c r="Q2" s="6"/>
      <c r="R2" s="8"/>
      <c r="S2" s="6"/>
    </row>
    <row r="3" spans="1:24" s="9" customFormat="1">
      <c r="A3" s="1" t="s">
        <v>1</v>
      </c>
      <c r="B3" s="6"/>
      <c r="C3" s="6"/>
      <c r="D3" s="6"/>
      <c r="E3" s="6"/>
      <c r="F3" s="6"/>
      <c r="G3" s="6"/>
      <c r="H3" s="6"/>
      <c r="I3" s="7"/>
      <c r="J3" s="6"/>
      <c r="K3" s="8"/>
      <c r="L3" s="8"/>
      <c r="M3" s="8"/>
      <c r="N3" s="8"/>
      <c r="O3" s="6"/>
      <c r="P3" s="8"/>
      <c r="Q3" s="6"/>
      <c r="R3" s="8"/>
      <c r="S3" s="6"/>
    </row>
    <row r="4" spans="1:24" s="9" customFormat="1">
      <c r="A4" s="1" t="s">
        <v>2</v>
      </c>
      <c r="B4" s="6"/>
      <c r="C4" s="6"/>
      <c r="D4" s="6"/>
      <c r="E4" s="6"/>
      <c r="F4" s="6"/>
      <c r="G4" s="6"/>
      <c r="H4" s="6"/>
      <c r="I4" s="7"/>
      <c r="J4" s="6"/>
      <c r="K4" s="8"/>
      <c r="L4" s="8"/>
      <c r="M4" s="8"/>
      <c r="N4" s="8"/>
      <c r="O4" s="6"/>
      <c r="P4" s="8"/>
      <c r="Q4" s="6"/>
      <c r="R4" s="8"/>
      <c r="S4" s="6"/>
    </row>
    <row r="5" spans="1:24" s="9" customFormat="1">
      <c r="A5" s="1" t="s">
        <v>422</v>
      </c>
      <c r="B5" s="6"/>
      <c r="C5" s="6"/>
      <c r="D5" s="6"/>
      <c r="E5" s="6"/>
      <c r="F5" s="6"/>
      <c r="G5" s="6"/>
      <c r="H5" s="6"/>
      <c r="I5" s="7"/>
      <c r="J5" s="6"/>
      <c r="K5" s="8"/>
      <c r="L5" s="8"/>
      <c r="M5" s="8"/>
      <c r="N5" s="8"/>
      <c r="O5" s="6"/>
      <c r="P5" s="8"/>
      <c r="Q5" s="6"/>
      <c r="R5" s="8"/>
      <c r="S5" s="6"/>
    </row>
    <row r="6" spans="1:24">
      <c r="A6" s="1" t="s">
        <v>423</v>
      </c>
      <c r="B6" s="6"/>
      <c r="C6" s="6"/>
      <c r="D6" s="6"/>
      <c r="E6" s="6"/>
      <c r="F6" s="6"/>
      <c r="G6" s="6"/>
      <c r="H6" s="6"/>
      <c r="I6" s="7"/>
      <c r="J6" s="6"/>
      <c r="K6" s="8"/>
      <c r="L6" s="8"/>
      <c r="M6" s="8"/>
      <c r="N6" s="8"/>
      <c r="O6" s="6"/>
      <c r="P6" s="8"/>
      <c r="Q6" s="6"/>
      <c r="R6" s="8"/>
      <c r="S6" s="6"/>
    </row>
    <row r="7" spans="1:24">
      <c r="D7" s="10"/>
      <c r="F7" s="10"/>
      <c r="G7" s="11"/>
      <c r="H7" s="10"/>
      <c r="J7" s="10"/>
      <c r="K7" s="13"/>
      <c r="L7" s="14"/>
      <c r="M7" s="13"/>
      <c r="N7" s="13"/>
      <c r="O7" s="11"/>
      <c r="P7" s="13"/>
      <c r="Q7" s="11"/>
      <c r="R7" s="13"/>
      <c r="S7" s="11"/>
    </row>
    <row r="8" spans="1:24" ht="18.75">
      <c r="D8" s="11"/>
      <c r="E8" s="11"/>
      <c r="F8" s="11"/>
      <c r="G8" s="11" t="s">
        <v>3</v>
      </c>
      <c r="H8" s="11"/>
      <c r="I8" s="15"/>
      <c r="J8" s="11"/>
      <c r="K8" s="13" t="s">
        <v>479</v>
      </c>
      <c r="L8" s="13"/>
      <c r="M8" s="16" t="s">
        <v>502</v>
      </c>
      <c r="N8" s="16"/>
      <c r="O8" s="18"/>
      <c r="P8" s="16" t="s">
        <v>506</v>
      </c>
      <c r="Q8" s="18"/>
      <c r="R8" s="16"/>
      <c r="S8" s="18"/>
    </row>
    <row r="9" spans="1:24" s="19" customFormat="1" ht="18.75">
      <c r="A9" s="19" t="s">
        <v>6</v>
      </c>
      <c r="D9" s="11"/>
      <c r="E9" s="11" t="s">
        <v>7</v>
      </c>
      <c r="F9" s="11"/>
      <c r="G9" s="11" t="s">
        <v>8</v>
      </c>
      <c r="H9" s="11"/>
      <c r="I9" s="15" t="s">
        <v>9</v>
      </c>
      <c r="J9" s="11"/>
      <c r="K9" s="13" t="s">
        <v>5</v>
      </c>
      <c r="L9" s="13"/>
      <c r="M9" s="58" t="s">
        <v>5</v>
      </c>
      <c r="N9" s="16" t="s">
        <v>16</v>
      </c>
      <c r="O9" s="17"/>
      <c r="P9" s="16" t="s">
        <v>504</v>
      </c>
      <c r="Q9" s="17"/>
      <c r="R9" s="16" t="s">
        <v>505</v>
      </c>
      <c r="S9" s="17"/>
      <c r="T9" s="293"/>
    </row>
    <row r="10" spans="1:24" s="19" customFormat="1">
      <c r="A10" s="20" t="s">
        <v>10</v>
      </c>
      <c r="C10" s="21" t="s">
        <v>11</v>
      </c>
      <c r="E10" s="21" t="s">
        <v>10</v>
      </c>
      <c r="G10" s="21" t="s">
        <v>12</v>
      </c>
      <c r="I10" s="22" t="s">
        <v>12</v>
      </c>
      <c r="K10" s="23" t="s">
        <v>13</v>
      </c>
      <c r="L10" s="24"/>
      <c r="M10" s="292" t="s">
        <v>13</v>
      </c>
      <c r="N10" s="292" t="s">
        <v>13</v>
      </c>
      <c r="O10" s="291" t="s">
        <v>14</v>
      </c>
      <c r="P10" s="292" t="s">
        <v>13</v>
      </c>
      <c r="Q10" s="25" t="s">
        <v>496</v>
      </c>
      <c r="R10" s="292" t="s">
        <v>13</v>
      </c>
      <c r="S10" s="25" t="s">
        <v>496</v>
      </c>
    </row>
    <row r="11" spans="1:24" s="19" customFormat="1">
      <c r="C11" s="26">
        <v>-1</v>
      </c>
      <c r="D11" s="26"/>
      <c r="E11" s="26">
        <f>MIN($A11:D11)-1</f>
        <v>-2</v>
      </c>
      <c r="F11" s="26"/>
      <c r="G11" s="26">
        <f>MIN($A11:F11)-1</f>
        <v>-3</v>
      </c>
      <c r="H11" s="26"/>
      <c r="I11" s="26">
        <f>MIN($A11:H11)-1</f>
        <v>-4</v>
      </c>
      <c r="J11" s="26"/>
      <c r="K11" s="27">
        <f>MIN($A11:J11)-1</f>
        <v>-5</v>
      </c>
      <c r="L11" s="27"/>
      <c r="M11" s="27">
        <f>MIN($A11:L11)-1</f>
        <v>-6</v>
      </c>
      <c r="N11" s="27">
        <f>MIN($A11:M11)-1</f>
        <v>-7</v>
      </c>
      <c r="O11" s="27">
        <f>MIN($A11:N11)-1</f>
        <v>-8</v>
      </c>
      <c r="P11" s="27">
        <f>MIN($A11:O11)-1</f>
        <v>-9</v>
      </c>
      <c r="Q11" s="27">
        <f>MIN($A11:P11)-1</f>
        <v>-10</v>
      </c>
      <c r="R11" s="27">
        <f>MIN($A11:Q11)-1</f>
        <v>-11</v>
      </c>
      <c r="S11" s="27">
        <f>MIN($A11:R11)-1</f>
        <v>-12</v>
      </c>
    </row>
    <row r="12" spans="1:24" s="19" customFormat="1">
      <c r="I12" s="28"/>
      <c r="K12" s="24"/>
      <c r="L12" s="24"/>
      <c r="M12" s="24"/>
      <c r="N12" s="13" t="str">
        <f>CONCATENATE("(",-M11,")-(",-K11,")")</f>
        <v>(6)-(5)</v>
      </c>
      <c r="O12" s="29" t="str">
        <f>CONCATENATE("(",-N11,")/(",-K11,")")</f>
        <v>(7)/(5)</v>
      </c>
      <c r="P12" s="13"/>
      <c r="Q12" s="29" t="str">
        <f>CONCATENATE("(",-P11,")/[(",-M11,")*4.7/12]")</f>
        <v>(9)/[(6)*4.7/12]</v>
      </c>
      <c r="R12" s="13"/>
      <c r="S12" s="29" t="str">
        <f>CONCATENATE("(",-R11,")/[(",-M11,")*3.2/12]")</f>
        <v>(11)/[(6)*3.2/12]</v>
      </c>
    </row>
    <row r="13" spans="1:24" s="19" customFormat="1">
      <c r="A13" s="4"/>
      <c r="B13" s="4"/>
      <c r="C13" s="19" t="s">
        <v>17</v>
      </c>
      <c r="D13" s="4"/>
      <c r="E13" s="4"/>
      <c r="F13" s="4"/>
      <c r="G13" s="4"/>
      <c r="H13" s="4"/>
      <c r="I13" s="12"/>
      <c r="J13" s="4"/>
      <c r="K13" s="30"/>
      <c r="L13" s="30"/>
      <c r="M13" s="30"/>
      <c r="N13" s="30"/>
      <c r="O13" s="4"/>
      <c r="P13" s="30"/>
      <c r="Q13" s="4"/>
      <c r="R13" s="30"/>
      <c r="S13" s="4"/>
    </row>
    <row r="14" spans="1:24">
      <c r="A14" s="4">
        <v>1</v>
      </c>
      <c r="C14" s="4" t="s">
        <v>17</v>
      </c>
      <c r="E14" s="31" t="s">
        <v>18</v>
      </c>
      <c r="G14" s="32">
        <f>ROUND(('Rate Design'!D11+'Rate Design'!D30+'Rate Design'!D85)/12,0)</f>
        <v>955431</v>
      </c>
      <c r="I14" s="32">
        <f>('Rate Design'!D27+'Rate Design'!D48+'Rate Design'!D102)/1000</f>
        <v>8246234.6115655489</v>
      </c>
      <c r="K14" s="33">
        <f>('Rate Design'!I27+'Rate Design'!I48+'Rate Design'!I102)/1000</f>
        <v>903796.52599999995</v>
      </c>
      <c r="M14" s="33">
        <f>K14+N14</f>
        <v>985957.38114083384</v>
      </c>
      <c r="N14" s="33">
        <f>$K14*O14</f>
        <v>82160.855140833839</v>
      </c>
      <c r="O14" s="34">
        <f>M$55</f>
        <v>9.090636307760476E-2</v>
      </c>
      <c r="P14" s="33">
        <f>$N14/$N$49*P$52</f>
        <v>4542.6922284309621</v>
      </c>
      <c r="Q14" s="59">
        <f>ROUND(P14/($M14*P$58/12),4)</f>
        <v>1.17E-2</v>
      </c>
      <c r="R14" s="33">
        <f>$N14/$N$49*R$52</f>
        <v>4678.0395653739388</v>
      </c>
      <c r="S14" s="59">
        <f>ROUND(R14/($M14*R$58/12),4)</f>
        <v>1.78E-2</v>
      </c>
      <c r="U14" s="60">
        <f>N14/K14-O14</f>
        <v>0</v>
      </c>
      <c r="V14" s="316">
        <f>M14-'Rate Impact-GRC Total'!M14</f>
        <v>-7.6888591661117971</v>
      </c>
      <c r="W14" s="316">
        <f>Q14*M14/12*$P$58</f>
        <v>4527.4526840450881</v>
      </c>
      <c r="X14" s="316">
        <f>S14*M14/12*$R$58</f>
        <v>4680.0110358151578</v>
      </c>
    </row>
    <row r="15" spans="1:24">
      <c r="A15" s="4">
        <f>MAX(A$13:A14)+1</f>
        <v>2</v>
      </c>
      <c r="C15" s="4" t="s">
        <v>19</v>
      </c>
      <c r="E15" s="35" t="s">
        <v>20</v>
      </c>
      <c r="G15" s="32">
        <f>ROUND(('Rate Design'!D51+'Rate Design'!D70)/12,0)</f>
        <v>1029</v>
      </c>
      <c r="I15" s="32">
        <f>('Rate Design'!D67+'Rate Design'!D82)/1000</f>
        <v>13246.398031460629</v>
      </c>
      <c r="K15" s="33">
        <f>('Rate Design'!I67+'Rate Design'!I82)/1000</f>
        <v>1271.4949999999999</v>
      </c>
      <c r="M15" s="33">
        <f>K15+N15</f>
        <v>1387.081986121359</v>
      </c>
      <c r="N15" s="33">
        <f>$K15*O15</f>
        <v>115.58698612135906</v>
      </c>
      <c r="O15" s="34">
        <f>M$55</f>
        <v>9.090636307760476E-2</v>
      </c>
      <c r="P15" s="33">
        <f>$N15/$N$49*P$52</f>
        <v>6.3908305562449419</v>
      </c>
      <c r="Q15" s="59">
        <f>ROUND(P15/($M15*P$58/12),4)</f>
        <v>1.17E-2</v>
      </c>
      <c r="R15" s="33">
        <f>$N15/$N$49*R$52</f>
        <v>6.581242288571417</v>
      </c>
      <c r="S15" s="59">
        <f>ROUND(R15/($M15*R$58/12),4)</f>
        <v>1.78E-2</v>
      </c>
      <c r="U15" s="60">
        <f>N15/K15-O15</f>
        <v>0</v>
      </c>
      <c r="V15" s="316">
        <f>M15-'Rate Impact-GRC Total'!M15</f>
        <v>3.2039861213590939</v>
      </c>
      <c r="W15" s="316">
        <f t="shared" ref="W15:W44" si="0">Q15*M15/12*$P$58</f>
        <v>6.3693909911088857</v>
      </c>
      <c r="X15" s="316">
        <f t="shared" ref="X15:X16" si="1">S15*M15/12*$R$58</f>
        <v>6.5840158274560512</v>
      </c>
    </row>
    <row r="16" spans="1:24">
      <c r="A16" s="4">
        <f>MAX(A$13:A15)+1</f>
        <v>3</v>
      </c>
      <c r="C16" s="36" t="s">
        <v>21</v>
      </c>
      <c r="E16" s="37"/>
      <c r="G16" s="37"/>
      <c r="I16" s="37"/>
      <c r="K16" s="38">
        <f>'Rate Design'!I1275/1000</f>
        <v>37.136720000000011</v>
      </c>
      <c r="M16" s="38">
        <f>K16+N16</f>
        <v>37.136720000000011</v>
      </c>
      <c r="N16" s="38">
        <f>$K16*O16</f>
        <v>0</v>
      </c>
      <c r="O16" s="39">
        <v>0</v>
      </c>
      <c r="P16" s="38"/>
      <c r="Q16" s="312"/>
      <c r="R16" s="38"/>
      <c r="S16" s="312"/>
      <c r="U16" s="60">
        <f>N16/K16-O16</f>
        <v>0</v>
      </c>
      <c r="V16" s="316">
        <f>M16-'Rate Impact-GRC Total'!M16</f>
        <v>0</v>
      </c>
      <c r="W16" s="316">
        <f t="shared" si="0"/>
        <v>0</v>
      </c>
      <c r="X16" s="316">
        <f t="shared" si="1"/>
        <v>0</v>
      </c>
    </row>
    <row r="17" spans="1:24">
      <c r="A17" s="4">
        <f>MAX(A$13:A16)+1</f>
        <v>4</v>
      </c>
      <c r="C17" s="19" t="s">
        <v>22</v>
      </c>
      <c r="G17" s="32">
        <f>SUM(G14:G16)</f>
        <v>956460</v>
      </c>
      <c r="I17" s="32">
        <f>SUM(I14:I16)</f>
        <v>8259481.00959701</v>
      </c>
      <c r="K17" s="33">
        <f>SUM(K14:K16)</f>
        <v>905105.1577199999</v>
      </c>
      <c r="M17" s="33">
        <f>SUM(M14:M16)</f>
        <v>987381.59984695516</v>
      </c>
      <c r="N17" s="33">
        <f>SUM(N14:N16)</f>
        <v>82276.442126955197</v>
      </c>
      <c r="O17" s="34">
        <f>N17/$K17</f>
        <v>9.0902633163878116E-2</v>
      </c>
      <c r="P17" s="33"/>
      <c r="Q17" s="59"/>
      <c r="R17" s="33"/>
      <c r="S17" s="59"/>
      <c r="U17" s="60">
        <f>N17/K17-O17</f>
        <v>0</v>
      </c>
      <c r="V17" s="316">
        <f>M17-'Rate Impact-GRC Total'!M17</f>
        <v>-4.484873044770211</v>
      </c>
      <c r="W17" s="316"/>
    </row>
    <row r="18" spans="1:24">
      <c r="C18" s="19" t="s">
        <v>23</v>
      </c>
      <c r="G18" s="32"/>
      <c r="I18" s="32"/>
      <c r="K18" s="33"/>
      <c r="M18" s="33"/>
      <c r="N18" s="33"/>
      <c r="P18" s="33"/>
      <c r="Q18" s="59"/>
      <c r="R18" s="33"/>
      <c r="S18" s="59"/>
      <c r="U18" s="60"/>
      <c r="V18" s="316"/>
      <c r="W18" s="316"/>
    </row>
    <row r="19" spans="1:24">
      <c r="A19" s="4">
        <f>MAX(A$13:A18)+1</f>
        <v>5</v>
      </c>
      <c r="C19" s="4" t="s">
        <v>24</v>
      </c>
      <c r="E19" s="31">
        <v>6</v>
      </c>
      <c r="G19" s="32">
        <f>ROUND(('Rate Design'!D112+'Rate Design'!D168)/12,0)</f>
        <v>14281</v>
      </c>
      <c r="I19" s="32">
        <f>('Rate Design'!D123+'Rate Design'!D179)/1000</f>
        <v>6403525.7686540503</v>
      </c>
      <c r="K19" s="33">
        <f>('Rate Design'!I123+'Rate Design'!I179)/1000</f>
        <v>534791.63699999999</v>
      </c>
      <c r="M19" s="33">
        <f>K19+N19</f>
        <v>570481.74553859443</v>
      </c>
      <c r="N19" s="33">
        <f>$K19*O19</f>
        <v>35690.10853859441</v>
      </c>
      <c r="O19" s="34">
        <f>M$56</f>
        <v>6.6736474674143814E-2</v>
      </c>
      <c r="P19" s="33">
        <f>($N$19+$N$31)/$N$49*P$52*$N19/($N$19+$N$31)</f>
        <v>1973.3141580892864</v>
      </c>
      <c r="Q19" s="59">
        <f>ROUND((P19+P31)/(($M19+$M31)*P$58/12),4)</f>
        <v>8.8000000000000005E-3</v>
      </c>
      <c r="R19" s="33">
        <f>($N$19+$N$31)/$N$49*R$52*$N19/($N$19+$N$31)</f>
        <v>2032.1081073200287</v>
      </c>
      <c r="S19" s="59">
        <f>ROUND((R19+R31)/(($M19+$M31)*R$58/12),4)</f>
        <v>1.34E-2</v>
      </c>
      <c r="U19" s="60">
        <f t="shared" ref="U19:U38" si="2">N19/K19-O19</f>
        <v>0</v>
      </c>
      <c r="V19" s="316">
        <f>M19-'Rate Impact-GRC Total'!M19</f>
        <v>1.7675385944312438</v>
      </c>
      <c r="W19" s="316">
        <f t="shared" si="0"/>
        <v>1970.308996419318</v>
      </c>
      <c r="X19" s="316">
        <f t="shared" ref="X19:X20" si="3">S19*M19/12*$R$58</f>
        <v>2038.521437391244</v>
      </c>
    </row>
    <row r="20" spans="1:24">
      <c r="A20" s="4">
        <f>MAX(A$13:A19)+1</f>
        <v>6</v>
      </c>
      <c r="C20" s="4" t="s">
        <v>25</v>
      </c>
      <c r="E20" s="35" t="s">
        <v>26</v>
      </c>
      <c r="G20" s="40">
        <f>ROUND(('Rate Design'!D224+'Rate Design'!D284)/12,0)</f>
        <v>2827</v>
      </c>
      <c r="I20" s="40">
        <f>('Rate Design'!D236+'Rate Design'!D296)/1000</f>
        <v>380064.31338959344</v>
      </c>
      <c r="K20" s="38">
        <f>('Rate Design'!I236+'Rate Design'!I296)/1000</f>
        <v>43017.667000000001</v>
      </c>
      <c r="M20" s="38">
        <f>K20+N20</f>
        <v>45888.514444286251</v>
      </c>
      <c r="N20" s="38">
        <f>$K20*O20</f>
        <v>2870.8474442862521</v>
      </c>
      <c r="O20" s="39">
        <f>M$56</f>
        <v>6.6736474674143814E-2</v>
      </c>
      <c r="P20" s="38">
        <f>$N20/$N$49*P$52</f>
        <v>158.72980328424671</v>
      </c>
      <c r="Q20" s="312">
        <f>ROUND(P20/($M20*P$58/12),4)</f>
        <v>8.8000000000000005E-3</v>
      </c>
      <c r="R20" s="38">
        <f>$N20/$N$49*R$52</f>
        <v>163.45908166977048</v>
      </c>
      <c r="S20" s="312">
        <f>ROUND(R20/($M20*R$58/12),4)</f>
        <v>1.34E-2</v>
      </c>
      <c r="U20" s="60">
        <f t="shared" si="2"/>
        <v>0</v>
      </c>
      <c r="V20" s="316">
        <f>M20-'Rate Impact-GRC Total'!M20</f>
        <v>-0.14755571374553256</v>
      </c>
      <c r="W20" s="316">
        <f t="shared" si="0"/>
        <v>158.48807354306177</v>
      </c>
      <c r="X20" s="316">
        <f t="shared" si="3"/>
        <v>163.97495828091621</v>
      </c>
    </row>
    <row r="21" spans="1:24">
      <c r="A21" s="4">
        <f>MAX(A$13:A20)+1</f>
        <v>7</v>
      </c>
      <c r="B21" s="41"/>
      <c r="C21" s="41" t="s">
        <v>27</v>
      </c>
      <c r="D21" s="41"/>
      <c r="E21" s="41"/>
      <c r="F21" s="41"/>
      <c r="G21" s="42">
        <f>SUM(G19:G20)</f>
        <v>17108</v>
      </c>
      <c r="H21" s="41"/>
      <c r="I21" s="42">
        <f>SUM(I19:I20)</f>
        <v>6783590.082043644</v>
      </c>
      <c r="J21" s="41"/>
      <c r="K21" s="43">
        <f>SUM(K19:K20)</f>
        <v>577809.304</v>
      </c>
      <c r="L21" s="44"/>
      <c r="M21" s="43">
        <f>SUM(M19:M20)</f>
        <v>616370.25998288067</v>
      </c>
      <c r="N21" s="43">
        <f>SUM(N19:N20)</f>
        <v>38560.95598288066</v>
      </c>
      <c r="O21" s="45">
        <f>N21/$K21</f>
        <v>6.67364746741438E-2</v>
      </c>
      <c r="P21" s="43"/>
      <c r="Q21" s="313"/>
      <c r="R21" s="43"/>
      <c r="S21" s="313"/>
      <c r="U21" s="60">
        <f t="shared" si="2"/>
        <v>0</v>
      </c>
      <c r="V21" s="316">
        <f>M21-'Rate Impact-GRC Total'!M21</f>
        <v>1.6199828806566074</v>
      </c>
      <c r="W21" s="316"/>
    </row>
    <row r="22" spans="1:24" s="41" customFormat="1">
      <c r="A22" s="4">
        <f>MAX(A$13:A21)+1</f>
        <v>8</v>
      </c>
      <c r="B22" s="4"/>
      <c r="C22" s="4" t="s">
        <v>28</v>
      </c>
      <c r="D22" s="4"/>
      <c r="E22" s="4">
        <v>8</v>
      </c>
      <c r="F22" s="32"/>
      <c r="G22" s="32">
        <f>ROUND(('Rate Design'!D389+'Rate Design'!D445)/12,0)</f>
        <v>223</v>
      </c>
      <c r="H22" s="32"/>
      <c r="I22" s="32">
        <f>('Rate Design'!D400+'Rate Design'!D456)/1000</f>
        <v>2393014.31817408</v>
      </c>
      <c r="J22" s="32"/>
      <c r="K22" s="33">
        <f>('Rate Design'!I400+'Rate Design'!I456)/1000</f>
        <v>174469.02100000001</v>
      </c>
      <c r="L22" s="46"/>
      <c r="M22" s="33">
        <f>K22+N22</f>
        <v>186984.81350638918</v>
      </c>
      <c r="N22" s="33">
        <f>$K22*O22</f>
        <v>12515.792506389163</v>
      </c>
      <c r="O22" s="34">
        <f>M57</f>
        <v>7.1736474674143805E-2</v>
      </c>
      <c r="P22" s="33">
        <f>($N$22+$N$32)/$N$49*P$52*$N22/($N$22+$N$32)</f>
        <v>692.00099310031976</v>
      </c>
      <c r="Q22" s="59">
        <f>ROUND((P22+P32)/(($M22+$M32)*P$58/12),4)</f>
        <v>9.4999999999999998E-3</v>
      </c>
      <c r="R22" s="33">
        <f>($N$22+$N$32)/$N$49*R$52*$N22/($N$22+$N$32)</f>
        <v>712.6188309084456</v>
      </c>
      <c r="S22" s="59">
        <f>ROUND((R22+R32)/(($M22+$M32)*R$58/12),4)</f>
        <v>1.44E-2</v>
      </c>
      <c r="U22" s="60">
        <f t="shared" si="2"/>
        <v>0</v>
      </c>
      <c r="V22" s="316">
        <f>M22-'Rate Impact-GRC Total'!M22</f>
        <v>-0.4904936108214315</v>
      </c>
      <c r="W22" s="316">
        <f t="shared" si="0"/>
        <v>697.17187186387582</v>
      </c>
      <c r="X22" s="316">
        <f>S22*M22/12*$R$58</f>
        <v>718.02168386453457</v>
      </c>
    </row>
    <row r="23" spans="1:24" ht="22.15" customHeight="1">
      <c r="A23" s="4">
        <f>MAX(A$13:A22)+1</f>
        <v>9</v>
      </c>
      <c r="C23" s="4" t="s">
        <v>29</v>
      </c>
      <c r="E23" s="4">
        <v>9</v>
      </c>
      <c r="G23" s="32">
        <f>ROUND(('Rate Design'!D459)/12,0)</f>
        <v>164</v>
      </c>
      <c r="I23" s="32">
        <f>('Rate Design'!D470)/1000</f>
        <v>5060524.3736956455</v>
      </c>
      <c r="K23" s="33">
        <f>('Rate Design'!I470)/1000</f>
        <v>281744.34100000001</v>
      </c>
      <c r="M23" s="33">
        <f>K23+N23</f>
        <v>307356.69435800653</v>
      </c>
      <c r="N23" s="33">
        <f>$K23*O23</f>
        <v>25612.353358006487</v>
      </c>
      <c r="O23" s="34">
        <f>M$58</f>
        <v>9.090636307760476E-2</v>
      </c>
      <c r="P23" s="33">
        <f>($N$23+$N$24+$N$30)/$N$49*P$52*$N23/($N$23+$N$24+$N$30)</f>
        <v>1416.1127991159185</v>
      </c>
      <c r="Q23" s="59">
        <f>ROUND((P23+P24+P30)/(($M23+$M24+$M30)*P$58/12),4)</f>
        <v>1.17E-2</v>
      </c>
      <c r="R23" s="33">
        <f>($N$23+$N$24+$N$30)/$N$49*R$52*$N23/($N$23+$N$24+$N$30)</f>
        <v>1458.3052010073859</v>
      </c>
      <c r="S23" s="59">
        <f>ROUND((R23+R24+R30)/(($M23+$M24+$M30)*R$58/12),4)</f>
        <v>1.78E-2</v>
      </c>
      <c r="U23" s="60">
        <f t="shared" si="2"/>
        <v>0</v>
      </c>
      <c r="V23" s="316">
        <f>M23-'Rate Impact-GRC Total'!M23</f>
        <v>1580.4763580065337</v>
      </c>
      <c r="W23" s="316">
        <f t="shared" si="0"/>
        <v>1411.3621110278139</v>
      </c>
      <c r="X23" s="316">
        <f>S23*M23/12*$R$58</f>
        <v>1458.9197758860043</v>
      </c>
    </row>
    <row r="24" spans="1:24" ht="22.15" customHeight="1">
      <c r="A24" s="4">
        <f>MAX(A$13:A23)+1</f>
        <v>10</v>
      </c>
      <c r="C24" s="4" t="s">
        <v>30</v>
      </c>
      <c r="E24" s="35" t="s">
        <v>31</v>
      </c>
      <c r="G24" s="32">
        <f>ROUND(('Rate Design'!D1234)/12,0)</f>
        <v>1</v>
      </c>
      <c r="I24" s="32">
        <f>('Rate Design'!D1242)/1000</f>
        <v>324160</v>
      </c>
      <c r="K24" s="33">
        <f>('Rate Design'!I1242)/1000</f>
        <v>16067.134</v>
      </c>
      <c r="M24" s="33">
        <f>K24+N24</f>
        <v>17527.738717020529</v>
      </c>
      <c r="N24" s="33">
        <f>$K24*O24</f>
        <v>1460.6047170205281</v>
      </c>
      <c r="O24" s="34">
        <f>M$58</f>
        <v>9.090636307760476E-2</v>
      </c>
      <c r="P24" s="33">
        <f>($N$23+$N$24+$N$30)/$N$49*P$52*$N24/($N$23+$N$24+$N$30)</f>
        <v>80.757164533468114</v>
      </c>
      <c r="Q24" s="59">
        <f>Q23</f>
        <v>1.17E-2</v>
      </c>
      <c r="R24" s="33">
        <f>($N$23+$N$24+$N$30)/$N$49*R$52*$N24/($N$23+$N$24+$N$30)</f>
        <v>83.163285531554308</v>
      </c>
      <c r="S24" s="59">
        <f>S23</f>
        <v>1.78E-2</v>
      </c>
      <c r="U24" s="60">
        <f t="shared" si="2"/>
        <v>0</v>
      </c>
      <c r="V24" s="316">
        <f>M24-'Rate Impact-GRC Total'!M24</f>
        <v>-1966.1632829794689</v>
      </c>
      <c r="W24" s="316">
        <f t="shared" si="0"/>
        <v>80.486245366705575</v>
      </c>
      <c r="X24" s="316">
        <f t="shared" ref="X24:X25" si="4">S24*M24/12*$R$58</f>
        <v>83.198333110124111</v>
      </c>
    </row>
    <row r="25" spans="1:24" ht="22.15" customHeight="1">
      <c r="A25" s="4">
        <f>MAX(A$13:A24)+1</f>
        <v>11</v>
      </c>
      <c r="C25" s="4" t="s">
        <v>32</v>
      </c>
      <c r="E25" s="35" t="s">
        <v>33</v>
      </c>
      <c r="G25" s="40">
        <f>ROUND(('Rate Design'!D501)/12,0)</f>
        <v>8</v>
      </c>
      <c r="I25" s="40">
        <f>('Rate Design'!D511)/1000</f>
        <v>45448.731500000002</v>
      </c>
      <c r="K25" s="38">
        <f>('Rate Design'!I511)/1000</f>
        <v>2817.835</v>
      </c>
      <c r="M25" s="38">
        <f>K25+N25</f>
        <v>3073.9941316027825</v>
      </c>
      <c r="N25" s="38">
        <f>$K25*O25</f>
        <v>256.1591316027824</v>
      </c>
      <c r="O25" s="39">
        <f>M$58</f>
        <v>9.090636307760476E-2</v>
      </c>
      <c r="P25" s="38">
        <f>$N25/$N$49*P$52</f>
        <v>14.163096213871439</v>
      </c>
      <c r="Q25" s="312">
        <f>ROUND(P25/($M25*P$58/12),4)</f>
        <v>1.17E-2</v>
      </c>
      <c r="R25" s="38">
        <f>$N25/$N$49*R$52</f>
        <v>14.585078875038155</v>
      </c>
      <c r="S25" s="312">
        <f>ROUND(R25/($M25*R$58/12),4)</f>
        <v>1.78E-2</v>
      </c>
      <c r="U25" s="60">
        <f t="shared" si="2"/>
        <v>0</v>
      </c>
      <c r="V25" s="316">
        <f>M25-'Rate Impact-GRC Total'!M25</f>
        <v>-515.12686839721755</v>
      </c>
      <c r="W25" s="316">
        <f t="shared" si="0"/>
        <v>14.115582730117941</v>
      </c>
      <c r="X25" s="316">
        <f t="shared" si="4"/>
        <v>14.591225478007875</v>
      </c>
    </row>
    <row r="26" spans="1:24">
      <c r="A26" s="4">
        <f>MAX(A$13:A25)+1</f>
        <v>12</v>
      </c>
      <c r="C26" s="41" t="s">
        <v>34</v>
      </c>
      <c r="D26" s="41"/>
      <c r="E26" s="41"/>
      <c r="F26" s="41"/>
      <c r="G26" s="42">
        <f>SUM(G23:G25)</f>
        <v>173</v>
      </c>
      <c r="H26" s="41"/>
      <c r="I26" s="42">
        <f>SUM(I23:I25)</f>
        <v>5430133.1051956452</v>
      </c>
      <c r="J26" s="41"/>
      <c r="K26" s="43">
        <f>SUM(K23:K25)</f>
        <v>300629.31000000006</v>
      </c>
      <c r="L26" s="44"/>
      <c r="M26" s="43">
        <f>SUM(M23:M25)</f>
        <v>327958.42720662983</v>
      </c>
      <c r="N26" s="43">
        <f>SUM(N23:N25)</f>
        <v>27329.117206629795</v>
      </c>
      <c r="O26" s="45">
        <f>N26/$K26</f>
        <v>9.0906363077604746E-2</v>
      </c>
      <c r="P26" s="43"/>
      <c r="Q26" s="313"/>
      <c r="R26" s="43"/>
      <c r="S26" s="313"/>
      <c r="U26" s="60">
        <f t="shared" si="2"/>
        <v>0</v>
      </c>
      <c r="V26" s="316">
        <f>M26-'Rate Impact-GRC Total'!M26</f>
        <v>-900.81379337015096</v>
      </c>
      <c r="W26" s="316"/>
    </row>
    <row r="27" spans="1:24">
      <c r="A27" s="4">
        <f>MAX(A$13:A26)+1</f>
        <v>13</v>
      </c>
      <c r="C27" s="4" t="s">
        <v>35</v>
      </c>
      <c r="E27" s="35">
        <v>10</v>
      </c>
      <c r="G27" s="32">
        <f>ROUND('Rate Design'!D540+'Rate Design'!D541+'Rate Design'!D562+'Rate Design'!D563,0)</f>
        <v>3540</v>
      </c>
      <c r="I27" s="32">
        <f>('Rate Design'!D559+'Rate Design'!D581)/1000</f>
        <v>242214.34810360699</v>
      </c>
      <c r="K27" s="33">
        <f>('Rate Design'!I559+'Rate Design'!I581)/1000</f>
        <v>19068.064999999999</v>
      </c>
      <c r="M27" s="33">
        <f t="shared" ref="M27:M32" si="5">K27+N27</f>
        <v>20455.008826957426</v>
      </c>
      <c r="N27" s="33">
        <f t="shared" ref="N27:N32" si="6">$K27*O27</f>
        <v>1386.9438269574277</v>
      </c>
      <c r="O27" s="34">
        <f>M59</f>
        <v>7.2736474674143806E-2</v>
      </c>
      <c r="P27" s="33">
        <f>$N27/$N$49*P$52</f>
        <v>76.684437293039863</v>
      </c>
      <c r="Q27" s="59">
        <f>ROUND(P27/($M27*P$58/12),4)</f>
        <v>9.5999999999999992E-3</v>
      </c>
      <c r="R27" s="33">
        <f>$N27/$N$49*R$52</f>
        <v>78.969213335674937</v>
      </c>
      <c r="S27" s="59">
        <f>ROUND(R27/($M27*R$58/12),4)</f>
        <v>1.4500000000000001E-2</v>
      </c>
      <c r="U27" s="60">
        <f t="shared" si="2"/>
        <v>0</v>
      </c>
      <c r="V27" s="316">
        <f>M27-'Rate Impact-GRC Total'!M27</f>
        <v>-1.9173042572219856E-2</v>
      </c>
      <c r="W27" s="316">
        <f t="shared" si="0"/>
        <v>77.069194548020235</v>
      </c>
      <c r="X27" s="316">
        <f t="shared" ref="X27:X32" si="7">S27*M27/12*$R$58</f>
        <v>79.092700797568725</v>
      </c>
    </row>
    <row r="28" spans="1:24" ht="22.15" customHeight="1">
      <c r="A28" s="4">
        <f>MAX(A$13:A27)+1</f>
        <v>14</v>
      </c>
      <c r="C28" s="4" t="s">
        <v>36</v>
      </c>
      <c r="E28" s="31">
        <v>23</v>
      </c>
      <c r="G28" s="32">
        <f>ROUND(('Rate Design'!D754+'Rate Design'!D818)/12,0)</f>
        <v>102995</v>
      </c>
      <c r="I28" s="32">
        <f>('Rate Design'!D767+'Rate Design'!D831)/1000</f>
        <v>1823052.4187130935</v>
      </c>
      <c r="K28" s="33">
        <f>('Rate Design'!I767+'Rate Design'!I831)/1000</f>
        <v>175902.86</v>
      </c>
      <c r="M28" s="33">
        <f t="shared" si="5"/>
        <v>188697.41392149945</v>
      </c>
      <c r="N28" s="33">
        <f t="shared" si="6"/>
        <v>12794.553921499462</v>
      </c>
      <c r="O28" s="34">
        <f>M60</f>
        <v>7.2736474674143806E-2</v>
      </c>
      <c r="P28" s="33">
        <f>$N28/$N$49*P$52</f>
        <v>707.4137746717546</v>
      </c>
      <c r="Q28" s="59">
        <f>ROUND(P28/($M28*P$58/12),4)</f>
        <v>9.5999999999999992E-3</v>
      </c>
      <c r="R28" s="33">
        <f>$N28/$N$49*R$52</f>
        <v>728.49082891711157</v>
      </c>
      <c r="S28" s="59">
        <f>ROUND(R28/($M28*R$58/12),4)</f>
        <v>1.4500000000000001E-2</v>
      </c>
      <c r="U28" s="60">
        <f t="shared" si="2"/>
        <v>0</v>
      </c>
      <c r="V28" s="316">
        <f>M28-'Rate Impact-GRC Total'!M28</f>
        <v>1.592149946372956E-2</v>
      </c>
      <c r="W28" s="316">
        <f t="shared" si="0"/>
        <v>710.96315954939143</v>
      </c>
      <c r="X28" s="316">
        <f t="shared" si="7"/>
        <v>729.63000049646462</v>
      </c>
    </row>
    <row r="29" spans="1:24">
      <c r="A29" s="4">
        <f>MAX(A$13:A28)+1</f>
        <v>15</v>
      </c>
      <c r="C29" s="4" t="s">
        <v>37</v>
      </c>
      <c r="E29" s="4">
        <v>31</v>
      </c>
      <c r="G29" s="32">
        <f>ROUND(('Rate Design'!D883+'Rate Design'!D897+'Rate Design'!D911)/12,0)</f>
        <v>7</v>
      </c>
      <c r="I29" s="32">
        <f>('Rate Design'!D945)/1000</f>
        <v>319328.38347723125</v>
      </c>
      <c r="K29" s="33">
        <f>('Rate Design'!I945)/1000</f>
        <v>18496.418000000001</v>
      </c>
      <c r="M29" s="33">
        <f t="shared" si="5"/>
        <v>20177.860090343147</v>
      </c>
      <c r="N29" s="33">
        <f t="shared" si="6"/>
        <v>1681.4420903431442</v>
      </c>
      <c r="O29" s="34">
        <f>M$58</f>
        <v>9.090636307760476E-2</v>
      </c>
      <c r="P29" s="33">
        <f>$N29/$N$49*P$52</f>
        <v>92.967312758193287</v>
      </c>
      <c r="Q29" s="59">
        <f>ROUND(P29/($M29*P$58/12),4)</f>
        <v>1.17E-2</v>
      </c>
      <c r="R29" s="33">
        <f>$N29/$N$49*R$52</f>
        <v>95.737229268454513</v>
      </c>
      <c r="S29" s="59">
        <f>ROUND(R29/($M29*R$58/12),4)</f>
        <v>1.78E-2</v>
      </c>
      <c r="U29" s="60">
        <f t="shared" si="2"/>
        <v>0</v>
      </c>
      <c r="V29" s="316">
        <f>M29-'Rate Impact-GRC Total'!M29</f>
        <v>337.87309034314603</v>
      </c>
      <c r="W29" s="316">
        <f t="shared" si="0"/>
        <v>92.655431737430547</v>
      </c>
      <c r="X29" s="316">
        <f t="shared" si="7"/>
        <v>95.777575895495474</v>
      </c>
    </row>
    <row r="30" spans="1:24">
      <c r="A30" s="4">
        <f>MAX(A$13:A29)+1</f>
        <v>16</v>
      </c>
      <c r="C30" s="4" t="s">
        <v>38</v>
      </c>
      <c r="E30" s="35" t="s">
        <v>39</v>
      </c>
      <c r="G30" s="32">
        <f>ROUND(('Rate Design'!D1081+'Rate Design'!D1082+'Rate Design'!D1083)/12,0)</f>
        <v>3</v>
      </c>
      <c r="I30" s="32">
        <f>('Rate Design'!D1124)/1000</f>
        <v>173984.215</v>
      </c>
      <c r="K30" s="33">
        <f>('Rate Design'!I1124-'Rate Design'!I1110-'Rate Design'!I1111)/1000</f>
        <v>3951.837</v>
      </c>
      <c r="M30" s="33">
        <f t="shared" si="5"/>
        <v>4311.0841291455126</v>
      </c>
      <c r="N30" s="33">
        <f t="shared" si="6"/>
        <v>359.24712914551236</v>
      </c>
      <c r="O30" s="34">
        <f>M$58</f>
        <v>9.090636307760476E-2</v>
      </c>
      <c r="P30" s="33">
        <f>($N$23+$N$24+$N$30)/$N$49*P$52*$N30/($N$23+$N$24+$N$30)</f>
        <v>19.862854869975379</v>
      </c>
      <c r="Q30" s="59">
        <f>Q23</f>
        <v>1.17E-2</v>
      </c>
      <c r="R30" s="33">
        <f>($N$23+$N$24+$N$30)/$N$49*R$52*$N30/($N$23+$N$24+$N$30)</f>
        <v>20.454659107539712</v>
      </c>
      <c r="S30" s="59">
        <f>S23</f>
        <v>1.78E-2</v>
      </c>
      <c r="U30" s="60">
        <f t="shared" si="2"/>
        <v>0</v>
      </c>
      <c r="V30" s="316">
        <f>M30-'Rate Impact-GRC Total'!M30</f>
        <v>295.14112914551242</v>
      </c>
      <c r="W30" s="316">
        <f t="shared" si="0"/>
        <v>19.796220186576253</v>
      </c>
      <c r="X30" s="316">
        <f t="shared" si="7"/>
        <v>20.463279333010703</v>
      </c>
    </row>
    <row r="31" spans="1:24">
      <c r="A31" s="4">
        <f>MAX(A$13:A30)+1</f>
        <v>17</v>
      </c>
      <c r="C31" s="4" t="s">
        <v>38</v>
      </c>
      <c r="E31" s="35" t="s">
        <v>40</v>
      </c>
      <c r="G31" s="32">
        <f>ROUND(('Rate Design'!D1128+'Rate Design'!D1129+'Rate Design'!D1130)/12,0)</f>
        <v>15</v>
      </c>
      <c r="I31" s="32">
        <f>('Rate Design'!D1170)/1000</f>
        <v>31450.823</v>
      </c>
      <c r="K31" s="33">
        <f>('Rate Design'!I1170-'Rate Design'!I1157)/1000</f>
        <v>1661.0930000000001</v>
      </c>
      <c r="M31" s="33">
        <f t="shared" si="5"/>
        <v>1812.0969233636679</v>
      </c>
      <c r="N31" s="33">
        <f t="shared" si="6"/>
        <v>151.00392336366772</v>
      </c>
      <c r="O31" s="34">
        <f>M$58</f>
        <v>9.090636307760476E-2</v>
      </c>
      <c r="P31" s="33">
        <f>($N$19+$N$31)/$N$49*P$52*$N31/($N$19+$N$31)</f>
        <v>8.3490410116945633</v>
      </c>
      <c r="Q31" s="59">
        <f>Q19</f>
        <v>8.8000000000000005E-3</v>
      </c>
      <c r="R31" s="33">
        <f>($N$19+$N$31)/$N$49*R$52*$N31/($N$19+$N$31)</f>
        <v>8.5977966856731349</v>
      </c>
      <c r="S31" s="59">
        <f>S19</f>
        <v>1.34E-2</v>
      </c>
      <c r="U31" s="60">
        <f t="shared" si="2"/>
        <v>0</v>
      </c>
      <c r="V31" s="316">
        <f>M31-'Rate Impact-GRC Total'!M31</f>
        <v>134.45692336366778</v>
      </c>
      <c r="W31" s="316">
        <f t="shared" si="0"/>
        <v>6.2585541052087112</v>
      </c>
      <c r="X31" s="316">
        <f t="shared" si="7"/>
        <v>6.4752263394861744</v>
      </c>
    </row>
    <row r="32" spans="1:24">
      <c r="A32" s="4">
        <f>MAX(A$13:A31)+1</f>
        <v>18</v>
      </c>
      <c r="C32" s="4" t="s">
        <v>38</v>
      </c>
      <c r="E32" s="35" t="s">
        <v>41</v>
      </c>
      <c r="G32" s="32">
        <f>ROUND(('Rate Design'!D1174+'Rate Design'!D1175+'Rate Design'!D1176)/12,0)</f>
        <v>6</v>
      </c>
      <c r="I32" s="32">
        <f>('Rate Design'!D1217)/1000</f>
        <v>69497.998999999996</v>
      </c>
      <c r="K32" s="33">
        <f>('Rate Design'!I1217-'Rate Design'!I1203)/1000</f>
        <v>3588.1930000000002</v>
      </c>
      <c r="M32" s="33">
        <f t="shared" si="5"/>
        <v>3914.3825756505203</v>
      </c>
      <c r="N32" s="33">
        <f t="shared" si="6"/>
        <v>326.18957565051988</v>
      </c>
      <c r="O32" s="34">
        <f>M$58</f>
        <v>9.090636307760476E-2</v>
      </c>
      <c r="P32" s="33">
        <f>($N$22+$N$32)/$N$49*P$52*$N32/($N$22+$N$32)</f>
        <v>18.035095274542339</v>
      </c>
      <c r="Q32" s="59">
        <f>Q22</f>
        <v>9.4999999999999998E-3</v>
      </c>
      <c r="R32" s="33">
        <f>($N$22+$N$32)/$N$49*R$52*$N32/($N$22+$N$32)</f>
        <v>18.572442291283835</v>
      </c>
      <c r="S32" s="59">
        <f>S22</f>
        <v>1.44E-2</v>
      </c>
      <c r="U32" s="60">
        <f t="shared" si="2"/>
        <v>0</v>
      </c>
      <c r="V32" s="316">
        <f>M32-'Rate Impact-GRC Total'!M32</f>
        <v>189.80057565052039</v>
      </c>
      <c r="W32" s="316">
        <f t="shared" si="0"/>
        <v>14.594754388245354</v>
      </c>
      <c r="X32" s="316">
        <f t="shared" si="7"/>
        <v>15.031229090497996</v>
      </c>
    </row>
    <row r="33" spans="1:24">
      <c r="A33" s="4">
        <f>MAX(A$13:A32)+1</f>
        <v>19</v>
      </c>
      <c r="C33" s="41" t="s">
        <v>42</v>
      </c>
      <c r="D33" s="41"/>
      <c r="E33" s="41"/>
      <c r="F33" s="41"/>
      <c r="G33" s="42">
        <f>SUM(G30:G32)</f>
        <v>24</v>
      </c>
      <c r="H33" s="41"/>
      <c r="I33" s="42">
        <f>SUM(I30:I32)</f>
        <v>274933.03700000001</v>
      </c>
      <c r="J33" s="41"/>
      <c r="K33" s="43">
        <f>SUM(K30:K32)</f>
        <v>9201.1229999999996</v>
      </c>
      <c r="L33" s="44"/>
      <c r="M33" s="43">
        <f>SUM(M30:M32)</f>
        <v>10037.5636281597</v>
      </c>
      <c r="N33" s="43">
        <f>SUM(N30:N32)</f>
        <v>836.44062815970005</v>
      </c>
      <c r="O33" s="45">
        <f>N33/$K33</f>
        <v>9.0906363077604774E-2</v>
      </c>
      <c r="P33" s="43"/>
      <c r="Q33" s="313"/>
      <c r="R33" s="43"/>
      <c r="S33" s="313"/>
      <c r="U33" s="60">
        <f t="shared" si="2"/>
        <v>0</v>
      </c>
      <c r="V33" s="316">
        <f>M33-'Rate Impact-GRC Total'!M33</f>
        <v>619.398628159699</v>
      </c>
      <c r="W33" s="316"/>
    </row>
    <row r="34" spans="1:24">
      <c r="A34" s="4">
        <f>MAX(A$13:A33)+1</f>
        <v>20</v>
      </c>
      <c r="C34" s="4" t="s">
        <v>43</v>
      </c>
      <c r="E34" s="4">
        <v>34</v>
      </c>
      <c r="G34" s="32">
        <v>1</v>
      </c>
      <c r="I34" s="32">
        <f>('Rate Design'!D1220)/1000</f>
        <v>1236761.9577242604</v>
      </c>
      <c r="K34" s="33">
        <f>('Rate Design'!I1220)/1000</f>
        <v>16875.427752652893</v>
      </c>
      <c r="M34" s="33">
        <f>K34+N34</f>
        <v>16875.427752652893</v>
      </c>
      <c r="N34" s="33">
        <f>$K34*O34</f>
        <v>0</v>
      </c>
      <c r="O34" s="34">
        <v>0</v>
      </c>
      <c r="P34" s="33">
        <f>$N34/$N$49*P$52</f>
        <v>0</v>
      </c>
      <c r="Q34" s="59">
        <f>ROUND(P34/($M34*P$58/12),4)</f>
        <v>0</v>
      </c>
      <c r="R34" s="33">
        <f>$N34/$N$49*R$52</f>
        <v>0</v>
      </c>
      <c r="S34" s="59">
        <f>ROUND(R34/($M34*R$58/12),4)</f>
        <v>0</v>
      </c>
      <c r="U34" s="60">
        <f t="shared" si="2"/>
        <v>0</v>
      </c>
      <c r="V34" s="316">
        <f>M34-'Rate Impact-GRC Total'!M34</f>
        <v>0</v>
      </c>
      <c r="W34" s="316">
        <f t="shared" si="0"/>
        <v>0</v>
      </c>
      <c r="X34" s="316">
        <f t="shared" ref="X34:X36" si="8">S34*M34/12*$R$58</f>
        <v>0</v>
      </c>
    </row>
    <row r="35" spans="1:24">
      <c r="A35" s="4">
        <f>MAX(A$13:A34)+1</f>
        <v>21</v>
      </c>
      <c r="C35" s="4" t="s">
        <v>44</v>
      </c>
      <c r="E35" s="35"/>
      <c r="G35" s="32">
        <f>ROUND(('Rate Design'!D1223)/12,0)</f>
        <v>1</v>
      </c>
      <c r="I35" s="32">
        <f>('Rate Design'!D1231)/1000</f>
        <v>647000</v>
      </c>
      <c r="K35" s="33">
        <f>('Rate Design'!I1231)/1000</f>
        <v>39362.118000000002</v>
      </c>
      <c r="M35" s="33">
        <f>K35+N35</f>
        <v>42382.62817102766</v>
      </c>
      <c r="N35" s="33">
        <f>$K35*O35</f>
        <v>3020.5101710276604</v>
      </c>
      <c r="O35" s="34">
        <f>M53</f>
        <v>7.6736474674143809E-2</v>
      </c>
      <c r="P35" s="33">
        <f>$N35/$N$49*P$52</f>
        <v>167.00468923192335</v>
      </c>
      <c r="Q35" s="59">
        <f>ROUND(P35/($M35*P$58/12),4)</f>
        <v>0.01</v>
      </c>
      <c r="R35" s="33">
        <f>$N35/$N$49*R$52</f>
        <v>171.98051387684708</v>
      </c>
      <c r="S35" s="59">
        <f>ROUND(R35/($M35*R$58/12),4)</f>
        <v>1.52E-2</v>
      </c>
      <c r="U35" s="60">
        <f t="shared" si="2"/>
        <v>0</v>
      </c>
      <c r="V35" s="316">
        <f>M35-'Rate Impact-GRC Total'!M35</f>
        <v>0.14917102766048629</v>
      </c>
      <c r="W35" s="316">
        <f t="shared" si="0"/>
        <v>166.34042239166772</v>
      </c>
      <c r="X35" s="316">
        <f t="shared" si="8"/>
        <v>171.79091951989881</v>
      </c>
    </row>
    <row r="36" spans="1:24">
      <c r="A36" s="4">
        <f>MAX(A$13:A35)+1</f>
        <v>22</v>
      </c>
      <c r="C36" s="4" t="s">
        <v>45</v>
      </c>
      <c r="E36" s="35"/>
      <c r="G36" s="32">
        <v>1</v>
      </c>
      <c r="I36" s="32">
        <f>('Rate Design'!D1248)/1000</f>
        <v>1339588</v>
      </c>
      <c r="K36" s="33">
        <f>('Rate Design'!I1248)/1000</f>
        <v>104628.47446898281</v>
      </c>
      <c r="M36" s="33">
        <f>K36+N36</f>
        <v>104628.47446898281</v>
      </c>
      <c r="N36" s="33">
        <f>$K36*O36</f>
        <v>0</v>
      </c>
      <c r="O36" s="34">
        <v>0</v>
      </c>
      <c r="P36" s="33">
        <f>$N36/$N$49*P$52</f>
        <v>0</v>
      </c>
      <c r="Q36" s="59">
        <f>ROUND(P36/($M36*P$58/12),4)</f>
        <v>0</v>
      </c>
      <c r="R36" s="33">
        <f>$N36/$N$49*R$52</f>
        <v>0</v>
      </c>
      <c r="S36" s="59">
        <f>ROUND(R36/($M36*R$58/12),4)</f>
        <v>0</v>
      </c>
      <c r="U36" s="60">
        <f t="shared" si="2"/>
        <v>0</v>
      </c>
      <c r="V36" s="316">
        <f>M36-'Rate Impact-GRC Total'!M36</f>
        <v>0</v>
      </c>
      <c r="W36" s="316">
        <f t="shared" si="0"/>
        <v>0</v>
      </c>
      <c r="X36" s="316">
        <f t="shared" si="8"/>
        <v>0</v>
      </c>
    </row>
    <row r="37" spans="1:24">
      <c r="A37" s="4">
        <f>MAX(A$13:A36)+1</f>
        <v>23</v>
      </c>
      <c r="C37" s="4" t="s">
        <v>21</v>
      </c>
      <c r="E37" s="35"/>
      <c r="G37" s="32"/>
      <c r="I37" s="32"/>
      <c r="K37" s="33">
        <f>('Rate Design'!I1276+'Rate Design'!I1277+'Rate Design'!I1278)/1000</f>
        <v>7039.6780500000004</v>
      </c>
      <c r="M37" s="33">
        <f>K37+N37</f>
        <v>7039.6780500000004</v>
      </c>
      <c r="N37" s="33">
        <f>$K37*O37</f>
        <v>0</v>
      </c>
      <c r="O37" s="34">
        <v>0</v>
      </c>
      <c r="P37" s="33"/>
      <c r="Q37" s="59"/>
      <c r="R37" s="33"/>
      <c r="S37" s="59"/>
      <c r="U37" s="60">
        <f t="shared" si="2"/>
        <v>0</v>
      </c>
      <c r="V37" s="316">
        <f>M37-'Rate Impact-GRC Total'!M37</f>
        <v>0</v>
      </c>
      <c r="W37" s="316"/>
    </row>
    <row r="38" spans="1:24">
      <c r="A38" s="4">
        <f>MAX(A$13:A37)+1</f>
        <v>24</v>
      </c>
      <c r="C38" s="19" t="s">
        <v>46</v>
      </c>
      <c r="G38" s="32">
        <f>SUM(G19:G20,G22:G25,G27:G32,G34:G37)</f>
        <v>124073</v>
      </c>
      <c r="I38" s="32">
        <f>SUM(I19:I20,I22:I25,I27:I32,I34:I37)</f>
        <v>20489615.650431562</v>
      </c>
      <c r="K38" s="33">
        <f>SUM(K19:K20,K22:K25,K27:K32,K34:K37)</f>
        <v>1443481.7992716359</v>
      </c>
      <c r="M38" s="33">
        <f>SUM(M19:M20,M22:M25,M27:M32,M34:M37)</f>
        <v>1541607.5556055224</v>
      </c>
      <c r="N38" s="33">
        <f>SUM(N19:N20,N22:N25,N27:N32,N34:N37)</f>
        <v>98125.756333887024</v>
      </c>
      <c r="O38" s="34">
        <f>N38/$K38</f>
        <v>6.7978519980923996E-2</v>
      </c>
      <c r="P38" s="33"/>
      <c r="Q38" s="59"/>
      <c r="R38" s="33"/>
      <c r="S38" s="59"/>
      <c r="U38" s="60">
        <f t="shared" si="2"/>
        <v>0</v>
      </c>
      <c r="V38" s="316">
        <f>M38-'Rate Impact-GRC Total'!M38</f>
        <v>57.733333886833861</v>
      </c>
      <c r="W38" s="316"/>
    </row>
    <row r="39" spans="1:24">
      <c r="C39" s="19" t="s">
        <v>47</v>
      </c>
      <c r="G39" s="32"/>
      <c r="I39" s="32"/>
      <c r="K39" s="33"/>
      <c r="M39" s="33"/>
      <c r="N39" s="33"/>
      <c r="P39" s="33"/>
      <c r="Q39" s="59"/>
      <c r="R39" s="33"/>
      <c r="S39" s="59"/>
      <c r="U39" s="60"/>
      <c r="V39" s="316"/>
      <c r="W39" s="316"/>
    </row>
    <row r="40" spans="1:24">
      <c r="A40" s="4">
        <f>MAX(A$13:A39)+1</f>
        <v>25</v>
      </c>
      <c r="C40" s="4" t="s">
        <v>48</v>
      </c>
      <c r="E40" s="4">
        <v>7</v>
      </c>
      <c r="G40" s="32">
        <f>ROUND(('Rate Design'!D353),0)</f>
        <v>6333</v>
      </c>
      <c r="I40" s="32">
        <f>('Rate Design'!D359)/1000</f>
        <v>10030.59208518304</v>
      </c>
      <c r="K40" s="33">
        <f>('Rate Design'!I359)/1000</f>
        <v>1362.222</v>
      </c>
      <c r="M40" s="33">
        <f>K40+N40</f>
        <v>1425.8874540035615</v>
      </c>
      <c r="N40" s="33">
        <f>$K40*O40</f>
        <v>63.665454003561528</v>
      </c>
      <c r="O40" s="34">
        <f>M63</f>
        <v>4.673647467414381E-2</v>
      </c>
      <c r="P40" s="33">
        <f>$N40/$N$49*P$52</f>
        <v>3.5200773242411101</v>
      </c>
      <c r="Q40" s="59">
        <f>ROUND(P40/($M40*P$58/12),4)</f>
        <v>6.3E-3</v>
      </c>
      <c r="R40" s="33">
        <f>$N40/$N$49*R$52</f>
        <v>3.6249563404085672</v>
      </c>
      <c r="S40" s="59">
        <f>ROUND(R40/($M40*R$58/12),4)</f>
        <v>9.4999999999999998E-3</v>
      </c>
      <c r="U40" s="60">
        <f t="shared" ref="U40:U49" si="9">N40/K40-O40</f>
        <v>0</v>
      </c>
      <c r="V40" s="316">
        <f>M40-'Rate Impact-GRC Total'!M40</f>
        <v>-0.5945459964384554</v>
      </c>
      <c r="W40" s="316">
        <f t="shared" si="0"/>
        <v>3.525621720947516</v>
      </c>
      <c r="X40" s="316">
        <f t="shared" ref="X40:X44" si="10">S40*M40/12*$R$58</f>
        <v>3.6122482168090224</v>
      </c>
    </row>
    <row r="41" spans="1:24">
      <c r="A41" s="4">
        <f>MAX(A$13:A40)+1</f>
        <v>26</v>
      </c>
      <c r="C41" s="4" t="s">
        <v>49</v>
      </c>
      <c r="E41" s="4">
        <v>11</v>
      </c>
      <c r="G41" s="32">
        <f>ROUND(('Rate Design'!D589),0)</f>
        <v>795</v>
      </c>
      <c r="I41" s="32">
        <f>('Rate Design'!D610)/1000</f>
        <v>13419.473877279579</v>
      </c>
      <c r="K41" s="33">
        <f>('Rate Design'!I610)/1000</f>
        <v>3897.3339999999998</v>
      </c>
      <c r="M41" s="33">
        <f>K41+N41</f>
        <v>4079.4816517876793</v>
      </c>
      <c r="N41" s="33">
        <f>$K41*O41</f>
        <v>182.14765178767959</v>
      </c>
      <c r="O41" s="34">
        <f>M64</f>
        <v>4.673647467414381E-2</v>
      </c>
      <c r="P41" s="33">
        <f>$N41/$N$49*P$52</f>
        <v>10.070984786909845</v>
      </c>
      <c r="Q41" s="59">
        <f>ROUND(P41/($M41*P$58/12),4)</f>
        <v>6.3E-3</v>
      </c>
      <c r="R41" s="33">
        <f>$N41/$N$49*R$52</f>
        <v>10.371044950081473</v>
      </c>
      <c r="S41" s="59">
        <f>ROUND(R41/($M41*R$58/12),4)</f>
        <v>9.4999999999999998E-3</v>
      </c>
      <c r="U41" s="60">
        <f t="shared" si="9"/>
        <v>0</v>
      </c>
      <c r="V41" s="316">
        <f>M41-'Rate Impact-GRC Total'!M41</f>
        <v>-0.9053482123208596</v>
      </c>
      <c r="W41" s="316">
        <f t="shared" si="0"/>
        <v>10.086847374500827</v>
      </c>
      <c r="X41" s="316">
        <f t="shared" si="10"/>
        <v>10.334686851195455</v>
      </c>
    </row>
    <row r="42" spans="1:24">
      <c r="A42" s="4">
        <f>MAX(A$13:A41)+1</f>
        <v>27</v>
      </c>
      <c r="C42" s="4" t="s">
        <v>50</v>
      </c>
      <c r="E42" s="4">
        <v>12</v>
      </c>
      <c r="G42" s="32">
        <f>ROUND(('Rate Design'!D686),0)</f>
        <v>1331</v>
      </c>
      <c r="I42" s="32">
        <f>('Rate Design'!D687)/1000</f>
        <v>29890.554483748136</v>
      </c>
      <c r="K42" s="33">
        <f>('Rate Design'!I687)/1000</f>
        <v>1484.8420000000001</v>
      </c>
      <c r="M42" s="33">
        <f>K42+N42</f>
        <v>1554.2382805281052</v>
      </c>
      <c r="N42" s="33">
        <f>$K42*O42</f>
        <v>69.396280528105052</v>
      </c>
      <c r="O42" s="34">
        <f>M65</f>
        <v>4.673647467414381E-2</v>
      </c>
      <c r="P42" s="33">
        <f>$N42/$N$49*P$52</f>
        <v>3.8369360165089237</v>
      </c>
      <c r="Q42" s="59">
        <f>ROUND(P42/($M42*P$58/12),4)</f>
        <v>6.3E-3</v>
      </c>
      <c r="R42" s="33">
        <f>$N42/$N$49*R$52</f>
        <v>3.9512556854939493</v>
      </c>
      <c r="S42" s="59">
        <f>ROUND(R42/($M42*R$58/12),4)</f>
        <v>9.4999999999999998E-3</v>
      </c>
      <c r="U42" s="60">
        <f t="shared" si="9"/>
        <v>0</v>
      </c>
      <c r="V42" s="316">
        <f>M42-'Rate Impact-GRC Total'!M42</f>
        <v>-5.7194718947357615E-3</v>
      </c>
      <c r="W42" s="316">
        <f t="shared" si="0"/>
        <v>3.8429794904025565</v>
      </c>
      <c r="X42" s="316">
        <f t="shared" si="10"/>
        <v>3.937403644004533</v>
      </c>
    </row>
    <row r="43" spans="1:24">
      <c r="A43" s="4">
        <f>MAX(A$13:A42)+1</f>
        <v>28</v>
      </c>
      <c r="C43" s="4" t="s">
        <v>51</v>
      </c>
      <c r="E43" s="4">
        <v>15</v>
      </c>
      <c r="G43" s="32">
        <f>ROUND(('Rate Design'!D692)/12,0)</f>
        <v>780</v>
      </c>
      <c r="I43" s="32">
        <f>('Rate Design'!D696)/1000</f>
        <v>15798.908622976987</v>
      </c>
      <c r="K43" s="33">
        <f>('Rate Design'!I696)/1000</f>
        <v>779.55399999999997</v>
      </c>
      <c r="M43" s="33">
        <f>K43+N43</f>
        <v>850.42041896259911</v>
      </c>
      <c r="N43" s="33">
        <f>$K43*O43</f>
        <v>70.866418962599099</v>
      </c>
      <c r="O43" s="34">
        <f>M66</f>
        <v>9.090636307760476E-2</v>
      </c>
      <c r="P43" s="33">
        <f>$N43/$N$49*P$52</f>
        <v>3.9182203024337254</v>
      </c>
      <c r="Q43" s="59">
        <f>ROUND(P43/($M43*P$58/12),4)</f>
        <v>1.17E-2</v>
      </c>
      <c r="R43" s="33">
        <f>$N43/$N$49*R$52</f>
        <v>4.0349617977459626</v>
      </c>
      <c r="S43" s="59">
        <f>ROUND(R43/($M43*R$58/12),4)</f>
        <v>1.78E-2</v>
      </c>
      <c r="U43" s="60">
        <f t="shared" si="9"/>
        <v>0</v>
      </c>
      <c r="V43" s="316">
        <f>M43-'Rate Impact-GRC Total'!M43</f>
        <v>-1.5810374009106454E-3</v>
      </c>
      <c r="W43" s="316">
        <f t="shared" si="0"/>
        <v>3.9050756980427743</v>
      </c>
      <c r="X43" s="316">
        <f t="shared" si="10"/>
        <v>4.0366622553424705</v>
      </c>
    </row>
    <row r="44" spans="1:24">
      <c r="A44" s="4">
        <f>MAX(A$13:A43)+1</f>
        <v>29</v>
      </c>
      <c r="C44" s="4" t="s">
        <v>52</v>
      </c>
      <c r="E44" s="4">
        <v>15</v>
      </c>
      <c r="G44" s="40">
        <f>ROUND(('Rate Design'!D726)/12,0)</f>
        <v>2738</v>
      </c>
      <c r="I44" s="40">
        <f>('Rate Design'!D730)/1000</f>
        <v>8267.891702285393</v>
      </c>
      <c r="K44" s="38">
        <f>('Rate Design'!I730)/1000</f>
        <v>830.74199999999996</v>
      </c>
      <c r="M44" s="38">
        <f>K44+N44</f>
        <v>906.26173387581548</v>
      </c>
      <c r="N44" s="38">
        <f>$K44*O44</f>
        <v>75.519733875815533</v>
      </c>
      <c r="O44" s="39">
        <f>M67</f>
        <v>9.090636307760476E-2</v>
      </c>
      <c r="P44" s="38">
        <f>$N44/$N$49*P$52</f>
        <v>4.1755031344645754</v>
      </c>
      <c r="Q44" s="312">
        <f>ROUND(P44/($M44*P$58/12),4)</f>
        <v>1.17E-2</v>
      </c>
      <c r="R44" s="38">
        <f>$N44/$N$49*R$52</f>
        <v>4.2999102484023899</v>
      </c>
      <c r="S44" s="312">
        <f>ROUND(R44/($M44*R$58/12),4)</f>
        <v>1.78E-2</v>
      </c>
      <c r="U44" s="60">
        <f t="shared" si="9"/>
        <v>0</v>
      </c>
      <c r="V44" s="316">
        <f>M44-'Rate Impact-GRC Total'!M44</f>
        <v>3.7338758154419338E-3</v>
      </c>
      <c r="W44" s="316">
        <f t="shared" si="0"/>
        <v>4.1614954134587849</v>
      </c>
      <c r="X44" s="316">
        <f t="shared" si="10"/>
        <v>4.3017223634638704</v>
      </c>
    </row>
    <row r="45" spans="1:24">
      <c r="A45" s="4">
        <f>MAX(A$13:A44)+1</f>
        <v>30</v>
      </c>
      <c r="C45" s="41" t="s">
        <v>53</v>
      </c>
      <c r="D45" s="47"/>
      <c r="F45" s="47"/>
      <c r="G45" s="32">
        <f>SUM(G40:G44)</f>
        <v>11977</v>
      </c>
      <c r="H45" s="47"/>
      <c r="I45" s="32">
        <f>SUM(I40:I44)</f>
        <v>77407.420771473146</v>
      </c>
      <c r="J45" s="47"/>
      <c r="K45" s="33">
        <f>SUM(K40:K44)</f>
        <v>8354.6939999999995</v>
      </c>
      <c r="L45" s="33"/>
      <c r="M45" s="33">
        <f>SUM(M40:M44)</f>
        <v>8816.2895391577604</v>
      </c>
      <c r="N45" s="33">
        <f>SUM(N40:N44)</f>
        <v>461.59553915776081</v>
      </c>
      <c r="O45" s="34">
        <f>N45/$K45</f>
        <v>5.5249843879112845E-2</v>
      </c>
      <c r="P45" s="33"/>
      <c r="Q45" s="59"/>
      <c r="R45" s="33"/>
      <c r="S45" s="59"/>
      <c r="U45" s="60">
        <f t="shared" si="9"/>
        <v>0</v>
      </c>
      <c r="V45" s="316">
        <f>M45-'Rate Impact-GRC Total'!M45</f>
        <v>-1.5034608422392921</v>
      </c>
      <c r="W45" s="316"/>
    </row>
    <row r="46" spans="1:24">
      <c r="A46" s="4">
        <f>MAX(A$13:A45)+1</f>
        <v>31</v>
      </c>
      <c r="C46" s="4" t="s">
        <v>54</v>
      </c>
      <c r="E46" s="35"/>
      <c r="G46" s="32">
        <f>ROUND(('Rate Design'!D1255),0)</f>
        <v>4</v>
      </c>
      <c r="I46" s="32">
        <f>('Rate Design'!D1256)/1000</f>
        <v>7.423</v>
      </c>
      <c r="K46" s="33">
        <f>('Rate Design'!I1256)/1000</f>
        <v>0.56000000000000005</v>
      </c>
      <c r="M46" s="33">
        <f>K46+N46</f>
        <v>0.56000000000000005</v>
      </c>
      <c r="N46" s="33">
        <f>$K46*O46</f>
        <v>0</v>
      </c>
      <c r="O46" s="34">
        <v>0</v>
      </c>
      <c r="P46" s="33"/>
      <c r="Q46" s="59"/>
      <c r="R46" s="33"/>
      <c r="S46" s="59"/>
      <c r="U46" s="60">
        <f t="shared" si="9"/>
        <v>0</v>
      </c>
      <c r="V46" s="316">
        <f>M46-'Rate Impact-GRC Total'!M46</f>
        <v>0</v>
      </c>
      <c r="W46" s="316"/>
    </row>
    <row r="47" spans="1:24" ht="22.15" customHeight="1">
      <c r="A47" s="4">
        <f>MAX(A$13:A46)+1</f>
        <v>32</v>
      </c>
      <c r="C47" s="36" t="s">
        <v>21</v>
      </c>
      <c r="D47" s="48"/>
      <c r="E47" s="37"/>
      <c r="F47" s="48"/>
      <c r="G47" s="49"/>
      <c r="H47" s="48"/>
      <c r="I47" s="49"/>
      <c r="J47" s="48"/>
      <c r="K47" s="38">
        <f>'Rate Design'!I1279/1000</f>
        <v>4.6616400000000002</v>
      </c>
      <c r="M47" s="38">
        <f>K47+N47</f>
        <v>4.6616400000000002</v>
      </c>
      <c r="N47" s="38">
        <f>$K47*O47</f>
        <v>0</v>
      </c>
      <c r="O47" s="39">
        <v>0</v>
      </c>
      <c r="P47" s="38"/>
      <c r="Q47" s="312"/>
      <c r="R47" s="38"/>
      <c r="S47" s="312"/>
      <c r="U47" s="60">
        <f t="shared" si="9"/>
        <v>0</v>
      </c>
      <c r="V47" s="316">
        <f>M47-'Rate Impact-GRC Total'!M47</f>
        <v>0</v>
      </c>
      <c r="W47" s="316"/>
    </row>
    <row r="48" spans="1:24">
      <c r="A48" s="4">
        <f>MAX(A$13:A47)+1</f>
        <v>33</v>
      </c>
      <c r="C48" s="50" t="s">
        <v>55</v>
      </c>
      <c r="E48" s="51"/>
      <c r="G48" s="40">
        <f>SUM(G46:G47)+G45</f>
        <v>11981</v>
      </c>
      <c r="I48" s="40">
        <f>SUM(I46:I47)+I45</f>
        <v>77414.843771473141</v>
      </c>
      <c r="K48" s="38">
        <f>SUM(K46:K47)+K45</f>
        <v>8359.9156399999993</v>
      </c>
      <c r="M48" s="38">
        <f>SUM(M46:M47)+M45</f>
        <v>8821.5111791577601</v>
      </c>
      <c r="N48" s="38">
        <f>SUM(N46:N47)+N45</f>
        <v>461.59553915776081</v>
      </c>
      <c r="O48" s="52">
        <f>N48/$K48</f>
        <v>5.5215334584137125E-2</v>
      </c>
      <c r="P48" s="38"/>
      <c r="Q48" s="314"/>
      <c r="R48" s="38"/>
      <c r="S48" s="314"/>
      <c r="U48" s="60">
        <f t="shared" si="9"/>
        <v>0</v>
      </c>
      <c r="V48" s="316">
        <f>M48-'Rate Impact-GRC Total'!M48</f>
        <v>-1.5034608422392921</v>
      </c>
      <c r="W48" s="316"/>
    </row>
    <row r="49" spans="1:24" ht="22.15" customHeight="1" thickBot="1">
      <c r="A49" s="4">
        <f>MAX(A$13:A48)+1</f>
        <v>34</v>
      </c>
      <c r="C49" s="53" t="s">
        <v>56</v>
      </c>
      <c r="E49" s="54"/>
      <c r="G49" s="55">
        <f>G48+G38+G17</f>
        <v>1092514</v>
      </c>
      <c r="I49" s="55">
        <f>I48+I38+I17</f>
        <v>28826511.503800046</v>
      </c>
      <c r="K49" s="56">
        <f>K48+K38+K17</f>
        <v>2356946.872631636</v>
      </c>
      <c r="M49" s="56">
        <f>M48+M38+M17</f>
        <v>2537810.6666316353</v>
      </c>
      <c r="N49" s="56">
        <f>N48+N38+N17</f>
        <v>180863.79399999999</v>
      </c>
      <c r="O49" s="57">
        <f>N49/$K49</f>
        <v>7.6736474674143809E-2</v>
      </c>
      <c r="P49" s="56">
        <f>SUM(P14:P48)</f>
        <v>10000</v>
      </c>
      <c r="Q49" s="315">
        <f>ROUND(P49/($M49*P$58/12),4)</f>
        <v>0.01</v>
      </c>
      <c r="R49" s="56">
        <f>SUM(R14:R48)</f>
        <v>10297.945205479449</v>
      </c>
      <c r="S49" s="315">
        <f>ROUND(R49/($M49*R$58/12),4)</f>
        <v>1.52E-2</v>
      </c>
      <c r="U49" s="60">
        <f t="shared" si="9"/>
        <v>0</v>
      </c>
      <c r="V49" s="316">
        <f>M49-'Rate Impact-GRC Total'!M49</f>
        <v>51.745000000111759</v>
      </c>
      <c r="W49" s="316">
        <f>SUM(W14:W48)</f>
        <v>9978.9547125909794</v>
      </c>
      <c r="X49" s="316">
        <f>SUM(X14:X48)</f>
        <v>10308.306120456684</v>
      </c>
    </row>
    <row r="50" spans="1:24" ht="25.15" customHeight="1" thickTop="1"/>
    <row r="51" spans="1:24">
      <c r="I51" s="69" t="s">
        <v>483</v>
      </c>
      <c r="M51" s="61" t="s">
        <v>57</v>
      </c>
      <c r="N51" s="294" t="s">
        <v>170</v>
      </c>
      <c r="P51" s="317" t="s">
        <v>497</v>
      </c>
      <c r="R51" s="317" t="s">
        <v>503</v>
      </c>
    </row>
    <row r="52" spans="1:24">
      <c r="G52" s="62" t="s">
        <v>467</v>
      </c>
      <c r="H52" s="30"/>
      <c r="I52" s="63">
        <f>87232937/1000</f>
        <v>87232.937000000005</v>
      </c>
      <c r="K52" s="62" t="s">
        <v>482</v>
      </c>
      <c r="M52" s="63">
        <f>I58</f>
        <v>180863.79399999999</v>
      </c>
      <c r="N52" s="5">
        <f>N49-M52</f>
        <v>0</v>
      </c>
      <c r="O52" s="64"/>
      <c r="P52" s="317">
        <f>$I$55/12*P56</f>
        <v>10000</v>
      </c>
      <c r="Q52" s="64"/>
      <c r="R52" s="317">
        <f>$I$55/12*R56-R54</f>
        <v>10297.945205479451</v>
      </c>
      <c r="S52" s="64"/>
    </row>
    <row r="53" spans="1:24">
      <c r="G53" s="62" t="s">
        <v>58</v>
      </c>
      <c r="H53" s="30"/>
      <c r="I53" s="280">
        <f>6978587/1000</f>
        <v>6978.5870000000004</v>
      </c>
      <c r="K53" s="62" t="s">
        <v>59</v>
      </c>
      <c r="M53" s="59">
        <f>M52/K49</f>
        <v>7.6736474674143809E-2</v>
      </c>
      <c r="O53" s="59"/>
      <c r="P53" s="317"/>
      <c r="Q53" s="59"/>
      <c r="R53" s="317" t="s">
        <v>508</v>
      </c>
      <c r="S53" s="59"/>
    </row>
    <row r="54" spans="1:24">
      <c r="G54" s="35" t="s">
        <v>287</v>
      </c>
      <c r="I54" s="12">
        <f>SUM(I52:I53)</f>
        <v>94211.524000000005</v>
      </c>
      <c r="K54" s="62" t="s">
        <v>60</v>
      </c>
      <c r="M54" s="59"/>
      <c r="N54" s="59">
        <v>1.4169888403460956E-2</v>
      </c>
      <c r="O54" s="66"/>
      <c r="P54" s="317"/>
      <c r="Q54" s="66"/>
      <c r="R54" s="321">
        <f>P49*((31-20)/31+24/30)/P58</f>
        <v>2452.0547945205476</v>
      </c>
      <c r="S54" s="66" t="s">
        <v>509</v>
      </c>
      <c r="U54" s="65"/>
    </row>
    <row r="55" spans="1:24">
      <c r="G55" s="35" t="s">
        <v>468</v>
      </c>
      <c r="I55" s="280">
        <v>93000</v>
      </c>
      <c r="K55" s="62" t="s">
        <v>61</v>
      </c>
      <c r="M55" s="59">
        <f>$M$53+N55</f>
        <v>9.090636307760476E-2</v>
      </c>
      <c r="N55" s="59">
        <f>$N$54</f>
        <v>1.4169888403460956E-2</v>
      </c>
      <c r="O55" s="59"/>
      <c r="P55" s="317" t="s">
        <v>498</v>
      </c>
      <c r="Q55" s="59"/>
      <c r="R55" s="317" t="s">
        <v>498</v>
      </c>
      <c r="S55" s="59"/>
      <c r="U55" s="33"/>
    </row>
    <row r="56" spans="1:24">
      <c r="G56" s="35" t="s">
        <v>105</v>
      </c>
      <c r="I56" s="281">
        <f>SUM(I54:I55)</f>
        <v>187211.524</v>
      </c>
      <c r="K56" s="62" t="s">
        <v>62</v>
      </c>
      <c r="M56" s="59">
        <f t="shared" ref="M56:M67" si="11">$M$53+N56</f>
        <v>6.6736474674143814E-2</v>
      </c>
      <c r="N56" s="67">
        <v>-0.01</v>
      </c>
      <c r="O56" s="59"/>
      <c r="P56" s="320">
        <f>1+9/31</f>
        <v>1.2903225806451613</v>
      </c>
      <c r="Q56" s="59"/>
      <c r="R56" s="320">
        <f>1+20/31</f>
        <v>1.6451612903225805</v>
      </c>
      <c r="S56" s="66" t="s">
        <v>510</v>
      </c>
    </row>
    <row r="57" spans="1:24">
      <c r="G57" s="35" t="s">
        <v>469</v>
      </c>
      <c r="I57" s="63">
        <v>6347.73</v>
      </c>
      <c r="K57" s="68" t="s">
        <v>63</v>
      </c>
      <c r="M57" s="59">
        <f t="shared" si="11"/>
        <v>7.1736474674143805E-2</v>
      </c>
      <c r="N57" s="67">
        <v>-5.0000000000000001E-3</v>
      </c>
      <c r="O57" s="59"/>
      <c r="P57" s="318" t="s">
        <v>499</v>
      </c>
      <c r="Q57" s="59"/>
      <c r="R57" s="318" t="s">
        <v>499</v>
      </c>
      <c r="S57" s="59"/>
    </row>
    <row r="58" spans="1:24" ht="16.5" thickBot="1">
      <c r="G58" s="35" t="s">
        <v>470</v>
      </c>
      <c r="I58" s="282">
        <f>I56-I57</f>
        <v>180863.79399999999</v>
      </c>
      <c r="K58" s="62" t="s">
        <v>64</v>
      </c>
      <c r="M58" s="59">
        <f t="shared" si="11"/>
        <v>9.090636307760476E-2</v>
      </c>
      <c r="N58" s="59">
        <f>$N$54</f>
        <v>1.4169888403460956E-2</v>
      </c>
      <c r="O58" s="59"/>
      <c r="P58" s="320">
        <f>6-P56</f>
        <v>4.709677419354839</v>
      </c>
      <c r="Q58" s="59"/>
      <c r="R58" s="320">
        <f>3+6/30</f>
        <v>3.2</v>
      </c>
      <c r="S58" s="66" t="s">
        <v>511</v>
      </c>
    </row>
    <row r="59" spans="1:24" ht="16.5" thickTop="1">
      <c r="K59" s="68">
        <v>10</v>
      </c>
      <c r="M59" s="59">
        <f t="shared" si="11"/>
        <v>7.2736474674143806E-2</v>
      </c>
      <c r="N59" s="67">
        <v>-4.0000000000000001E-3</v>
      </c>
      <c r="O59" s="59"/>
      <c r="P59" s="67"/>
      <c r="Q59" s="59"/>
      <c r="R59" s="67"/>
      <c r="S59" s="59"/>
    </row>
    <row r="60" spans="1:24">
      <c r="K60" s="68">
        <v>23</v>
      </c>
      <c r="M60" s="59">
        <f t="shared" si="11"/>
        <v>7.2736474674143806E-2</v>
      </c>
      <c r="N60" s="67">
        <v>-4.0000000000000001E-3</v>
      </c>
      <c r="O60" s="59"/>
      <c r="P60" s="67"/>
      <c r="Q60" s="59"/>
      <c r="R60" s="67"/>
      <c r="S60" s="59"/>
    </row>
    <row r="61" spans="1:24">
      <c r="K61" s="62" t="s">
        <v>65</v>
      </c>
      <c r="M61" s="59">
        <f t="shared" si="11"/>
        <v>7.6736474674143809E-2</v>
      </c>
      <c r="N61" s="67">
        <v>0</v>
      </c>
      <c r="O61" s="59"/>
      <c r="P61" s="67"/>
      <c r="Q61" s="59"/>
      <c r="R61" s="67"/>
      <c r="S61" s="59"/>
    </row>
    <row r="62" spans="1:24">
      <c r="K62" s="62" t="s">
        <v>66</v>
      </c>
      <c r="M62" s="67">
        <v>0</v>
      </c>
      <c r="N62" s="59"/>
      <c r="O62" s="59"/>
      <c r="P62" s="59"/>
      <c r="Q62" s="59"/>
      <c r="R62" s="59"/>
      <c r="S62" s="59"/>
    </row>
    <row r="63" spans="1:24">
      <c r="K63" s="69">
        <v>7</v>
      </c>
      <c r="M63" s="59">
        <f t="shared" si="11"/>
        <v>4.673647467414381E-2</v>
      </c>
      <c r="N63" s="67">
        <v>-0.03</v>
      </c>
      <c r="O63" s="59"/>
      <c r="P63" s="67"/>
      <c r="Q63" s="59"/>
      <c r="R63" s="67"/>
      <c r="S63" s="59"/>
    </row>
    <row r="64" spans="1:24">
      <c r="K64" s="69">
        <v>11</v>
      </c>
      <c r="M64" s="59">
        <f t="shared" si="11"/>
        <v>4.673647467414381E-2</v>
      </c>
      <c r="N64" s="67">
        <v>-0.03</v>
      </c>
      <c r="O64" s="59"/>
      <c r="P64" s="67"/>
      <c r="Q64" s="59"/>
      <c r="R64" s="67"/>
      <c r="S64" s="59"/>
    </row>
    <row r="65" spans="1:26">
      <c r="K65" s="69">
        <v>12</v>
      </c>
      <c r="M65" s="59">
        <f t="shared" si="11"/>
        <v>4.673647467414381E-2</v>
      </c>
      <c r="N65" s="67">
        <v>-0.03</v>
      </c>
      <c r="O65" s="59"/>
      <c r="P65" s="67"/>
      <c r="Q65" s="59"/>
      <c r="R65" s="67"/>
      <c r="S65" s="59"/>
    </row>
    <row r="66" spans="1:26">
      <c r="K66" s="62" t="s">
        <v>67</v>
      </c>
      <c r="M66" s="59">
        <f t="shared" si="11"/>
        <v>9.090636307760476E-2</v>
      </c>
      <c r="N66" s="59">
        <f t="shared" ref="N66:N67" si="12">$N$54</f>
        <v>1.4169888403460956E-2</v>
      </c>
      <c r="O66" s="59"/>
      <c r="P66" s="59"/>
      <c r="Q66" s="59"/>
      <c r="R66" s="59"/>
      <c r="S66" s="59"/>
    </row>
    <row r="67" spans="1:26">
      <c r="K67" s="62" t="s">
        <v>68</v>
      </c>
      <c r="M67" s="59">
        <f t="shared" si="11"/>
        <v>9.090636307760476E-2</v>
      </c>
      <c r="N67" s="59">
        <f t="shared" si="12"/>
        <v>1.4169888403460956E-2</v>
      </c>
      <c r="O67" s="59"/>
      <c r="P67" s="59"/>
      <c r="Q67" s="59"/>
      <c r="R67" s="59"/>
      <c r="S67" s="59"/>
    </row>
    <row r="68" spans="1:26">
      <c r="A68" s="290" t="s">
        <v>471</v>
      </c>
      <c r="B68" s="290"/>
      <c r="C68" s="290"/>
      <c r="G68" s="30"/>
      <c r="H68" s="30"/>
      <c r="I68" s="30"/>
      <c r="J68" s="30"/>
      <c r="L68" s="4"/>
      <c r="M68" s="4"/>
      <c r="O68" s="30"/>
      <c r="Q68" s="30"/>
      <c r="S68" s="30"/>
      <c r="T68" s="30"/>
      <c r="U68" s="30"/>
      <c r="X68" s="30"/>
      <c r="Y68" s="30"/>
      <c r="Z68" s="30"/>
    </row>
    <row r="69" spans="1:26">
      <c r="A69" s="4" t="s">
        <v>472</v>
      </c>
      <c r="G69" s="30"/>
      <c r="H69" s="30"/>
      <c r="I69" s="30"/>
      <c r="J69" s="30"/>
      <c r="L69" s="4"/>
      <c r="M69" s="4"/>
      <c r="O69" s="30"/>
      <c r="Q69" s="30"/>
      <c r="S69" s="30"/>
      <c r="T69" s="30"/>
      <c r="U69" s="30"/>
      <c r="X69" s="30"/>
      <c r="Y69" s="30"/>
      <c r="Z69" s="30"/>
    </row>
    <row r="70" spans="1:26">
      <c r="A70" s="4" t="s">
        <v>473</v>
      </c>
    </row>
    <row r="71" spans="1:26">
      <c r="A71" s="4" t="s">
        <v>501</v>
      </c>
    </row>
    <row r="72" spans="1:26">
      <c r="A72" s="4" t="s">
        <v>507</v>
      </c>
    </row>
  </sheetData>
  <printOptions horizontalCentered="1"/>
  <pageMargins left="0.5" right="0.5" top="1" bottom="0.5" header="0.5" footer="0.25"/>
  <pageSetup scale="45" orientation="portrait" r:id="rId1"/>
  <headerFooter alignWithMargins="0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6F8004-7537-4633-BC10-1D901FA0E586}">
  <sheetPr transitionEvaluation="1" transitionEntry="1">
    <pageSetUpPr fitToPage="1"/>
  </sheetPr>
  <dimension ref="A1:U1290"/>
  <sheetViews>
    <sheetView view="pageBreakPreview" topLeftCell="A450" zoomScale="85" zoomScaleNormal="90" zoomScaleSheetLayoutView="85" workbookViewId="0">
      <selection activeCell="Q471" sqref="Q471"/>
    </sheetView>
  </sheetViews>
  <sheetFormatPr defaultColWidth="10.28515625" defaultRowHeight="15.75"/>
  <cols>
    <col min="1" max="1" width="28.85546875" style="73" customWidth="1"/>
    <col min="2" max="2" width="10.28515625" style="72" customWidth="1"/>
    <col min="3" max="4" width="17.28515625" style="72" bestFit="1" customWidth="1"/>
    <col min="5" max="5" width="1.7109375" style="72" customWidth="1"/>
    <col min="6" max="6" width="10.7109375" style="72" bestFit="1" customWidth="1"/>
    <col min="7" max="7" width="1.7109375" style="72" customWidth="1"/>
    <col min="8" max="9" width="16.5703125" style="72" customWidth="1"/>
    <col min="10" max="10" width="1.7109375" style="72" customWidth="1"/>
    <col min="11" max="11" width="10.7109375" style="72" bestFit="1" customWidth="1"/>
    <col min="12" max="12" width="1.7109375" style="72" customWidth="1"/>
    <col min="13" max="13" width="16.7109375" style="72" bestFit="1" customWidth="1"/>
    <col min="14" max="14" width="6.5703125" style="72" bestFit="1" customWidth="1"/>
    <col min="15" max="15" width="29.7109375" style="72" bestFit="1" customWidth="1"/>
    <col min="16" max="16" width="14.85546875" style="72" customWidth="1"/>
    <col min="17" max="17" width="15.140625" style="72" customWidth="1"/>
    <col min="18" max="18" width="14.28515625" style="72" customWidth="1"/>
    <col min="19" max="16384" width="10.28515625" style="72"/>
  </cols>
  <sheetData>
    <row r="1" spans="1:18" ht="18.75">
      <c r="A1" s="70" t="s">
        <v>489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</row>
    <row r="2" spans="1:18" ht="18.75">
      <c r="A2" s="70" t="s">
        <v>69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</row>
    <row r="3" spans="1:18" ht="18.75">
      <c r="A3" s="70" t="s">
        <v>70</v>
      </c>
      <c r="B3" s="71"/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</row>
    <row r="4" spans="1:18" ht="18.75">
      <c r="A4" s="1" t="s">
        <v>422</v>
      </c>
      <c r="B4" s="71"/>
      <c r="C4" s="71"/>
      <c r="D4" s="71"/>
      <c r="E4" s="71"/>
      <c r="F4" s="71"/>
      <c r="G4" s="71"/>
      <c r="H4" s="71"/>
      <c r="I4" s="71"/>
      <c r="J4" s="71"/>
      <c r="K4" s="71"/>
      <c r="L4" s="71"/>
      <c r="M4" s="71"/>
    </row>
    <row r="5" spans="1:18" ht="18.75">
      <c r="A5" s="1" t="s">
        <v>423</v>
      </c>
      <c r="B5" s="71"/>
      <c r="C5" s="71"/>
      <c r="D5" s="71"/>
      <c r="E5" s="71"/>
      <c r="F5" s="71"/>
      <c r="G5" s="71"/>
      <c r="H5" s="71"/>
      <c r="I5" s="71"/>
      <c r="J5" s="71"/>
      <c r="K5" s="71"/>
      <c r="L5" s="71"/>
      <c r="M5" s="71"/>
    </row>
    <row r="6" spans="1:18" ht="18.75">
      <c r="A6" s="1"/>
      <c r="B6" s="71"/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</row>
    <row r="7" spans="1:18" ht="18.75">
      <c r="C7" s="74"/>
      <c r="D7" s="75"/>
      <c r="E7" s="76"/>
      <c r="F7" s="77" t="s">
        <v>479</v>
      </c>
      <c r="G7" s="78"/>
      <c r="H7" s="79"/>
      <c r="I7" s="79"/>
      <c r="J7" s="76"/>
      <c r="K7" s="77" t="s">
        <v>480</v>
      </c>
      <c r="L7" s="78"/>
      <c r="M7" s="79"/>
    </row>
    <row r="8" spans="1:18">
      <c r="C8" s="80" t="s">
        <v>71</v>
      </c>
      <c r="D8" s="79"/>
      <c r="E8" s="81"/>
      <c r="F8" s="82"/>
      <c r="G8" s="82"/>
      <c r="H8" s="83" t="s">
        <v>72</v>
      </c>
      <c r="I8" s="83"/>
      <c r="J8" s="81"/>
      <c r="K8" s="84"/>
      <c r="L8" s="82"/>
      <c r="M8" s="83"/>
    </row>
    <row r="9" spans="1:18">
      <c r="C9" s="85" t="s">
        <v>5</v>
      </c>
      <c r="D9" s="85" t="s">
        <v>12</v>
      </c>
      <c r="E9" s="86"/>
      <c r="F9" s="87" t="s">
        <v>73</v>
      </c>
      <c r="G9" s="82"/>
      <c r="H9" s="85" t="s">
        <v>5</v>
      </c>
      <c r="I9" s="85" t="s">
        <v>12</v>
      </c>
      <c r="J9" s="86"/>
      <c r="K9" s="87" t="s">
        <v>73</v>
      </c>
      <c r="L9" s="82"/>
      <c r="M9" s="87" t="s">
        <v>72</v>
      </c>
      <c r="O9" s="88" t="s">
        <v>74</v>
      </c>
      <c r="P9" s="89">
        <v>4</v>
      </c>
    </row>
    <row r="10" spans="1:18">
      <c r="A10" s="90" t="s">
        <v>424</v>
      </c>
      <c r="C10" s="91"/>
      <c r="D10" s="92"/>
      <c r="E10" s="92"/>
      <c r="J10" s="92"/>
    </row>
    <row r="11" spans="1:18">
      <c r="A11" s="93" t="s">
        <v>75</v>
      </c>
      <c r="C11" s="92">
        <f>SUM(C12:C15)</f>
        <v>9912896.2969997637</v>
      </c>
      <c r="D11" s="94">
        <v>10211688.872469638</v>
      </c>
      <c r="E11" s="94"/>
      <c r="F11" s="95"/>
      <c r="G11" s="95"/>
      <c r="H11" s="96"/>
      <c r="I11" s="96"/>
      <c r="J11" s="94"/>
      <c r="K11" s="95"/>
      <c r="L11" s="95"/>
      <c r="M11" s="96"/>
      <c r="O11" s="97"/>
      <c r="P11" s="98"/>
    </row>
    <row r="12" spans="1:18">
      <c r="A12" s="93" t="s">
        <v>76</v>
      </c>
      <c r="C12" s="92">
        <v>7541300.6989998901</v>
      </c>
      <c r="D12" s="92">
        <f>ROUND($C12/$C$11*D$11,0)</f>
        <v>7768609</v>
      </c>
      <c r="E12" s="92"/>
      <c r="F12" s="95">
        <v>10</v>
      </c>
      <c r="G12" s="95"/>
      <c r="H12" s="96">
        <f t="shared" ref="H12:I18" si="0">ROUND($F12*C12,0)</f>
        <v>75413007</v>
      </c>
      <c r="I12" s="96">
        <f t="shared" si="0"/>
        <v>77686090</v>
      </c>
      <c r="J12" s="92"/>
      <c r="K12" s="95">
        <f>F12+2</f>
        <v>12</v>
      </c>
      <c r="L12" s="95"/>
      <c r="M12" s="96">
        <f t="shared" ref="M12:M18" si="1">ROUND($K12*D12,0)</f>
        <v>93223308</v>
      </c>
      <c r="O12" s="99" t="s">
        <v>77</v>
      </c>
      <c r="P12" s="100"/>
      <c r="Q12" s="101"/>
    </row>
    <row r="13" spans="1:18">
      <c r="A13" s="93" t="s">
        <v>78</v>
      </c>
      <c r="C13" s="92">
        <v>2355534.0666665407</v>
      </c>
      <c r="D13" s="92">
        <f t="shared" ref="D13:D15" si="2">ROUND($C13/$C$11*D$11,0)</f>
        <v>2426534</v>
      </c>
      <c r="E13" s="92"/>
      <c r="F13" s="95">
        <v>6</v>
      </c>
      <c r="G13" s="95"/>
      <c r="H13" s="96">
        <f t="shared" si="0"/>
        <v>14133204</v>
      </c>
      <c r="I13" s="96">
        <f t="shared" si="0"/>
        <v>14559204</v>
      </c>
      <c r="J13" s="92"/>
      <c r="K13" s="95">
        <f>F13+1</f>
        <v>7</v>
      </c>
      <c r="L13" s="95"/>
      <c r="M13" s="96">
        <f t="shared" si="1"/>
        <v>16985738</v>
      </c>
      <c r="O13" s="103" t="s">
        <v>79</v>
      </c>
      <c r="P13" s="104">
        <f>M27+M48+M67+M82+M102</f>
        <v>987348948</v>
      </c>
      <c r="Q13" s="101"/>
    </row>
    <row r="14" spans="1:18">
      <c r="A14" s="93" t="s">
        <v>80</v>
      </c>
      <c r="C14" s="92">
        <v>3639.3979999999997</v>
      </c>
      <c r="D14" s="92">
        <f t="shared" si="2"/>
        <v>3749</v>
      </c>
      <c r="E14" s="92"/>
      <c r="F14" s="95">
        <v>20</v>
      </c>
      <c r="G14" s="95"/>
      <c r="H14" s="96">
        <f t="shared" si="0"/>
        <v>72788</v>
      </c>
      <c r="I14" s="96">
        <f t="shared" si="0"/>
        <v>74980</v>
      </c>
      <c r="J14" s="92"/>
      <c r="K14" s="95">
        <f>K12+7.5</f>
        <v>19.5</v>
      </c>
      <c r="L14" s="95"/>
      <c r="M14" s="96">
        <f t="shared" si="1"/>
        <v>73106</v>
      </c>
      <c r="N14" s="105"/>
      <c r="O14" s="106" t="s">
        <v>81</v>
      </c>
      <c r="P14" s="107">
        <f>('Rate Spread'!M14+'Rate Spread'!M15)*1000</f>
        <v>987344463.12695515</v>
      </c>
      <c r="Q14" s="108"/>
      <c r="R14" s="105"/>
    </row>
    <row r="15" spans="1:18">
      <c r="A15" s="93" t="s">
        <v>82</v>
      </c>
      <c r="C15" s="92">
        <v>12422.13333333335</v>
      </c>
      <c r="D15" s="92">
        <f t="shared" si="2"/>
        <v>12797</v>
      </c>
      <c r="E15" s="92"/>
      <c r="F15" s="95">
        <v>12</v>
      </c>
      <c r="G15" s="95"/>
      <c r="H15" s="96">
        <f t="shared" si="0"/>
        <v>149066</v>
      </c>
      <c r="I15" s="96">
        <f t="shared" si="0"/>
        <v>153564</v>
      </c>
      <c r="J15" s="92"/>
      <c r="K15" s="95">
        <f>K13+7.5</f>
        <v>14.5</v>
      </c>
      <c r="L15" s="95"/>
      <c r="M15" s="96">
        <f t="shared" si="1"/>
        <v>185557</v>
      </c>
      <c r="N15" s="105"/>
      <c r="O15" s="109" t="s">
        <v>83</v>
      </c>
      <c r="P15" s="110">
        <f>P14-P13</f>
        <v>-4484.8730448484421</v>
      </c>
      <c r="Q15" s="105"/>
      <c r="R15" s="105"/>
    </row>
    <row r="16" spans="1:18">
      <c r="A16" s="93" t="s">
        <v>84</v>
      </c>
      <c r="C16" s="92">
        <v>0</v>
      </c>
      <c r="D16" s="92">
        <f>ROUND($C16/$C$11*D$11,0)</f>
        <v>0</v>
      </c>
      <c r="E16" s="92"/>
      <c r="F16" s="95">
        <v>2</v>
      </c>
      <c r="G16" s="95"/>
      <c r="H16" s="96">
        <f t="shared" si="0"/>
        <v>0</v>
      </c>
      <c r="I16" s="96">
        <f t="shared" si="0"/>
        <v>0</v>
      </c>
      <c r="J16" s="92"/>
      <c r="K16" s="95">
        <f>F16</f>
        <v>2</v>
      </c>
      <c r="L16" s="95"/>
      <c r="M16" s="96">
        <f t="shared" si="1"/>
        <v>0</v>
      </c>
      <c r="N16" s="105"/>
      <c r="O16" s="89"/>
      <c r="P16" s="111"/>
      <c r="Q16" s="105"/>
      <c r="R16" s="105"/>
    </row>
    <row r="17" spans="1:18">
      <c r="A17" s="93" t="s">
        <v>85</v>
      </c>
      <c r="C17" s="92">
        <v>483.1</v>
      </c>
      <c r="D17" s="92">
        <f>ROUND($C17/$C$11*D$11,0)</f>
        <v>498</v>
      </c>
      <c r="E17" s="92"/>
      <c r="F17" s="95">
        <v>22</v>
      </c>
      <c r="G17" s="95"/>
      <c r="H17" s="96">
        <f t="shared" si="0"/>
        <v>10628</v>
      </c>
      <c r="I17" s="96">
        <f t="shared" si="0"/>
        <v>10956</v>
      </c>
      <c r="J17" s="92"/>
      <c r="K17" s="95">
        <f>F17</f>
        <v>22</v>
      </c>
      <c r="L17" s="95"/>
      <c r="M17" s="96">
        <f t="shared" si="1"/>
        <v>10956</v>
      </c>
      <c r="N17" s="105"/>
      <c r="O17" s="103" t="s">
        <v>86</v>
      </c>
      <c r="P17" s="112">
        <f>P13/($I$27+$I$48+$I$67+$I$82+$I$102)-1</f>
        <v>9.0911318365981764E-2</v>
      </c>
      <c r="Q17" s="105"/>
      <c r="R17" s="105"/>
    </row>
    <row r="18" spans="1:18">
      <c r="A18" s="93" t="s">
        <v>87</v>
      </c>
      <c r="C18" s="92">
        <v>6120807</v>
      </c>
      <c r="D18" s="92">
        <v>7098075.6602435652</v>
      </c>
      <c r="E18" s="92"/>
      <c r="F18" s="95">
        <v>-0.5</v>
      </c>
      <c r="G18" s="95"/>
      <c r="H18" s="96">
        <f t="shared" si="0"/>
        <v>-3060404</v>
      </c>
      <c r="I18" s="96">
        <f t="shared" si="0"/>
        <v>-3549038</v>
      </c>
      <c r="J18" s="92"/>
      <c r="K18" s="95">
        <f>F18</f>
        <v>-0.5</v>
      </c>
      <c r="L18" s="95"/>
      <c r="M18" s="96">
        <f t="shared" si="1"/>
        <v>-3549038</v>
      </c>
      <c r="N18" s="105"/>
      <c r="O18" s="106" t="s">
        <v>88</v>
      </c>
      <c r="P18" s="113">
        <f>P14/($I$27+$I$48+$I$67+$I$82+$I$102)-1</f>
        <v>9.0906363077604802E-2</v>
      </c>
      <c r="Q18" s="105"/>
      <c r="R18" s="105"/>
    </row>
    <row r="19" spans="1:18">
      <c r="A19" s="93" t="s">
        <v>89</v>
      </c>
      <c r="C19" s="92">
        <v>0</v>
      </c>
      <c r="D19" s="92">
        <f>ROUND($C19/SUM($C21:$C22)*SUM(D21:D22),0)</f>
        <v>0</v>
      </c>
      <c r="E19" s="92"/>
      <c r="F19" s="114">
        <v>4.3559999999999999</v>
      </c>
      <c r="G19" s="95" t="s">
        <v>90</v>
      </c>
      <c r="H19" s="96">
        <f t="shared" ref="H19:I25" si="3">ROUND($F19*C19/100,0)</f>
        <v>0</v>
      </c>
      <c r="I19" s="96">
        <f t="shared" si="3"/>
        <v>0</v>
      </c>
      <c r="J19" s="92"/>
      <c r="K19" s="114">
        <f>F19</f>
        <v>4.3559999999999999</v>
      </c>
      <c r="L19" s="95" t="s">
        <v>90</v>
      </c>
      <c r="M19" s="96">
        <f t="shared" ref="M19:M25" si="4">ROUND($K19*D19/100,0)</f>
        <v>0</v>
      </c>
      <c r="N19" s="115"/>
      <c r="O19" s="106" t="s">
        <v>91</v>
      </c>
      <c r="P19" s="116">
        <f>(P14-SUM(M12:M18,M31:M37,M52:M58,M71:M77,M86:M92))/SUM(I19:I25,I38:I46,I59:I65,I78:I80,I93:I99)-1</f>
        <v>7.6932199655249445E-2</v>
      </c>
      <c r="Q19" s="115"/>
      <c r="R19" s="115"/>
    </row>
    <row r="20" spans="1:18">
      <c r="A20" s="93" t="s">
        <v>92</v>
      </c>
      <c r="C20" s="92">
        <v>0</v>
      </c>
      <c r="D20" s="92">
        <f>ROUND($C20/SUM($C21:$C22)*SUM(D21:D22),0)</f>
        <v>0</v>
      </c>
      <c r="E20" s="92"/>
      <c r="F20" s="114">
        <v>-1.6334</v>
      </c>
      <c r="G20" s="95" t="s">
        <v>90</v>
      </c>
      <c r="H20" s="96">
        <f t="shared" si="3"/>
        <v>0</v>
      </c>
      <c r="I20" s="96">
        <f t="shared" si="3"/>
        <v>0</v>
      </c>
      <c r="J20" s="92"/>
      <c r="K20" s="114">
        <f>F20</f>
        <v>-1.6334</v>
      </c>
      <c r="L20" s="95" t="s">
        <v>90</v>
      </c>
      <c r="M20" s="96">
        <f t="shared" si="4"/>
        <v>0</v>
      </c>
      <c r="N20" s="105"/>
      <c r="O20" s="117" t="s">
        <v>93</v>
      </c>
      <c r="P20" s="118"/>
      <c r="Q20" s="119">
        <f>K21/K23</f>
        <v>1.1299931050333256</v>
      </c>
      <c r="R20" s="119">
        <f>K22/K24</f>
        <v>1.1300021650488941</v>
      </c>
    </row>
    <row r="21" spans="1:18">
      <c r="A21" s="93" t="s">
        <v>94</v>
      </c>
      <c r="C21" s="92">
        <v>1184431973</v>
      </c>
      <c r="D21" s="94">
        <v>1280445808</v>
      </c>
      <c r="E21" s="94"/>
      <c r="F21" s="114">
        <v>9.0279000000000007</v>
      </c>
      <c r="G21" s="120" t="s">
        <v>90</v>
      </c>
      <c r="H21" s="96">
        <f t="shared" si="3"/>
        <v>106929334</v>
      </c>
      <c r="I21" s="96">
        <f t="shared" si="3"/>
        <v>115597367</v>
      </c>
      <c r="J21" s="94"/>
      <c r="K21" s="114">
        <f>ROUND(($P$14-SUM(M12:M20,M25,M31:M41,M46,M52:M60,M65,M82,M86:M94,M99)-(F22-F21)/100*SUM(D22,D43,D62,D96)-(F24-F23)/100*SUM(D24,D45,D64,D98))/(SUM(D21:D22,D42:D43,D61:D62,D95:D96)+F23/F21*SUM(D23:D24,D44:D45,D63:D64,D97:D98))*100,$P$9)</f>
        <v>9.8331999999999997</v>
      </c>
      <c r="L21" s="120" t="s">
        <v>90</v>
      </c>
      <c r="M21" s="96">
        <f t="shared" si="4"/>
        <v>125908797</v>
      </c>
      <c r="N21" s="121"/>
      <c r="O21" s="117" t="s">
        <v>95</v>
      </c>
      <c r="P21" s="122"/>
      <c r="Q21" s="123">
        <f>K22-K21</f>
        <v>2.6931000000000012</v>
      </c>
      <c r="R21" s="123">
        <f>F22-F21</f>
        <v>2.6930999999999994</v>
      </c>
    </row>
    <row r="22" spans="1:18">
      <c r="A22" s="93" t="s">
        <v>96</v>
      </c>
      <c r="C22" s="92">
        <v>1683587899.7623816</v>
      </c>
      <c r="D22" s="94">
        <v>1820064906</v>
      </c>
      <c r="E22" s="94"/>
      <c r="F22" s="114">
        <v>11.721</v>
      </c>
      <c r="G22" s="120" t="s">
        <v>90</v>
      </c>
      <c r="H22" s="96">
        <f t="shared" si="3"/>
        <v>197333338</v>
      </c>
      <c r="I22" s="96">
        <f t="shared" si="3"/>
        <v>213329808</v>
      </c>
      <c r="J22" s="94"/>
      <c r="K22" s="114">
        <f>K21+F22-F21</f>
        <v>12.526300000000001</v>
      </c>
      <c r="L22" s="120" t="s">
        <v>90</v>
      </c>
      <c r="M22" s="96">
        <f t="shared" si="4"/>
        <v>227986790</v>
      </c>
      <c r="N22" s="121"/>
      <c r="O22" s="124" t="s">
        <v>97</v>
      </c>
      <c r="P22" s="125"/>
      <c r="Q22" s="123">
        <f>K24-K23</f>
        <v>2.3832000000000004</v>
      </c>
      <c r="R22" s="123">
        <f>F24-F23</f>
        <v>2.3832000000000004</v>
      </c>
    </row>
    <row r="23" spans="1:18">
      <c r="A23" s="93" t="s">
        <v>98</v>
      </c>
      <c r="B23" s="126"/>
      <c r="C23" s="92">
        <v>2282008538</v>
      </c>
      <c r="D23" s="94">
        <v>2250428111</v>
      </c>
      <c r="E23" s="94"/>
      <c r="F23" s="127">
        <v>7.9893000000000001</v>
      </c>
      <c r="G23" s="120" t="s">
        <v>90</v>
      </c>
      <c r="H23" s="96">
        <f t="shared" si="3"/>
        <v>182316508</v>
      </c>
      <c r="I23" s="96">
        <f t="shared" si="3"/>
        <v>179793453</v>
      </c>
      <c r="J23" s="94"/>
      <c r="K23" s="127">
        <f>ROUND(K21*F23/F21,$P$9)</f>
        <v>8.702</v>
      </c>
      <c r="L23" s="120" t="s">
        <v>90</v>
      </c>
      <c r="M23" s="96">
        <f t="shared" si="4"/>
        <v>195832254</v>
      </c>
      <c r="N23" s="121"/>
      <c r="O23" s="117" t="s">
        <v>95</v>
      </c>
      <c r="P23" s="122">
        <v>0</v>
      </c>
      <c r="R23" s="102"/>
    </row>
    <row r="24" spans="1:18">
      <c r="A24" s="93" t="s">
        <v>99</v>
      </c>
      <c r="B24" s="126"/>
      <c r="C24" s="92">
        <v>2129421079.6356161</v>
      </c>
      <c r="D24" s="94">
        <v>2099952291</v>
      </c>
      <c r="E24" s="94"/>
      <c r="F24" s="127">
        <v>10.3725</v>
      </c>
      <c r="G24" s="120" t="s">
        <v>90</v>
      </c>
      <c r="H24" s="96">
        <f t="shared" si="3"/>
        <v>220874201</v>
      </c>
      <c r="I24" s="96">
        <f t="shared" si="3"/>
        <v>217817551</v>
      </c>
      <c r="J24" s="94"/>
      <c r="K24" s="114">
        <f>K23+F24-F23</f>
        <v>11.0852</v>
      </c>
      <c r="L24" s="120" t="s">
        <v>90</v>
      </c>
      <c r="M24" s="96">
        <f t="shared" si="4"/>
        <v>232783911</v>
      </c>
      <c r="N24" s="121"/>
      <c r="O24" s="89" t="s">
        <v>100</v>
      </c>
      <c r="P24" s="128">
        <f>ROUND(D27/D11,0)</f>
        <v>731</v>
      </c>
    </row>
    <row r="25" spans="1:18">
      <c r="A25" s="129" t="s">
        <v>101</v>
      </c>
      <c r="B25" s="130"/>
      <c r="C25" s="92">
        <v>16475158</v>
      </c>
      <c r="D25" s="92">
        <f>ROUND($C25/$C$27*D$27,0)</f>
        <v>16815241</v>
      </c>
      <c r="E25" s="92"/>
      <c r="F25" s="131">
        <v>11.912599999999999</v>
      </c>
      <c r="G25" s="9" t="s">
        <v>90</v>
      </c>
      <c r="H25" s="96">
        <f t="shared" si="3"/>
        <v>1962620</v>
      </c>
      <c r="I25" s="96">
        <f t="shared" si="3"/>
        <v>2003132</v>
      </c>
      <c r="J25" s="92"/>
      <c r="K25" s="132">
        <v>12.0525</v>
      </c>
      <c r="L25" s="9" t="s">
        <v>90</v>
      </c>
      <c r="M25" s="96">
        <f t="shared" si="4"/>
        <v>2026657</v>
      </c>
      <c r="N25" s="121"/>
      <c r="O25" s="89" t="s">
        <v>102</v>
      </c>
      <c r="P25" s="128">
        <f>ROUND(SUM(D21:D22,D25*4/12)/(D11*4/12),0)</f>
        <v>913</v>
      </c>
      <c r="Q25" s="127"/>
      <c r="R25" s="121"/>
    </row>
    <row r="26" spans="1:18">
      <c r="A26" s="129" t="s">
        <v>103</v>
      </c>
      <c r="B26" s="130"/>
      <c r="C26" s="92">
        <v>20749664</v>
      </c>
      <c r="D26" s="92"/>
      <c r="E26" s="92"/>
      <c r="F26" s="131"/>
      <c r="G26" s="9"/>
      <c r="H26" s="96">
        <v>2688568</v>
      </c>
      <c r="I26" s="96"/>
      <c r="J26" s="92"/>
      <c r="K26" s="131"/>
      <c r="L26" s="9"/>
      <c r="M26" s="96"/>
      <c r="N26" s="121"/>
      <c r="O26" s="89" t="s">
        <v>104</v>
      </c>
      <c r="P26" s="128">
        <f>ROUND(SUM(D23:D24,D25*8/12)/(D11*8/12),0)</f>
        <v>641</v>
      </c>
      <c r="Q26" s="127"/>
      <c r="R26" s="121"/>
    </row>
    <row r="27" spans="1:18" ht="16.5" thickBot="1">
      <c r="A27" s="133" t="s">
        <v>105</v>
      </c>
      <c r="B27" s="134"/>
      <c r="C27" s="135">
        <f>SUM(C21:C26)</f>
        <v>7316674312.3979979</v>
      </c>
      <c r="D27" s="135">
        <v>7467706357.8583565</v>
      </c>
      <c r="E27" s="135"/>
      <c r="F27" s="134"/>
      <c r="G27" s="134"/>
      <c r="H27" s="136">
        <f>SUM(H12:H26)</f>
        <v>798822858</v>
      </c>
      <c r="I27" s="136">
        <f>SUM(I12:I26)</f>
        <v>817477067</v>
      </c>
      <c r="J27" s="135"/>
      <c r="K27" s="134"/>
      <c r="L27" s="134"/>
      <c r="M27" s="136">
        <f>SUM(M12:M26)</f>
        <v>891468036</v>
      </c>
      <c r="O27" s="89" t="s">
        <v>86</v>
      </c>
      <c r="P27" s="88">
        <f>M27/I27-1</f>
        <v>9.0511369660232877E-2</v>
      </c>
    </row>
    <row r="28" spans="1:18" ht="16.5" thickTop="1">
      <c r="C28" s="137"/>
      <c r="D28" s="137"/>
      <c r="E28" s="137"/>
      <c r="J28" s="137"/>
    </row>
    <row r="29" spans="1:18">
      <c r="A29" s="90" t="s">
        <v>425</v>
      </c>
      <c r="C29" s="92"/>
      <c r="D29" s="92"/>
      <c r="E29" s="92"/>
      <c r="J29" s="92"/>
      <c r="P29" s="96"/>
    </row>
    <row r="30" spans="1:18">
      <c r="A30" s="93" t="s">
        <v>75</v>
      </c>
      <c r="C30" s="92">
        <f>SUM(C31:C34)</f>
        <v>788997.91783333721</v>
      </c>
      <c r="D30" s="94">
        <v>1040676.0000000002</v>
      </c>
      <c r="E30" s="94"/>
      <c r="F30" s="95"/>
      <c r="G30" s="95"/>
      <c r="H30" s="96"/>
      <c r="I30" s="96"/>
      <c r="J30" s="94"/>
      <c r="K30" s="95"/>
      <c r="L30" s="95"/>
      <c r="M30" s="96"/>
      <c r="O30" s="121" t="s">
        <v>106</v>
      </c>
      <c r="P30" s="116" t="s">
        <v>15</v>
      </c>
      <c r="Q30" s="72" t="s">
        <v>4</v>
      </c>
    </row>
    <row r="31" spans="1:18">
      <c r="A31" s="93" t="s">
        <v>76</v>
      </c>
      <c r="C31" s="92">
        <v>766112.18400000397</v>
      </c>
      <c r="D31" s="92">
        <f t="shared" ref="D31:D36" si="5">ROUND($C31/$C$30*D$30,0)</f>
        <v>1010490</v>
      </c>
      <c r="E31" s="92"/>
      <c r="F31" s="95">
        <v>10</v>
      </c>
      <c r="G31" s="95"/>
      <c r="H31" s="96">
        <f t="shared" ref="H31:I37" si="6">ROUND($F31*C31,0)</f>
        <v>7661122</v>
      </c>
      <c r="I31" s="96">
        <f t="shared" si="6"/>
        <v>10104900</v>
      </c>
      <c r="J31" s="92"/>
      <c r="K31" s="95">
        <f>K12</f>
        <v>12</v>
      </c>
      <c r="L31" s="95"/>
      <c r="M31" s="96">
        <f t="shared" ref="M31:M37" si="7">ROUND($K31*D31,0)</f>
        <v>12125880</v>
      </c>
      <c r="O31" s="72" t="s">
        <v>83</v>
      </c>
      <c r="P31" s="102">
        <v>4.1875999999999998</v>
      </c>
      <c r="Q31" s="102">
        <f>Q33-Q32</f>
        <v>4.3275000000000006</v>
      </c>
    </row>
    <row r="32" spans="1:18">
      <c r="A32" s="93" t="s">
        <v>78</v>
      </c>
      <c r="C32" s="92">
        <v>22471.23333333333</v>
      </c>
      <c r="D32" s="92">
        <f t="shared" si="5"/>
        <v>29639</v>
      </c>
      <c r="E32" s="92"/>
      <c r="F32" s="95">
        <v>6</v>
      </c>
      <c r="G32" s="95"/>
      <c r="H32" s="96">
        <f t="shared" si="6"/>
        <v>134827</v>
      </c>
      <c r="I32" s="96">
        <f t="shared" si="6"/>
        <v>177834</v>
      </c>
      <c r="J32" s="92"/>
      <c r="K32" s="95">
        <f t="shared" ref="K32:K37" si="8">K13</f>
        <v>7</v>
      </c>
      <c r="L32" s="95"/>
      <c r="M32" s="96">
        <f t="shared" si="7"/>
        <v>207473</v>
      </c>
      <c r="O32" s="72" t="s">
        <v>107</v>
      </c>
      <c r="P32" s="102">
        <v>7.7249999999999996</v>
      </c>
      <c r="Q32" s="102">
        <f>P32</f>
        <v>7.7249999999999996</v>
      </c>
    </row>
    <row r="33" spans="1:18">
      <c r="A33" s="93" t="s">
        <v>80</v>
      </c>
      <c r="C33" s="92">
        <v>186.50049999999999</v>
      </c>
      <c r="D33" s="92">
        <f t="shared" si="5"/>
        <v>246</v>
      </c>
      <c r="E33" s="92"/>
      <c r="F33" s="95">
        <v>20</v>
      </c>
      <c r="G33" s="95"/>
      <c r="H33" s="96">
        <f t="shared" si="6"/>
        <v>3730</v>
      </c>
      <c r="I33" s="96">
        <f t="shared" si="6"/>
        <v>4920</v>
      </c>
      <c r="J33" s="92"/>
      <c r="K33" s="95">
        <f t="shared" si="8"/>
        <v>19.5</v>
      </c>
      <c r="L33" s="95"/>
      <c r="M33" s="96">
        <f t="shared" si="7"/>
        <v>4797</v>
      </c>
      <c r="O33" s="72" t="s">
        <v>108</v>
      </c>
      <c r="P33" s="102">
        <f>SUM(P31:P32)</f>
        <v>11.912599999999999</v>
      </c>
      <c r="Q33" s="102">
        <f>K25</f>
        <v>12.0525</v>
      </c>
    </row>
    <row r="34" spans="1:18">
      <c r="A34" s="93" t="s">
        <v>82</v>
      </c>
      <c r="C34" s="92">
        <v>228</v>
      </c>
      <c r="D34" s="92">
        <f t="shared" si="5"/>
        <v>301</v>
      </c>
      <c r="E34" s="92"/>
      <c r="F34" s="95">
        <v>12</v>
      </c>
      <c r="G34" s="95"/>
      <c r="H34" s="96">
        <f t="shared" si="6"/>
        <v>2736</v>
      </c>
      <c r="I34" s="96">
        <f t="shared" si="6"/>
        <v>3612</v>
      </c>
      <c r="J34" s="92"/>
      <c r="K34" s="95">
        <f t="shared" si="8"/>
        <v>14.5</v>
      </c>
      <c r="L34" s="95"/>
      <c r="M34" s="96">
        <f t="shared" si="7"/>
        <v>4365</v>
      </c>
      <c r="Q34" s="102"/>
    </row>
    <row r="35" spans="1:18">
      <c r="A35" s="93" t="s">
        <v>84</v>
      </c>
      <c r="C35" s="92">
        <v>1232.9549999999999</v>
      </c>
      <c r="D35" s="92">
        <f t="shared" si="5"/>
        <v>1626</v>
      </c>
      <c r="E35" s="92"/>
      <c r="F35" s="95">
        <v>2</v>
      </c>
      <c r="G35" s="95"/>
      <c r="H35" s="96">
        <f t="shared" si="6"/>
        <v>2466</v>
      </c>
      <c r="I35" s="96">
        <f t="shared" si="6"/>
        <v>3252</v>
      </c>
      <c r="J35" s="92"/>
      <c r="K35" s="95">
        <f t="shared" si="8"/>
        <v>2</v>
      </c>
      <c r="L35" s="95"/>
      <c r="M35" s="96">
        <f t="shared" si="7"/>
        <v>3252</v>
      </c>
      <c r="N35" s="105"/>
      <c r="Q35" s="102"/>
      <c r="R35" s="105"/>
    </row>
    <row r="36" spans="1:18">
      <c r="A36" s="93" t="s">
        <v>85</v>
      </c>
      <c r="C36" s="92">
        <v>40</v>
      </c>
      <c r="D36" s="92">
        <f t="shared" si="5"/>
        <v>53</v>
      </c>
      <c r="E36" s="92"/>
      <c r="F36" s="95">
        <v>22</v>
      </c>
      <c r="G36" s="95"/>
      <c r="H36" s="96">
        <f t="shared" si="6"/>
        <v>880</v>
      </c>
      <c r="I36" s="96">
        <f t="shared" si="6"/>
        <v>1166</v>
      </c>
      <c r="J36" s="92"/>
      <c r="K36" s="95">
        <f t="shared" si="8"/>
        <v>22</v>
      </c>
      <c r="L36" s="95"/>
      <c r="M36" s="96">
        <f t="shared" si="7"/>
        <v>1166</v>
      </c>
      <c r="N36" s="105"/>
      <c r="Q36" s="105"/>
      <c r="R36" s="105"/>
    </row>
    <row r="37" spans="1:18">
      <c r="A37" s="93" t="s">
        <v>87</v>
      </c>
      <c r="C37" s="92">
        <v>546761</v>
      </c>
      <c r="D37" s="92">
        <v>723366.82776481612</v>
      </c>
      <c r="E37" s="92"/>
      <c r="F37" s="95">
        <v>-0.5</v>
      </c>
      <c r="G37" s="95"/>
      <c r="H37" s="96">
        <f t="shared" si="6"/>
        <v>-273381</v>
      </c>
      <c r="I37" s="96">
        <f t="shared" si="6"/>
        <v>-361683</v>
      </c>
      <c r="J37" s="92"/>
      <c r="K37" s="95">
        <f t="shared" si="8"/>
        <v>-0.5</v>
      </c>
      <c r="L37" s="95"/>
      <c r="M37" s="96">
        <f t="shared" si="7"/>
        <v>-361683</v>
      </c>
      <c r="N37" s="105"/>
      <c r="Q37" s="105"/>
      <c r="R37" s="105"/>
    </row>
    <row r="38" spans="1:18">
      <c r="A38" s="93" t="s">
        <v>89</v>
      </c>
      <c r="C38" s="92">
        <v>31440</v>
      </c>
      <c r="D38" s="92">
        <f>ROUND($C38/SUM($C42:$C43)*SUM(D42:D43),0)</f>
        <v>45401</v>
      </c>
      <c r="E38" s="92"/>
      <c r="F38" s="114">
        <v>4.3559999999999999</v>
      </c>
      <c r="G38" s="95" t="s">
        <v>90</v>
      </c>
      <c r="H38" s="96">
        <f>ROUND($F38*C38/100,0)</f>
        <v>1370</v>
      </c>
      <c r="I38" s="96">
        <f>ROUND($F38*D38/100,0)</f>
        <v>1978</v>
      </c>
      <c r="J38" s="92"/>
      <c r="K38" s="114">
        <f>K19</f>
        <v>4.3559999999999999</v>
      </c>
      <c r="L38" s="95" t="s">
        <v>90</v>
      </c>
      <c r="M38" s="96">
        <f t="shared" ref="M38:M46" si="9">ROUND($K38*D38/100,0)</f>
        <v>1978</v>
      </c>
      <c r="N38" s="105"/>
      <c r="Q38" s="105"/>
      <c r="R38" s="105"/>
    </row>
    <row r="39" spans="1:18">
      <c r="A39" s="93" t="s">
        <v>92</v>
      </c>
      <c r="C39" s="92">
        <v>203190</v>
      </c>
      <c r="D39" s="92">
        <f>ROUND($C39/SUM($C42:$C43)*SUM(D42:D43),0)</f>
        <v>293414</v>
      </c>
      <c r="E39" s="92"/>
      <c r="F39" s="114">
        <v>-1.6334</v>
      </c>
      <c r="G39" s="95" t="s">
        <v>90</v>
      </c>
      <c r="H39" s="96">
        <f>ROUND($F39*C39/100,0)</f>
        <v>-3319</v>
      </c>
      <c r="I39" s="96">
        <f>ROUND($F39*D39/100,0)</f>
        <v>-4793</v>
      </c>
      <c r="J39" s="92"/>
      <c r="K39" s="114">
        <f>K20</f>
        <v>-1.6334</v>
      </c>
      <c r="L39" s="95" t="s">
        <v>90</v>
      </c>
      <c r="M39" s="96">
        <f t="shared" si="9"/>
        <v>-4793</v>
      </c>
      <c r="N39" s="115"/>
      <c r="Q39" s="115"/>
      <c r="R39" s="115"/>
    </row>
    <row r="40" spans="1:18">
      <c r="A40" s="93" t="s">
        <v>109</v>
      </c>
      <c r="C40" s="92">
        <v>124577</v>
      </c>
      <c r="D40" s="92">
        <f>$C40/($C$48)*D$48</f>
        <v>168932.71065862276</v>
      </c>
      <c r="E40" s="92"/>
      <c r="F40" s="114">
        <v>25.353200000000001</v>
      </c>
      <c r="G40" s="95" t="s">
        <v>90</v>
      </c>
      <c r="H40" s="96">
        <f t="shared" ref="H40:I46" si="10">ROUND($F40*C40/100,0)</f>
        <v>31584</v>
      </c>
      <c r="I40" s="96">
        <f t="shared" si="10"/>
        <v>42830</v>
      </c>
      <c r="J40" s="92"/>
      <c r="K40" s="114">
        <f>K78</f>
        <v>27.303699999999999</v>
      </c>
      <c r="L40" s="95" t="s">
        <v>90</v>
      </c>
      <c r="M40" s="96">
        <f t="shared" si="9"/>
        <v>46125</v>
      </c>
      <c r="N40" s="105"/>
      <c r="O40" s="121"/>
      <c r="Q40" s="105"/>
      <c r="R40" s="105"/>
    </row>
    <row r="41" spans="1:18">
      <c r="A41" s="93" t="s">
        <v>110</v>
      </c>
      <c r="C41" s="92">
        <v>1140971</v>
      </c>
      <c r="D41" s="92">
        <f>$C41/($C$48)*D$48</f>
        <v>1547214.363910509</v>
      </c>
      <c r="E41" s="92"/>
      <c r="F41" s="114">
        <v>5.2004000000000001</v>
      </c>
      <c r="G41" s="95" t="s">
        <v>90</v>
      </c>
      <c r="H41" s="96">
        <f t="shared" si="10"/>
        <v>59335</v>
      </c>
      <c r="I41" s="96">
        <f t="shared" si="10"/>
        <v>80461</v>
      </c>
      <c r="J41" s="92"/>
      <c r="K41" s="114">
        <f>K79</f>
        <v>5.6005000000000003</v>
      </c>
      <c r="L41" s="95" t="s">
        <v>90</v>
      </c>
      <c r="M41" s="96">
        <f t="shared" si="9"/>
        <v>86652</v>
      </c>
      <c r="N41" s="115"/>
      <c r="Q41" s="115"/>
      <c r="R41" s="115"/>
    </row>
    <row r="42" spans="1:18">
      <c r="A42" s="93" t="s">
        <v>94</v>
      </c>
      <c r="C42" s="92">
        <v>76905411</v>
      </c>
      <c r="D42" s="92">
        <v>111054258</v>
      </c>
      <c r="E42" s="92"/>
      <c r="F42" s="114">
        <v>9.0279000000000007</v>
      </c>
      <c r="G42" s="120" t="s">
        <v>90</v>
      </c>
      <c r="H42" s="96">
        <f t="shared" si="10"/>
        <v>6942944</v>
      </c>
      <c r="I42" s="96">
        <f t="shared" si="10"/>
        <v>10025867</v>
      </c>
      <c r="J42" s="92"/>
      <c r="K42" s="114">
        <f>K21</f>
        <v>9.8331999999999997</v>
      </c>
      <c r="L42" s="120" t="s">
        <v>90</v>
      </c>
      <c r="M42" s="96">
        <f t="shared" si="9"/>
        <v>10920187</v>
      </c>
      <c r="N42" s="121"/>
      <c r="Q42" s="121"/>
      <c r="R42" s="121"/>
    </row>
    <row r="43" spans="1:18">
      <c r="A43" s="93" t="s">
        <v>96</v>
      </c>
      <c r="C43" s="92">
        <v>80408666</v>
      </c>
      <c r="D43" s="92">
        <v>116113088</v>
      </c>
      <c r="E43" s="92"/>
      <c r="F43" s="114">
        <v>11.721</v>
      </c>
      <c r="G43" s="120" t="s">
        <v>90</v>
      </c>
      <c r="H43" s="96">
        <f t="shared" si="10"/>
        <v>9424700</v>
      </c>
      <c r="I43" s="96">
        <f t="shared" si="10"/>
        <v>13609615</v>
      </c>
      <c r="J43" s="92"/>
      <c r="K43" s="114">
        <f>K22</f>
        <v>12.526300000000001</v>
      </c>
      <c r="L43" s="120" t="s">
        <v>90</v>
      </c>
      <c r="M43" s="96">
        <f t="shared" si="9"/>
        <v>14544674</v>
      </c>
      <c r="N43" s="121"/>
      <c r="Q43" s="121"/>
      <c r="R43" s="121"/>
    </row>
    <row r="44" spans="1:18">
      <c r="A44" s="93" t="s">
        <v>98</v>
      </c>
      <c r="C44" s="92">
        <v>154938340</v>
      </c>
      <c r="D44" s="92">
        <v>204102884</v>
      </c>
      <c r="E44" s="92"/>
      <c r="F44" s="127">
        <v>7.9893000000000001</v>
      </c>
      <c r="G44" s="120" t="s">
        <v>90</v>
      </c>
      <c r="H44" s="96">
        <f t="shared" si="10"/>
        <v>12378489</v>
      </c>
      <c r="I44" s="96">
        <f t="shared" si="10"/>
        <v>16306392</v>
      </c>
      <c r="J44" s="92"/>
      <c r="K44" s="114">
        <f>K23</f>
        <v>8.702</v>
      </c>
      <c r="L44" s="120" t="s">
        <v>90</v>
      </c>
      <c r="M44" s="96">
        <f t="shared" si="9"/>
        <v>17761033</v>
      </c>
      <c r="N44" s="121"/>
      <c r="Q44" s="121"/>
      <c r="R44" s="121"/>
    </row>
    <row r="45" spans="1:18">
      <c r="A45" s="93" t="s">
        <v>99</v>
      </c>
      <c r="C45" s="92">
        <v>156110719</v>
      </c>
      <c r="D45" s="92">
        <v>205647278</v>
      </c>
      <c r="E45" s="92"/>
      <c r="F45" s="127">
        <v>10.3725</v>
      </c>
      <c r="G45" s="120" t="s">
        <v>90</v>
      </c>
      <c r="H45" s="96">
        <f t="shared" si="10"/>
        <v>16192584</v>
      </c>
      <c r="I45" s="96">
        <f t="shared" si="10"/>
        <v>21330764</v>
      </c>
      <c r="J45" s="92"/>
      <c r="K45" s="114">
        <f>K24</f>
        <v>11.0852</v>
      </c>
      <c r="L45" s="120" t="s">
        <v>90</v>
      </c>
      <c r="M45" s="96">
        <f t="shared" si="9"/>
        <v>22796412</v>
      </c>
      <c r="N45" s="121"/>
      <c r="O45" s="89" t="s">
        <v>100</v>
      </c>
      <c r="P45" s="128">
        <f>ROUND(D48/D30,0)</f>
        <v>614</v>
      </c>
      <c r="Q45" s="121"/>
      <c r="R45" s="121"/>
    </row>
    <row r="46" spans="1:18">
      <c r="A46" s="129" t="s">
        <v>101</v>
      </c>
      <c r="C46" s="92">
        <v>0</v>
      </c>
      <c r="D46" s="94"/>
      <c r="E46" s="94"/>
      <c r="F46" s="131">
        <v>11.912599999999999</v>
      </c>
      <c r="G46" s="9" t="s">
        <v>90</v>
      </c>
      <c r="H46" s="96">
        <f t="shared" si="10"/>
        <v>0</v>
      </c>
      <c r="I46" s="96">
        <f t="shared" si="10"/>
        <v>0</v>
      </c>
      <c r="J46" s="94"/>
      <c r="K46" s="114">
        <f>K25</f>
        <v>12.0525</v>
      </c>
      <c r="L46" s="9" t="s">
        <v>90</v>
      </c>
      <c r="M46" s="96">
        <f t="shared" si="9"/>
        <v>0</v>
      </c>
      <c r="N46" s="121"/>
      <c r="O46" s="89" t="s">
        <v>102</v>
      </c>
      <c r="P46" s="128">
        <f>ROUND(SUM(D42:D43,(D40+D41+D46)*4/12)/(D30*4/12),0)</f>
        <v>657</v>
      </c>
      <c r="Q46" s="121"/>
      <c r="R46" s="121"/>
    </row>
    <row r="47" spans="1:18">
      <c r="A47" s="129" t="s">
        <v>103</v>
      </c>
      <c r="B47" s="130"/>
      <c r="C47" s="92">
        <v>1322528</v>
      </c>
      <c r="D47" s="92"/>
      <c r="E47" s="92"/>
      <c r="F47" s="131"/>
      <c r="G47" s="9"/>
      <c r="H47" s="96">
        <v>175822</v>
      </c>
      <c r="I47" s="96"/>
      <c r="J47" s="92"/>
      <c r="K47" s="131"/>
      <c r="L47" s="9"/>
      <c r="M47" s="96"/>
      <c r="N47" s="121"/>
      <c r="O47" s="89" t="s">
        <v>104</v>
      </c>
      <c r="P47" s="128">
        <f>ROUND(SUM(D44:D45,(D40+D41+D46)*8/12)/(D30*8/12),0)</f>
        <v>592</v>
      </c>
      <c r="Q47" s="121"/>
      <c r="R47" s="121"/>
    </row>
    <row r="48" spans="1:18" ht="16.5" thickBot="1">
      <c r="A48" s="133" t="s">
        <v>105</v>
      </c>
      <c r="B48" s="134"/>
      <c r="C48" s="135">
        <f>SUM(C40:C47)</f>
        <v>470951212</v>
      </c>
      <c r="D48" s="135">
        <v>638633654.93729746</v>
      </c>
      <c r="E48" s="135"/>
      <c r="F48" s="134"/>
      <c r="G48" s="134"/>
      <c r="H48" s="136">
        <f>SUM(H31:H47)</f>
        <v>52735889</v>
      </c>
      <c r="I48" s="136">
        <f>SUM(I31:I47)</f>
        <v>71327115</v>
      </c>
      <c r="J48" s="135"/>
      <c r="K48" s="134"/>
      <c r="L48" s="134"/>
      <c r="M48" s="136">
        <f>SUM(M31:M47)</f>
        <v>78137518</v>
      </c>
      <c r="O48" s="89" t="s">
        <v>86</v>
      </c>
      <c r="P48" s="88">
        <f>M48/I48-1</f>
        <v>9.5481262630627839E-2</v>
      </c>
    </row>
    <row r="49" spans="1:18" ht="16.5" thickTop="1">
      <c r="C49" s="92"/>
      <c r="D49" s="92"/>
      <c r="E49" s="92"/>
      <c r="J49" s="92"/>
      <c r="O49" s="138"/>
      <c r="P49" s="138"/>
    </row>
    <row r="50" spans="1:18">
      <c r="A50" s="90" t="s">
        <v>426</v>
      </c>
      <c r="C50" s="92"/>
      <c r="D50" s="92"/>
      <c r="E50" s="92"/>
      <c r="J50" s="92"/>
      <c r="O50" s="138"/>
      <c r="P50" s="138"/>
    </row>
    <row r="51" spans="1:18">
      <c r="A51" s="93" t="s">
        <v>75</v>
      </c>
      <c r="C51" s="92">
        <f>SUM(C52:C55)</f>
        <v>5227.8718333333336</v>
      </c>
      <c r="D51" s="92">
        <v>4618.4473025266461</v>
      </c>
      <c r="E51" s="92"/>
      <c r="F51" s="95"/>
      <c r="G51" s="95"/>
      <c r="H51" s="96"/>
      <c r="I51" s="96"/>
      <c r="J51" s="92"/>
      <c r="K51" s="95"/>
      <c r="L51" s="95"/>
      <c r="M51" s="96"/>
    </row>
    <row r="52" spans="1:18">
      <c r="A52" s="93" t="s">
        <v>76</v>
      </c>
      <c r="C52" s="92">
        <v>3989.7719999999999</v>
      </c>
      <c r="D52" s="92">
        <f t="shared" ref="D52:D56" si="11">ROUND($C52/$C$51*D$51,0)</f>
        <v>3525</v>
      </c>
      <c r="E52" s="92"/>
      <c r="F52" s="95">
        <v>10</v>
      </c>
      <c r="G52" s="95"/>
      <c r="H52" s="96">
        <f t="shared" ref="H52:I58" si="12">ROUND($F52*C52,0)</f>
        <v>39898</v>
      </c>
      <c r="I52" s="96">
        <f t="shared" si="12"/>
        <v>35250</v>
      </c>
      <c r="J52" s="92"/>
      <c r="K52" s="95">
        <f t="shared" ref="K52:K65" si="13">K12</f>
        <v>12</v>
      </c>
      <c r="L52" s="95"/>
      <c r="M52" s="96">
        <f t="shared" ref="M52:M58" si="14">ROUND($K52*D52,0)</f>
        <v>42300</v>
      </c>
    </row>
    <row r="53" spans="1:18">
      <c r="A53" s="93" t="s">
        <v>78</v>
      </c>
      <c r="C53" s="92">
        <v>1226.033333333334</v>
      </c>
      <c r="D53" s="92">
        <f t="shared" si="11"/>
        <v>1083</v>
      </c>
      <c r="E53" s="92"/>
      <c r="F53" s="95">
        <v>6</v>
      </c>
      <c r="G53" s="95"/>
      <c r="H53" s="96">
        <f t="shared" si="12"/>
        <v>7356</v>
      </c>
      <c r="I53" s="96">
        <f t="shared" si="12"/>
        <v>6498</v>
      </c>
      <c r="J53" s="92"/>
      <c r="K53" s="95">
        <f t="shared" si="13"/>
        <v>7</v>
      </c>
      <c r="L53" s="95"/>
      <c r="M53" s="96">
        <f t="shared" si="14"/>
        <v>7581</v>
      </c>
    </row>
    <row r="54" spans="1:18">
      <c r="A54" s="93" t="s">
        <v>80</v>
      </c>
      <c r="C54" s="92">
        <v>12.0665</v>
      </c>
      <c r="D54" s="92">
        <f t="shared" si="11"/>
        <v>11</v>
      </c>
      <c r="E54" s="92"/>
      <c r="F54" s="95">
        <v>20</v>
      </c>
      <c r="G54" s="95"/>
      <c r="H54" s="96">
        <f t="shared" si="12"/>
        <v>241</v>
      </c>
      <c r="I54" s="96">
        <f t="shared" si="12"/>
        <v>220</v>
      </c>
      <c r="J54" s="92"/>
      <c r="K54" s="95">
        <f t="shared" si="13"/>
        <v>19.5</v>
      </c>
      <c r="L54" s="95"/>
      <c r="M54" s="96">
        <f t="shared" si="14"/>
        <v>215</v>
      </c>
    </row>
    <row r="55" spans="1:18">
      <c r="A55" s="93" t="s">
        <v>82</v>
      </c>
      <c r="C55" s="92">
        <v>0</v>
      </c>
      <c r="D55" s="92">
        <f t="shared" si="11"/>
        <v>0</v>
      </c>
      <c r="E55" s="92"/>
      <c r="F55" s="95">
        <v>12</v>
      </c>
      <c r="G55" s="95"/>
      <c r="H55" s="96">
        <f t="shared" si="12"/>
        <v>0</v>
      </c>
      <c r="I55" s="96">
        <f t="shared" si="12"/>
        <v>0</v>
      </c>
      <c r="J55" s="92"/>
      <c r="K55" s="95">
        <f t="shared" si="13"/>
        <v>14.5</v>
      </c>
      <c r="L55" s="95"/>
      <c r="M55" s="96">
        <f t="shared" si="14"/>
        <v>0</v>
      </c>
    </row>
    <row r="56" spans="1:18">
      <c r="A56" s="93" t="s">
        <v>84</v>
      </c>
      <c r="C56" s="92">
        <v>0</v>
      </c>
      <c r="D56" s="92">
        <f t="shared" si="11"/>
        <v>0</v>
      </c>
      <c r="E56" s="92"/>
      <c r="F56" s="95">
        <v>2</v>
      </c>
      <c r="G56" s="95"/>
      <c r="H56" s="96">
        <f t="shared" si="12"/>
        <v>0</v>
      </c>
      <c r="I56" s="96">
        <f t="shared" si="12"/>
        <v>0</v>
      </c>
      <c r="J56" s="92"/>
      <c r="K56" s="95">
        <f t="shared" si="13"/>
        <v>2</v>
      </c>
      <c r="L56" s="95"/>
      <c r="M56" s="96">
        <f t="shared" si="14"/>
        <v>0</v>
      </c>
      <c r="N56" s="105"/>
      <c r="Q56" s="105"/>
      <c r="R56" s="105"/>
    </row>
    <row r="57" spans="1:18">
      <c r="A57" s="93" t="s">
        <v>85</v>
      </c>
      <c r="C57" s="92">
        <v>8</v>
      </c>
      <c r="D57" s="92">
        <f>ROUND($C57/$C$51*D$51,0)</f>
        <v>7</v>
      </c>
      <c r="E57" s="92"/>
      <c r="F57" s="95">
        <v>22</v>
      </c>
      <c r="G57" s="95"/>
      <c r="H57" s="96">
        <f t="shared" si="12"/>
        <v>176</v>
      </c>
      <c r="I57" s="96">
        <f t="shared" si="12"/>
        <v>154</v>
      </c>
      <c r="J57" s="92"/>
      <c r="K57" s="95">
        <f t="shared" si="13"/>
        <v>22</v>
      </c>
      <c r="L57" s="95"/>
      <c r="M57" s="96">
        <f t="shared" si="14"/>
        <v>154</v>
      </c>
      <c r="N57" s="105"/>
      <c r="Q57" s="105"/>
      <c r="R57" s="105"/>
    </row>
    <row r="58" spans="1:18">
      <c r="A58" s="93" t="s">
        <v>87</v>
      </c>
      <c r="C58" s="92">
        <v>3683</v>
      </c>
      <c r="D58" s="92">
        <v>3210.2513889314941</v>
      </c>
      <c r="E58" s="92"/>
      <c r="F58" s="95">
        <v>-0.5</v>
      </c>
      <c r="G58" s="95"/>
      <c r="H58" s="96">
        <f t="shared" si="12"/>
        <v>-1842</v>
      </c>
      <c r="I58" s="96">
        <f t="shared" si="12"/>
        <v>-1605</v>
      </c>
      <c r="J58" s="92"/>
      <c r="K58" s="95">
        <f t="shared" si="13"/>
        <v>-0.5</v>
      </c>
      <c r="L58" s="95"/>
      <c r="M58" s="96">
        <f t="shared" si="14"/>
        <v>-1605</v>
      </c>
      <c r="N58" s="105"/>
      <c r="Q58" s="105"/>
      <c r="R58" s="105"/>
    </row>
    <row r="59" spans="1:18">
      <c r="A59" s="93" t="s">
        <v>89</v>
      </c>
      <c r="C59" s="92">
        <v>341910</v>
      </c>
      <c r="D59" s="92">
        <f>ROUND($C59/SUM($C61:$C62)*SUM(D61:D62),0)</f>
        <v>313011</v>
      </c>
      <c r="E59" s="92"/>
      <c r="F59" s="114">
        <v>4.3559999999999999</v>
      </c>
      <c r="G59" s="95" t="s">
        <v>90</v>
      </c>
      <c r="H59" s="96">
        <f t="shared" ref="H59:I65" si="15">ROUND($F59*C59/100,0)</f>
        <v>14894</v>
      </c>
      <c r="I59" s="96">
        <f t="shared" si="15"/>
        <v>13635</v>
      </c>
      <c r="J59" s="92"/>
      <c r="K59" s="114">
        <f t="shared" si="13"/>
        <v>4.3559999999999999</v>
      </c>
      <c r="L59" s="95" t="s">
        <v>90</v>
      </c>
      <c r="M59" s="96">
        <f t="shared" ref="M59:M65" si="16">ROUND($K59*D59/100,0)</f>
        <v>13635</v>
      </c>
      <c r="N59" s="105"/>
      <c r="Q59" s="105"/>
      <c r="R59" s="105"/>
    </row>
    <row r="60" spans="1:18">
      <c r="A60" s="93" t="s">
        <v>92</v>
      </c>
      <c r="C60" s="92">
        <v>1103124.0297625889</v>
      </c>
      <c r="D60" s="92">
        <f>ROUND($C60/SUM($C61:$C62)*SUM(D61:D62),0)</f>
        <v>1009884</v>
      </c>
      <c r="E60" s="92"/>
      <c r="F60" s="114">
        <v>-1.6334</v>
      </c>
      <c r="G60" s="95" t="s">
        <v>90</v>
      </c>
      <c r="H60" s="96">
        <f t="shared" si="15"/>
        <v>-18018</v>
      </c>
      <c r="I60" s="96">
        <f t="shared" si="15"/>
        <v>-16495</v>
      </c>
      <c r="J60" s="92"/>
      <c r="K60" s="114">
        <f t="shared" si="13"/>
        <v>-1.6334</v>
      </c>
      <c r="L60" s="95" t="s">
        <v>90</v>
      </c>
      <c r="M60" s="96">
        <f t="shared" si="16"/>
        <v>-16495</v>
      </c>
      <c r="N60" s="115"/>
      <c r="Q60" s="115"/>
      <c r="R60" s="115"/>
    </row>
    <row r="61" spans="1:18">
      <c r="A61" s="93" t="s">
        <v>94</v>
      </c>
      <c r="C61" s="92">
        <v>604819</v>
      </c>
      <c r="D61" s="94">
        <v>553698</v>
      </c>
      <c r="E61" s="94"/>
      <c r="F61" s="114">
        <v>9.0279000000000007</v>
      </c>
      <c r="G61" s="120" t="s">
        <v>90</v>
      </c>
      <c r="H61" s="96">
        <f t="shared" si="15"/>
        <v>54602</v>
      </c>
      <c r="I61" s="96">
        <f t="shared" si="15"/>
        <v>49987</v>
      </c>
      <c r="J61" s="94"/>
      <c r="K61" s="114">
        <f t="shared" si="13"/>
        <v>9.8331999999999997</v>
      </c>
      <c r="L61" s="120" t="s">
        <v>90</v>
      </c>
      <c r="M61" s="96">
        <f t="shared" si="16"/>
        <v>54446</v>
      </c>
      <c r="N61" s="121"/>
      <c r="Q61" s="121"/>
      <c r="R61" s="121"/>
    </row>
    <row r="62" spans="1:18">
      <c r="A62" s="93" t="s">
        <v>96</v>
      </c>
      <c r="C62" s="92">
        <v>840214.02976258902</v>
      </c>
      <c r="D62" s="94">
        <v>769196</v>
      </c>
      <c r="E62" s="94"/>
      <c r="F62" s="114">
        <v>11.721</v>
      </c>
      <c r="G62" s="120" t="s">
        <v>90</v>
      </c>
      <c r="H62" s="96">
        <f t="shared" si="15"/>
        <v>98481</v>
      </c>
      <c r="I62" s="96">
        <f t="shared" si="15"/>
        <v>90157</v>
      </c>
      <c r="J62" s="94"/>
      <c r="K62" s="114">
        <f t="shared" si="13"/>
        <v>12.526300000000001</v>
      </c>
      <c r="L62" s="120" t="s">
        <v>90</v>
      </c>
      <c r="M62" s="96">
        <f t="shared" si="16"/>
        <v>96352</v>
      </c>
      <c r="N62" s="121"/>
      <c r="Q62" s="121"/>
      <c r="R62" s="121"/>
    </row>
    <row r="63" spans="1:18">
      <c r="A63" s="93" t="s">
        <v>98</v>
      </c>
      <c r="B63" s="126"/>
      <c r="C63" s="92">
        <v>1206868</v>
      </c>
      <c r="D63" s="94">
        <v>986937</v>
      </c>
      <c r="E63" s="94"/>
      <c r="F63" s="127">
        <v>7.9893000000000001</v>
      </c>
      <c r="G63" s="120" t="s">
        <v>90</v>
      </c>
      <c r="H63" s="96">
        <f t="shared" si="15"/>
        <v>96420</v>
      </c>
      <c r="I63" s="96">
        <f t="shared" si="15"/>
        <v>78849</v>
      </c>
      <c r="J63" s="94"/>
      <c r="K63" s="127">
        <f t="shared" si="13"/>
        <v>8.702</v>
      </c>
      <c r="L63" s="120" t="s">
        <v>90</v>
      </c>
      <c r="M63" s="96">
        <f t="shared" si="16"/>
        <v>85883</v>
      </c>
      <c r="N63" s="121"/>
      <c r="Q63" s="121"/>
      <c r="R63" s="121"/>
    </row>
    <row r="64" spans="1:18">
      <c r="A64" s="93" t="s">
        <v>99</v>
      </c>
      <c r="B64" s="126"/>
      <c r="C64" s="92">
        <v>1283232.8565330321</v>
      </c>
      <c r="D64" s="94">
        <v>1049386</v>
      </c>
      <c r="E64" s="94"/>
      <c r="F64" s="127">
        <v>10.3725</v>
      </c>
      <c r="G64" s="120" t="s">
        <v>90</v>
      </c>
      <c r="H64" s="96">
        <f t="shared" si="15"/>
        <v>133103</v>
      </c>
      <c r="I64" s="96">
        <f t="shared" si="15"/>
        <v>108848</v>
      </c>
      <c r="J64" s="94"/>
      <c r="K64" s="127">
        <f t="shared" si="13"/>
        <v>11.0852</v>
      </c>
      <c r="L64" s="120" t="s">
        <v>90</v>
      </c>
      <c r="M64" s="96">
        <f t="shared" si="16"/>
        <v>116327</v>
      </c>
      <c r="N64" s="121"/>
      <c r="O64" s="89" t="s">
        <v>100</v>
      </c>
      <c r="P64" s="128">
        <f>ROUND(D67/D51,0)</f>
        <v>727</v>
      </c>
      <c r="Q64" s="121"/>
      <c r="R64" s="121"/>
    </row>
    <row r="65" spans="1:18">
      <c r="A65" s="129" t="s">
        <v>101</v>
      </c>
      <c r="B65" s="130"/>
      <c r="C65" s="92">
        <v>0</v>
      </c>
      <c r="D65" s="94"/>
      <c r="E65" s="94"/>
      <c r="F65" s="131">
        <v>11.912599999999999</v>
      </c>
      <c r="G65" s="9" t="s">
        <v>90</v>
      </c>
      <c r="H65" s="96">
        <f t="shared" si="15"/>
        <v>0</v>
      </c>
      <c r="I65" s="96">
        <f t="shared" si="15"/>
        <v>0</v>
      </c>
      <c r="J65" s="94"/>
      <c r="K65" s="131">
        <f t="shared" si="13"/>
        <v>12.0525</v>
      </c>
      <c r="L65" s="9" t="s">
        <v>90</v>
      </c>
      <c r="M65" s="96">
        <f t="shared" si="16"/>
        <v>0</v>
      </c>
      <c r="N65" s="121"/>
      <c r="O65" s="89" t="s">
        <v>102</v>
      </c>
      <c r="P65" s="128">
        <f>ROUND(SUM(D61:D62,D65*4/12)/(D51*4/12),0)</f>
        <v>859</v>
      </c>
      <c r="Q65" s="121"/>
      <c r="R65" s="121"/>
    </row>
    <row r="66" spans="1:18">
      <c r="A66" s="129" t="s">
        <v>103</v>
      </c>
      <c r="B66" s="130"/>
      <c r="C66" s="92">
        <v>11387</v>
      </c>
      <c r="D66" s="92"/>
      <c r="E66" s="92"/>
      <c r="F66" s="131"/>
      <c r="G66" s="9"/>
      <c r="H66" s="96">
        <v>1458</v>
      </c>
      <c r="I66" s="96"/>
      <c r="J66" s="92"/>
      <c r="K66" s="131"/>
      <c r="L66" s="9"/>
      <c r="M66" s="96"/>
      <c r="N66" s="121"/>
      <c r="O66" s="89" t="s">
        <v>104</v>
      </c>
      <c r="P66" s="128">
        <f>ROUND(SUM(D63:D64,D65*8/12)/(D51*8/12),0)</f>
        <v>661</v>
      </c>
      <c r="Q66" s="121"/>
      <c r="R66" s="121"/>
    </row>
    <row r="67" spans="1:18" ht="16.5" thickBot="1">
      <c r="A67" s="133" t="s">
        <v>105</v>
      </c>
      <c r="B67" s="134"/>
      <c r="C67" s="135">
        <f>SUM(C61:C66)</f>
        <v>3946520.8862956213</v>
      </c>
      <c r="D67" s="135">
        <v>3359216.5999275949</v>
      </c>
      <c r="E67" s="135"/>
      <c r="F67" s="134"/>
      <c r="G67" s="134"/>
      <c r="H67" s="136">
        <f>SUM(H52:H66)</f>
        <v>426769</v>
      </c>
      <c r="I67" s="136">
        <f>SUM(I52:I66)</f>
        <v>365498</v>
      </c>
      <c r="J67" s="135"/>
      <c r="K67" s="134"/>
      <c r="L67" s="134"/>
      <c r="M67" s="136">
        <f>SUM(M52:M66)</f>
        <v>398793</v>
      </c>
      <c r="O67" s="89" t="s">
        <v>86</v>
      </c>
      <c r="P67" s="88">
        <f>M67/I67-1</f>
        <v>9.1094889712118876E-2</v>
      </c>
    </row>
    <row r="68" spans="1:18" ht="16.5" thickTop="1">
      <c r="C68" s="92"/>
      <c r="D68" s="92"/>
      <c r="E68" s="92"/>
      <c r="J68" s="92"/>
    </row>
    <row r="69" spans="1:18">
      <c r="A69" s="139" t="s">
        <v>427</v>
      </c>
      <c r="C69" s="92"/>
      <c r="D69" s="92"/>
      <c r="E69" s="92"/>
      <c r="F69" s="89"/>
      <c r="G69" s="89"/>
      <c r="J69" s="92"/>
      <c r="K69" s="89"/>
      <c r="L69" s="89"/>
    </row>
    <row r="70" spans="1:18">
      <c r="A70" s="93" t="s">
        <v>75</v>
      </c>
      <c r="B70" s="89"/>
      <c r="C70" s="92">
        <f>SUM(C71:C74)</f>
        <v>8749.5013333333336</v>
      </c>
      <c r="D70" s="92">
        <v>7729.5526974733539</v>
      </c>
      <c r="E70" s="92"/>
      <c r="F70" s="140"/>
      <c r="G70" s="140"/>
      <c r="H70" s="96"/>
      <c r="I70" s="96"/>
      <c r="J70" s="92"/>
      <c r="K70" s="140"/>
      <c r="L70" s="140"/>
      <c r="M70" s="96"/>
    </row>
    <row r="71" spans="1:18">
      <c r="A71" s="93" t="s">
        <v>76</v>
      </c>
      <c r="C71" s="92">
        <v>8205.6679999999997</v>
      </c>
      <c r="D71" s="92">
        <f>ROUND($C71/$C$70*D$70,0)</f>
        <v>7249</v>
      </c>
      <c r="E71" s="92"/>
      <c r="F71" s="140">
        <v>10</v>
      </c>
      <c r="G71" s="140"/>
      <c r="H71" s="96">
        <f t="shared" ref="H71:I77" si="17">ROUND($F71*C71,0)</f>
        <v>82057</v>
      </c>
      <c r="I71" s="96">
        <f t="shared" si="17"/>
        <v>72490</v>
      </c>
      <c r="J71" s="92"/>
      <c r="K71" s="140">
        <f t="shared" ref="K71:K77" si="18">K12</f>
        <v>12</v>
      </c>
      <c r="L71" s="140"/>
      <c r="M71" s="96">
        <f t="shared" ref="M71:M77" si="19">ROUND($K71*D71,0)</f>
        <v>86988</v>
      </c>
    </row>
    <row r="72" spans="1:18">
      <c r="A72" s="93" t="s">
        <v>78</v>
      </c>
      <c r="C72" s="92">
        <v>543.83333333333303</v>
      </c>
      <c r="D72" s="92">
        <f t="shared" ref="D72:D76" si="20">ROUND($C72/$C$70*D$70,0)</f>
        <v>480</v>
      </c>
      <c r="E72" s="92"/>
      <c r="F72" s="140">
        <v>6</v>
      </c>
      <c r="G72" s="140"/>
      <c r="H72" s="96">
        <f t="shared" si="17"/>
        <v>3263</v>
      </c>
      <c r="I72" s="96">
        <f t="shared" si="17"/>
        <v>2880</v>
      </c>
      <c r="J72" s="92"/>
      <c r="K72" s="140">
        <f t="shared" si="18"/>
        <v>7</v>
      </c>
      <c r="L72" s="140"/>
      <c r="M72" s="96">
        <f t="shared" si="19"/>
        <v>3360</v>
      </c>
      <c r="P72" s="96"/>
      <c r="Q72" s="96"/>
    </row>
    <row r="73" spans="1:18">
      <c r="A73" s="93" t="s">
        <v>80</v>
      </c>
      <c r="C73" s="92">
        <v>0</v>
      </c>
      <c r="D73" s="92">
        <f t="shared" si="20"/>
        <v>0</v>
      </c>
      <c r="E73" s="92"/>
      <c r="F73" s="140">
        <v>20</v>
      </c>
      <c r="G73" s="140"/>
      <c r="H73" s="96">
        <f t="shared" si="17"/>
        <v>0</v>
      </c>
      <c r="I73" s="96">
        <f t="shared" si="17"/>
        <v>0</v>
      </c>
      <c r="J73" s="92"/>
      <c r="K73" s="140">
        <f t="shared" si="18"/>
        <v>19.5</v>
      </c>
      <c r="L73" s="140"/>
      <c r="M73" s="96">
        <f t="shared" si="19"/>
        <v>0</v>
      </c>
      <c r="P73" s="96"/>
      <c r="Q73" s="96"/>
    </row>
    <row r="74" spans="1:18">
      <c r="A74" s="93" t="s">
        <v>82</v>
      </c>
      <c r="C74" s="92">
        <v>0</v>
      </c>
      <c r="D74" s="92">
        <f t="shared" si="20"/>
        <v>0</v>
      </c>
      <c r="E74" s="92"/>
      <c r="F74" s="140">
        <v>12</v>
      </c>
      <c r="G74" s="140"/>
      <c r="H74" s="96">
        <f t="shared" si="17"/>
        <v>0</v>
      </c>
      <c r="I74" s="96">
        <f t="shared" si="17"/>
        <v>0</v>
      </c>
      <c r="J74" s="92"/>
      <c r="K74" s="140">
        <f t="shared" si="18"/>
        <v>14.5</v>
      </c>
      <c r="L74" s="140"/>
      <c r="M74" s="96">
        <f t="shared" si="19"/>
        <v>0</v>
      </c>
    </row>
    <row r="75" spans="1:18">
      <c r="A75" s="93" t="s">
        <v>84</v>
      </c>
      <c r="C75" s="92">
        <v>0</v>
      </c>
      <c r="D75" s="92">
        <f t="shared" si="20"/>
        <v>0</v>
      </c>
      <c r="E75" s="92"/>
      <c r="F75" s="95">
        <v>2</v>
      </c>
      <c r="G75" s="95"/>
      <c r="H75" s="96">
        <f t="shared" si="17"/>
        <v>0</v>
      </c>
      <c r="I75" s="96">
        <f t="shared" si="17"/>
        <v>0</v>
      </c>
      <c r="J75" s="92"/>
      <c r="K75" s="140">
        <f t="shared" si="18"/>
        <v>2</v>
      </c>
      <c r="L75" s="95"/>
      <c r="M75" s="96">
        <f t="shared" si="19"/>
        <v>0</v>
      </c>
      <c r="N75" s="105"/>
      <c r="Q75" s="105"/>
      <c r="R75" s="105"/>
    </row>
    <row r="76" spans="1:18">
      <c r="A76" s="93" t="s">
        <v>85</v>
      </c>
      <c r="C76" s="92">
        <v>0</v>
      </c>
      <c r="D76" s="92">
        <f t="shared" si="20"/>
        <v>0</v>
      </c>
      <c r="E76" s="92"/>
      <c r="F76" s="95">
        <v>22</v>
      </c>
      <c r="G76" s="95"/>
      <c r="H76" s="96">
        <f t="shared" si="17"/>
        <v>0</v>
      </c>
      <c r="I76" s="96">
        <f t="shared" si="17"/>
        <v>0</v>
      </c>
      <c r="J76" s="92"/>
      <c r="K76" s="140">
        <f t="shared" si="18"/>
        <v>22</v>
      </c>
      <c r="L76" s="95"/>
      <c r="M76" s="96">
        <f t="shared" si="19"/>
        <v>0</v>
      </c>
      <c r="N76" s="105"/>
      <c r="Q76" s="105"/>
      <c r="R76" s="105"/>
    </row>
    <row r="77" spans="1:18">
      <c r="A77" s="93" t="s">
        <v>87</v>
      </c>
      <c r="C77" s="92">
        <v>7279</v>
      </c>
      <c r="D77" s="92">
        <v>5372.7596435511878</v>
      </c>
      <c r="E77" s="92"/>
      <c r="F77" s="95">
        <v>-0.5</v>
      </c>
      <c r="G77" s="95"/>
      <c r="H77" s="96">
        <f t="shared" si="17"/>
        <v>-3640</v>
      </c>
      <c r="I77" s="96">
        <f t="shared" si="17"/>
        <v>-2686</v>
      </c>
      <c r="J77" s="92"/>
      <c r="K77" s="140">
        <f t="shared" si="18"/>
        <v>-0.5</v>
      </c>
      <c r="L77" s="95"/>
      <c r="M77" s="96">
        <f t="shared" si="19"/>
        <v>-2686</v>
      </c>
      <c r="N77" s="105"/>
      <c r="Q77" s="105"/>
      <c r="R77" s="105"/>
    </row>
    <row r="78" spans="1:18">
      <c r="A78" s="129" t="s">
        <v>109</v>
      </c>
      <c r="B78" s="89"/>
      <c r="C78" s="92">
        <v>1855246</v>
      </c>
      <c r="D78" s="92">
        <f>$C78/($C$82-$C$80-$C$81)*D$82</f>
        <v>1583597.937681712</v>
      </c>
      <c r="E78" s="92"/>
      <c r="F78" s="141">
        <v>25.353200000000001</v>
      </c>
      <c r="G78" s="9" t="s">
        <v>90</v>
      </c>
      <c r="H78" s="96">
        <f t="shared" ref="H78:I80" si="21">ROUND($F78*C78/100,0)</f>
        <v>470364</v>
      </c>
      <c r="I78" s="96">
        <f t="shared" si="21"/>
        <v>401493</v>
      </c>
      <c r="J78" s="92"/>
      <c r="K78" s="141">
        <f>ROUND(F78*(1+$P$19),$P$9)</f>
        <v>27.303699999999999</v>
      </c>
      <c r="L78" s="9" t="s">
        <v>90</v>
      </c>
      <c r="M78" s="96">
        <f>ROUND($K78*D78/100,0)</f>
        <v>432381</v>
      </c>
      <c r="N78" s="115"/>
      <c r="Q78" s="115"/>
      <c r="R78" s="115"/>
    </row>
    <row r="79" spans="1:18">
      <c r="A79" s="129" t="s">
        <v>110</v>
      </c>
      <c r="B79" s="89"/>
      <c r="C79" s="92">
        <v>9727968</v>
      </c>
      <c r="D79" s="92">
        <f>$C79/($C$82-$C$80-$C$81)*D$82</f>
        <v>8303583.4938513217</v>
      </c>
      <c r="E79" s="92"/>
      <c r="F79" s="141">
        <v>5.2004000000000001</v>
      </c>
      <c r="G79" s="9" t="s">
        <v>90</v>
      </c>
      <c r="H79" s="96">
        <f t="shared" si="21"/>
        <v>505893</v>
      </c>
      <c r="I79" s="96">
        <f t="shared" si="21"/>
        <v>431820</v>
      </c>
      <c r="J79" s="92"/>
      <c r="K79" s="141">
        <f>ROUND(F79*(1+$P$19),$P$9)</f>
        <v>5.6005000000000003</v>
      </c>
      <c r="L79" s="9" t="s">
        <v>90</v>
      </c>
      <c r="M79" s="96">
        <f>ROUND($K79*D79/100,0)</f>
        <v>465042</v>
      </c>
      <c r="N79" s="121"/>
      <c r="O79" s="89" t="s">
        <v>100</v>
      </c>
      <c r="P79" s="128">
        <f>ROUND(D82/D70,0)</f>
        <v>1279</v>
      </c>
      <c r="Q79" s="121"/>
      <c r="R79" s="121"/>
    </row>
    <row r="80" spans="1:18">
      <c r="A80" s="129" t="s">
        <v>101</v>
      </c>
      <c r="B80" s="130"/>
      <c r="C80" s="92">
        <v>0</v>
      </c>
      <c r="D80" s="94"/>
      <c r="E80" s="94"/>
      <c r="F80" s="131">
        <v>11.912599999999999</v>
      </c>
      <c r="G80" s="9" t="s">
        <v>90</v>
      </c>
      <c r="H80" s="96">
        <f t="shared" si="21"/>
        <v>0</v>
      </c>
      <c r="I80" s="96">
        <f t="shared" si="21"/>
        <v>0</v>
      </c>
      <c r="J80" s="94"/>
      <c r="K80" s="131">
        <f>K25</f>
        <v>12.0525</v>
      </c>
      <c r="L80" s="9" t="s">
        <v>90</v>
      </c>
      <c r="M80" s="96">
        <f>ROUND($K80*D80/100,0)</f>
        <v>0</v>
      </c>
      <c r="N80" s="121"/>
      <c r="O80" s="89" t="s">
        <v>102</v>
      </c>
      <c r="P80" s="128">
        <f>P79</f>
        <v>1279</v>
      </c>
      <c r="Q80" s="121"/>
      <c r="R80" s="96"/>
    </row>
    <row r="81" spans="1:18">
      <c r="A81" s="129" t="s">
        <v>103</v>
      </c>
      <c r="B81" s="130"/>
      <c r="C81" s="92">
        <v>32580</v>
      </c>
      <c r="D81" s="92"/>
      <c r="E81" s="92"/>
      <c r="F81" s="131"/>
      <c r="G81" s="9"/>
      <c r="H81" s="96">
        <v>3541</v>
      </c>
      <c r="I81" s="96"/>
      <c r="J81" s="92"/>
      <c r="K81" s="131"/>
      <c r="L81" s="9"/>
      <c r="M81" s="96"/>
      <c r="N81" s="121"/>
      <c r="O81" s="89" t="s">
        <v>104</v>
      </c>
      <c r="P81" s="128">
        <f>P79</f>
        <v>1279</v>
      </c>
      <c r="Q81" s="121"/>
      <c r="R81" s="121"/>
    </row>
    <row r="82" spans="1:18" ht="16.5" thickBot="1">
      <c r="A82" s="133" t="s">
        <v>105</v>
      </c>
      <c r="B82" s="134"/>
      <c r="C82" s="135">
        <f>SUM(C78:C81)</f>
        <v>11615794</v>
      </c>
      <c r="D82" s="135">
        <v>9887181.431533033</v>
      </c>
      <c r="E82" s="135"/>
      <c r="F82" s="134"/>
      <c r="G82" s="134"/>
      <c r="H82" s="136">
        <f>SUM(H71:H81)</f>
        <v>1061478</v>
      </c>
      <c r="I82" s="136">
        <f>SUM(I71:I81)</f>
        <v>905997</v>
      </c>
      <c r="J82" s="135"/>
      <c r="K82" s="134"/>
      <c r="L82" s="134"/>
      <c r="M82" s="136">
        <f>SUM(M71:M81)</f>
        <v>985085</v>
      </c>
      <c r="O82" s="89" t="s">
        <v>86</v>
      </c>
      <c r="P82" s="88">
        <f>M82/I82-1</f>
        <v>8.7293887286602478E-2</v>
      </c>
    </row>
    <row r="83" spans="1:18" ht="16.5" thickTop="1">
      <c r="C83" s="92"/>
      <c r="D83" s="92"/>
      <c r="E83" s="92"/>
      <c r="J83" s="92"/>
    </row>
    <row r="84" spans="1:18">
      <c r="A84" s="90" t="s">
        <v>428</v>
      </c>
      <c r="C84" s="92"/>
      <c r="D84" s="92"/>
      <c r="E84" s="92"/>
      <c r="J84" s="92"/>
    </row>
    <row r="85" spans="1:18">
      <c r="A85" s="93" t="s">
        <v>75</v>
      </c>
      <c r="C85" s="92">
        <f>SUM(C86:C89)</f>
        <v>224747.49983333354</v>
      </c>
      <c r="D85" s="94">
        <v>212808.6544343835</v>
      </c>
      <c r="E85" s="94"/>
      <c r="F85" s="95"/>
      <c r="G85" s="95"/>
      <c r="H85" s="96"/>
      <c r="I85" s="96"/>
      <c r="J85" s="94"/>
      <c r="K85" s="95"/>
      <c r="L85" s="95"/>
      <c r="M85" s="96"/>
    </row>
    <row r="86" spans="1:18">
      <c r="A86" s="93" t="s">
        <v>76</v>
      </c>
      <c r="C86" s="92">
        <v>112730.23299999999</v>
      </c>
      <c r="D86" s="92">
        <f>ROUND($C86/$C$85*D$85,0)</f>
        <v>106742</v>
      </c>
      <c r="E86" s="92"/>
      <c r="F86" s="95">
        <v>10</v>
      </c>
      <c r="G86" s="95"/>
      <c r="H86" s="96">
        <f t="shared" ref="H86:I92" si="22">ROUND($F86*C86,0)</f>
        <v>1127302</v>
      </c>
      <c r="I86" s="96">
        <f t="shared" si="22"/>
        <v>1067420</v>
      </c>
      <c r="J86" s="92"/>
      <c r="K86" s="95">
        <f t="shared" ref="K86:K99" si="23">K12</f>
        <v>12</v>
      </c>
      <c r="L86" s="95"/>
      <c r="M86" s="96">
        <f t="shared" ref="M86:M92" si="24">ROUND($K86*D86,0)</f>
        <v>1280904</v>
      </c>
      <c r="O86" s="89"/>
      <c r="P86" s="89"/>
    </row>
    <row r="87" spans="1:18">
      <c r="A87" s="93" t="s">
        <v>78</v>
      </c>
      <c r="C87" s="92">
        <v>111832.70000000019</v>
      </c>
      <c r="D87" s="92">
        <f t="shared" ref="D87:D91" si="25">ROUND($C87/$C$85*D$85,0)</f>
        <v>105892</v>
      </c>
      <c r="E87" s="92"/>
      <c r="F87" s="95">
        <v>6</v>
      </c>
      <c r="G87" s="95"/>
      <c r="H87" s="96">
        <f t="shared" si="22"/>
        <v>670996</v>
      </c>
      <c r="I87" s="96">
        <f t="shared" si="22"/>
        <v>635352</v>
      </c>
      <c r="J87" s="92"/>
      <c r="K87" s="95">
        <f t="shared" si="23"/>
        <v>7</v>
      </c>
      <c r="L87" s="95"/>
      <c r="M87" s="96">
        <f t="shared" si="24"/>
        <v>741244</v>
      </c>
      <c r="O87" s="89"/>
      <c r="P87" s="89"/>
    </row>
    <row r="88" spans="1:18">
      <c r="A88" s="93" t="s">
        <v>80</v>
      </c>
      <c r="C88" s="92">
        <v>6.9335000000000004</v>
      </c>
      <c r="D88" s="92">
        <f t="shared" si="25"/>
        <v>7</v>
      </c>
      <c r="E88" s="92"/>
      <c r="F88" s="95">
        <v>20</v>
      </c>
      <c r="G88" s="95"/>
      <c r="H88" s="96">
        <f t="shared" si="22"/>
        <v>139</v>
      </c>
      <c r="I88" s="96">
        <f t="shared" si="22"/>
        <v>140</v>
      </c>
      <c r="J88" s="92"/>
      <c r="K88" s="95">
        <f t="shared" si="23"/>
        <v>19.5</v>
      </c>
      <c r="L88" s="95"/>
      <c r="M88" s="96">
        <f t="shared" si="24"/>
        <v>137</v>
      </c>
      <c r="O88" s="89"/>
      <c r="P88" s="89"/>
    </row>
    <row r="89" spans="1:18">
      <c r="A89" s="93" t="s">
        <v>82</v>
      </c>
      <c r="C89" s="92">
        <v>177.63333333333341</v>
      </c>
      <c r="D89" s="92">
        <f t="shared" si="25"/>
        <v>168</v>
      </c>
      <c r="E89" s="92"/>
      <c r="F89" s="95">
        <v>12</v>
      </c>
      <c r="G89" s="95"/>
      <c r="H89" s="96">
        <f t="shared" si="22"/>
        <v>2132</v>
      </c>
      <c r="I89" s="96">
        <f t="shared" si="22"/>
        <v>2016</v>
      </c>
      <c r="J89" s="92"/>
      <c r="K89" s="95">
        <f t="shared" si="23"/>
        <v>14.5</v>
      </c>
      <c r="L89" s="95"/>
      <c r="M89" s="96">
        <f t="shared" si="24"/>
        <v>2436</v>
      </c>
    </row>
    <row r="90" spans="1:18">
      <c r="A90" s="93" t="s">
        <v>84</v>
      </c>
      <c r="C90" s="92">
        <v>0</v>
      </c>
      <c r="D90" s="92">
        <f t="shared" si="25"/>
        <v>0</v>
      </c>
      <c r="E90" s="92"/>
      <c r="F90" s="95">
        <v>2</v>
      </c>
      <c r="G90" s="95"/>
      <c r="H90" s="96">
        <f t="shared" si="22"/>
        <v>0</v>
      </c>
      <c r="I90" s="96">
        <f t="shared" si="22"/>
        <v>0</v>
      </c>
      <c r="J90" s="92"/>
      <c r="K90" s="95">
        <f t="shared" si="23"/>
        <v>2</v>
      </c>
      <c r="L90" s="95"/>
      <c r="M90" s="96">
        <f t="shared" si="24"/>
        <v>0</v>
      </c>
      <c r="N90" s="105"/>
      <c r="Q90" s="105"/>
      <c r="R90" s="105"/>
    </row>
    <row r="91" spans="1:18">
      <c r="A91" s="93" t="s">
        <v>85</v>
      </c>
      <c r="C91" s="92">
        <v>0</v>
      </c>
      <c r="D91" s="92">
        <f t="shared" si="25"/>
        <v>0</v>
      </c>
      <c r="E91" s="92"/>
      <c r="F91" s="95">
        <v>22</v>
      </c>
      <c r="G91" s="95"/>
      <c r="H91" s="96">
        <f t="shared" si="22"/>
        <v>0</v>
      </c>
      <c r="I91" s="96">
        <f t="shared" si="22"/>
        <v>0</v>
      </c>
      <c r="J91" s="92"/>
      <c r="K91" s="95">
        <f t="shared" si="23"/>
        <v>22</v>
      </c>
      <c r="L91" s="95"/>
      <c r="M91" s="96">
        <f t="shared" si="24"/>
        <v>0</v>
      </c>
      <c r="N91" s="105"/>
      <c r="O91" s="89"/>
      <c r="P91" s="89"/>
      <c r="Q91" s="105"/>
      <c r="R91" s="105"/>
    </row>
    <row r="92" spans="1:18">
      <c r="A92" s="93" t="s">
        <v>87</v>
      </c>
      <c r="C92" s="92">
        <v>84261</v>
      </c>
      <c r="D92" s="92">
        <v>147921.85202608586</v>
      </c>
      <c r="E92" s="92"/>
      <c r="F92" s="95">
        <v>-0.5</v>
      </c>
      <c r="G92" s="95"/>
      <c r="H92" s="96">
        <f t="shared" si="22"/>
        <v>-42131</v>
      </c>
      <c r="I92" s="96">
        <f t="shared" si="22"/>
        <v>-73961</v>
      </c>
      <c r="J92" s="92"/>
      <c r="K92" s="95">
        <f t="shared" si="23"/>
        <v>-0.5</v>
      </c>
      <c r="L92" s="95"/>
      <c r="M92" s="96">
        <f t="shared" si="24"/>
        <v>-73961</v>
      </c>
      <c r="N92" s="105"/>
      <c r="Q92" s="105"/>
      <c r="R92" s="105"/>
    </row>
    <row r="93" spans="1:18">
      <c r="A93" s="93" t="s">
        <v>89</v>
      </c>
      <c r="C93" s="92">
        <v>12022</v>
      </c>
      <c r="D93" s="92">
        <f>ROUND($C93/SUM($C95:$C96)*SUM(D95:D96),0)</f>
        <v>12271</v>
      </c>
      <c r="E93" s="92"/>
      <c r="F93" s="114">
        <v>4.3559999999999999</v>
      </c>
      <c r="G93" s="95" t="s">
        <v>90</v>
      </c>
      <c r="H93" s="96">
        <f t="shared" ref="H93:I99" si="26">ROUND($F93*C93/100,0)</f>
        <v>524</v>
      </c>
      <c r="I93" s="96">
        <f t="shared" si="26"/>
        <v>535</v>
      </c>
      <c r="J93" s="92"/>
      <c r="K93" s="114">
        <f t="shared" si="23"/>
        <v>4.3559999999999999</v>
      </c>
      <c r="L93" s="95" t="s">
        <v>90</v>
      </c>
      <c r="M93" s="96">
        <f t="shared" ref="M93:M99" si="27">ROUND($K93*D93/100,0)</f>
        <v>535</v>
      </c>
      <c r="N93" s="105"/>
      <c r="Q93" s="105"/>
      <c r="R93" s="105"/>
    </row>
    <row r="94" spans="1:18">
      <c r="A94" s="93" t="s">
        <v>92</v>
      </c>
      <c r="C94" s="92">
        <v>35541</v>
      </c>
      <c r="D94" s="92">
        <f>ROUND($C94/SUM($C95:$C96)*SUM(D95:D96),0)</f>
        <v>36276</v>
      </c>
      <c r="E94" s="92"/>
      <c r="F94" s="114">
        <v>-1.6334</v>
      </c>
      <c r="G94" s="95" t="s">
        <v>90</v>
      </c>
      <c r="H94" s="96">
        <f t="shared" si="26"/>
        <v>-581</v>
      </c>
      <c r="I94" s="96">
        <f t="shared" si="26"/>
        <v>-593</v>
      </c>
      <c r="J94" s="92"/>
      <c r="K94" s="114">
        <f t="shared" si="23"/>
        <v>-1.6334</v>
      </c>
      <c r="L94" s="95" t="s">
        <v>90</v>
      </c>
      <c r="M94" s="96">
        <f t="shared" si="27"/>
        <v>-593</v>
      </c>
      <c r="N94" s="115"/>
      <c r="Q94" s="115"/>
      <c r="R94" s="115"/>
    </row>
    <row r="95" spans="1:18">
      <c r="A95" s="93" t="s">
        <v>94</v>
      </c>
      <c r="C95" s="92">
        <v>27123042</v>
      </c>
      <c r="D95" s="92">
        <v>27684287</v>
      </c>
      <c r="E95" s="92"/>
      <c r="F95" s="114">
        <v>9.0279000000000007</v>
      </c>
      <c r="G95" s="120" t="s">
        <v>90</v>
      </c>
      <c r="H95" s="96">
        <f t="shared" si="26"/>
        <v>2448641</v>
      </c>
      <c r="I95" s="96">
        <f t="shared" si="26"/>
        <v>2499310</v>
      </c>
      <c r="J95" s="92"/>
      <c r="K95" s="114">
        <f t="shared" si="23"/>
        <v>9.8331999999999997</v>
      </c>
      <c r="L95" s="120" t="s">
        <v>90</v>
      </c>
      <c r="M95" s="96">
        <f t="shared" si="27"/>
        <v>2722251</v>
      </c>
      <c r="N95" s="121"/>
      <c r="Q95" s="121"/>
      <c r="R95" s="121"/>
    </row>
    <row r="96" spans="1:18">
      <c r="A96" s="93" t="s">
        <v>96</v>
      </c>
      <c r="C96" s="92">
        <v>27168886.880101375</v>
      </c>
      <c r="D96" s="92">
        <v>27731081</v>
      </c>
      <c r="E96" s="92"/>
      <c r="F96" s="114">
        <v>11.721</v>
      </c>
      <c r="G96" s="120" t="s">
        <v>90</v>
      </c>
      <c r="H96" s="96">
        <f t="shared" si="26"/>
        <v>3184465</v>
      </c>
      <c r="I96" s="96">
        <f t="shared" si="26"/>
        <v>3250360</v>
      </c>
      <c r="J96" s="92"/>
      <c r="K96" s="114">
        <f t="shared" si="23"/>
        <v>12.526300000000001</v>
      </c>
      <c r="L96" s="120" t="s">
        <v>90</v>
      </c>
      <c r="M96" s="96">
        <f t="shared" si="27"/>
        <v>3473678</v>
      </c>
      <c r="N96" s="121"/>
      <c r="O96" s="89"/>
      <c r="P96" s="89"/>
      <c r="Q96" s="121"/>
      <c r="R96" s="121"/>
    </row>
    <row r="97" spans="1:18">
      <c r="A97" s="93" t="s">
        <v>98</v>
      </c>
      <c r="B97" s="126"/>
      <c r="C97" s="92">
        <v>50990994</v>
      </c>
      <c r="D97" s="92">
        <v>48398461</v>
      </c>
      <c r="E97" s="92"/>
      <c r="F97" s="127">
        <v>7.9893000000000001</v>
      </c>
      <c r="G97" s="120" t="s">
        <v>90</v>
      </c>
      <c r="H97" s="96">
        <f t="shared" si="26"/>
        <v>4073823</v>
      </c>
      <c r="I97" s="96">
        <f t="shared" si="26"/>
        <v>3866698</v>
      </c>
      <c r="J97" s="92"/>
      <c r="K97" s="127">
        <f t="shared" si="23"/>
        <v>8.702</v>
      </c>
      <c r="L97" s="120" t="s">
        <v>90</v>
      </c>
      <c r="M97" s="96">
        <f t="shared" si="27"/>
        <v>4211634</v>
      </c>
      <c r="N97" s="121"/>
      <c r="Q97" s="121"/>
      <c r="R97" s="121"/>
    </row>
    <row r="98" spans="1:18">
      <c r="A98" s="93" t="s">
        <v>99</v>
      </c>
      <c r="B98" s="126"/>
      <c r="C98" s="92">
        <v>37836365.287790798</v>
      </c>
      <c r="D98" s="92">
        <v>35912652</v>
      </c>
      <c r="E98" s="92"/>
      <c r="F98" s="127">
        <v>10.3725</v>
      </c>
      <c r="G98" s="120" t="s">
        <v>90</v>
      </c>
      <c r="H98" s="96">
        <f t="shared" si="26"/>
        <v>3924577</v>
      </c>
      <c r="I98" s="96">
        <f t="shared" si="26"/>
        <v>3725040</v>
      </c>
      <c r="J98" s="92"/>
      <c r="K98" s="127">
        <f t="shared" si="23"/>
        <v>11.0852</v>
      </c>
      <c r="L98" s="120" t="s">
        <v>90</v>
      </c>
      <c r="M98" s="96">
        <f t="shared" si="27"/>
        <v>3980989</v>
      </c>
      <c r="N98" s="121"/>
      <c r="O98" s="89" t="s">
        <v>100</v>
      </c>
      <c r="P98" s="128">
        <f>ROUND(D102/D85,0)</f>
        <v>657</v>
      </c>
      <c r="Q98" s="121"/>
      <c r="R98" s="121"/>
    </row>
    <row r="99" spans="1:18">
      <c r="A99" s="129" t="s">
        <v>101</v>
      </c>
      <c r="B99" s="130"/>
      <c r="C99" s="92">
        <v>172690</v>
      </c>
      <c r="D99" s="92">
        <f>ROUND($C99/$C$102*D$102,0)</f>
        <v>168118</v>
      </c>
      <c r="E99" s="92"/>
      <c r="F99" s="131">
        <v>11.912599999999999</v>
      </c>
      <c r="G99" s="9" t="s">
        <v>90</v>
      </c>
      <c r="H99" s="96">
        <f t="shared" si="26"/>
        <v>20572</v>
      </c>
      <c r="I99" s="96">
        <f t="shared" si="26"/>
        <v>20027</v>
      </c>
      <c r="J99" s="92"/>
      <c r="K99" s="131">
        <f t="shared" si="23"/>
        <v>12.0525</v>
      </c>
      <c r="L99" s="9" t="s">
        <v>90</v>
      </c>
      <c r="M99" s="96">
        <f t="shared" si="27"/>
        <v>20262</v>
      </c>
      <c r="N99" s="121"/>
      <c r="O99" s="89" t="s">
        <v>102</v>
      </c>
      <c r="P99" s="128">
        <f>ROUND(SUM(D95:D96,D99*4/12)/(D85*4/12),0)</f>
        <v>782</v>
      </c>
      <c r="Q99" s="121"/>
      <c r="R99" s="121"/>
    </row>
    <row r="100" spans="1:18">
      <c r="A100" s="129" t="s">
        <v>103</v>
      </c>
      <c r="B100" s="130"/>
      <c r="C100" s="92">
        <v>407166</v>
      </c>
      <c r="D100" s="92"/>
      <c r="E100" s="92"/>
      <c r="F100" s="131"/>
      <c r="G100" s="9"/>
      <c r="H100" s="96">
        <v>51999</v>
      </c>
      <c r="I100" s="96"/>
      <c r="J100" s="92"/>
      <c r="K100" s="131"/>
      <c r="L100" s="9"/>
      <c r="M100" s="96"/>
      <c r="N100" s="121"/>
      <c r="O100" s="89" t="s">
        <v>104</v>
      </c>
      <c r="P100" s="128">
        <f>ROUND(SUM(D97:D98,D99*8/12)/(D85*8/12),0)</f>
        <v>595</v>
      </c>
      <c r="Q100" s="121"/>
      <c r="R100" s="121"/>
    </row>
    <row r="101" spans="1:18">
      <c r="A101" s="129" t="s">
        <v>111</v>
      </c>
      <c r="B101" s="130"/>
      <c r="C101" s="92"/>
      <c r="D101" s="92"/>
      <c r="E101" s="92"/>
      <c r="F101" s="95">
        <v>13.95</v>
      </c>
      <c r="G101" s="9"/>
      <c r="H101" s="96"/>
      <c r="I101" s="96"/>
      <c r="J101" s="92"/>
      <c r="K101" s="142">
        <f>ROUND(18*(1+'Rate Impact-GRC Incremental'!Q17),0)</f>
        <v>19</v>
      </c>
      <c r="L101" s="9"/>
      <c r="M101" s="96"/>
      <c r="N101" s="121"/>
      <c r="O101" s="88">
        <f>K101/F101-1</f>
        <v>0.36200716845878134</v>
      </c>
      <c r="P101" s="128"/>
      <c r="Q101" s="121"/>
      <c r="R101" s="121"/>
    </row>
    <row r="102" spans="1:18" ht="16.5" thickBot="1">
      <c r="A102" s="133" t="s">
        <v>105</v>
      </c>
      <c r="B102" s="134"/>
      <c r="C102" s="135">
        <f>SUM(C95:C100)</f>
        <v>143699144.16789219</v>
      </c>
      <c r="D102" s="135">
        <v>139894598.76989457</v>
      </c>
      <c r="E102" s="135"/>
      <c r="F102" s="134"/>
      <c r="G102" s="134"/>
      <c r="H102" s="136">
        <f>SUM(H86:H100)</f>
        <v>15462458</v>
      </c>
      <c r="I102" s="136">
        <f>SUM(I86:I100)</f>
        <v>14992344</v>
      </c>
      <c r="J102" s="135"/>
      <c r="K102" s="134"/>
      <c r="L102" s="134"/>
      <c r="M102" s="136">
        <f>SUM(M86:M100)</f>
        <v>16359516</v>
      </c>
      <c r="O102" s="89" t="s">
        <v>86</v>
      </c>
      <c r="P102" s="88">
        <f>M102/I102-1</f>
        <v>9.119134406200935E-2</v>
      </c>
    </row>
    <row r="103" spans="1:18" ht="16.5" thickTop="1">
      <c r="A103" s="93"/>
      <c r="C103" s="92"/>
      <c r="D103" s="92"/>
      <c r="E103" s="92"/>
      <c r="H103" s="96"/>
      <c r="I103" s="96"/>
      <c r="J103" s="92"/>
      <c r="M103" s="96"/>
      <c r="O103" s="89"/>
      <c r="P103" s="88"/>
    </row>
    <row r="104" spans="1:18">
      <c r="A104" s="90" t="s">
        <v>112</v>
      </c>
      <c r="C104" s="92"/>
      <c r="D104" s="92"/>
      <c r="E104" s="92"/>
      <c r="H104" s="96"/>
      <c r="I104" s="96"/>
      <c r="J104" s="92"/>
      <c r="M104" s="96"/>
      <c r="O104" s="89" t="s">
        <v>93</v>
      </c>
      <c r="P104" s="143">
        <v>1.1299999999999999</v>
      </c>
    </row>
    <row r="105" spans="1:18">
      <c r="A105" s="129" t="s">
        <v>113</v>
      </c>
      <c r="B105" s="89"/>
      <c r="C105" s="92"/>
      <c r="D105" s="92">
        <v>502493096.37410456</v>
      </c>
      <c r="E105" s="92"/>
      <c r="F105" s="141"/>
      <c r="G105" s="9"/>
      <c r="H105" s="96"/>
      <c r="I105" s="96"/>
      <c r="J105" s="92"/>
      <c r="K105" s="141">
        <f>ROUND(P107/SUM(D105,D106/P105,D107/P104,D108/(P104*P105))*100,P9)</f>
        <v>33.6173</v>
      </c>
      <c r="L105" s="9" t="s">
        <v>90</v>
      </c>
      <c r="M105" s="96">
        <f>ROUND($K105*D105/100,0)</f>
        <v>168924612</v>
      </c>
      <c r="O105" s="89" t="s">
        <v>114</v>
      </c>
      <c r="P105" s="143">
        <v>4.5</v>
      </c>
    </row>
    <row r="106" spans="1:18">
      <c r="A106" s="129" t="s">
        <v>115</v>
      </c>
      <c r="B106" s="89"/>
      <c r="C106" s="92"/>
      <c r="D106" s="92">
        <v>2886234053.5050712</v>
      </c>
      <c r="E106" s="92"/>
      <c r="F106" s="141"/>
      <c r="G106" s="9"/>
      <c r="H106" s="96"/>
      <c r="I106" s="96"/>
      <c r="J106" s="92"/>
      <c r="K106" s="141">
        <f>ROUND(K105/P105,P9)</f>
        <v>7.4705000000000004</v>
      </c>
      <c r="L106" s="9" t="s">
        <v>90</v>
      </c>
      <c r="M106" s="96">
        <f>ROUND($K106*D106/100,0)</f>
        <v>215616115</v>
      </c>
      <c r="O106" s="89"/>
      <c r="P106" s="144"/>
      <c r="R106" s="145"/>
    </row>
    <row r="107" spans="1:18">
      <c r="A107" s="129" t="s">
        <v>116</v>
      </c>
      <c r="B107" s="89"/>
      <c r="C107" s="92"/>
      <c r="D107" s="92">
        <v>686608692.0564878</v>
      </c>
      <c r="E107" s="92"/>
      <c r="F107" s="141"/>
      <c r="G107" s="9"/>
      <c r="H107" s="96"/>
      <c r="I107" s="96"/>
      <c r="J107" s="92"/>
      <c r="K107" s="141">
        <f>ROUND(K105/P104,P9)</f>
        <v>29.7498</v>
      </c>
      <c r="L107" s="9" t="s">
        <v>90</v>
      </c>
      <c r="M107" s="96">
        <f>ROUND($K107*D107/100,0)</f>
        <v>204264713</v>
      </c>
      <c r="O107" s="89" t="s">
        <v>117</v>
      </c>
      <c r="P107" s="146">
        <f>SUM(M19:M24,M38:M45,M59:M64,M78:M79,M93:M98)</f>
        <v>864300085</v>
      </c>
    </row>
    <row r="108" spans="1:18">
      <c r="A108" s="129" t="s">
        <v>118</v>
      </c>
      <c r="B108" s="89"/>
      <c r="C108" s="92"/>
      <c r="D108" s="92">
        <v>4167161808.5704403</v>
      </c>
      <c r="E108" s="92"/>
      <c r="F108" s="141"/>
      <c r="G108" s="9"/>
      <c r="H108" s="96"/>
      <c r="I108" s="96"/>
      <c r="J108" s="92"/>
      <c r="K108" s="141">
        <f>ROUND(K106/P104,P9)</f>
        <v>6.6111000000000004</v>
      </c>
      <c r="L108" s="9" t="s">
        <v>90</v>
      </c>
      <c r="M108" s="96">
        <f>ROUND($K108*D108/100,0)</f>
        <v>275495234</v>
      </c>
      <c r="O108" s="89" t="s">
        <v>119</v>
      </c>
      <c r="P108" s="146">
        <f>M109</f>
        <v>864300674</v>
      </c>
      <c r="R108" s="145"/>
    </row>
    <row r="109" spans="1:18" ht="16.5" thickBot="1">
      <c r="A109" s="133" t="s">
        <v>105</v>
      </c>
      <c r="B109" s="134"/>
      <c r="C109" s="135"/>
      <c r="D109" s="135">
        <f>SUM(D105:D108)</f>
        <v>8242497650.5061035</v>
      </c>
      <c r="E109" s="135"/>
      <c r="F109" s="134"/>
      <c r="G109" s="134"/>
      <c r="H109" s="136"/>
      <c r="I109" s="136"/>
      <c r="J109" s="135"/>
      <c r="K109" s="134"/>
      <c r="L109" s="134"/>
      <c r="M109" s="136">
        <f>SUM(M105:M108)</f>
        <v>864300674</v>
      </c>
      <c r="O109" s="89"/>
      <c r="P109" s="88"/>
    </row>
    <row r="110" spans="1:18" ht="16.5" thickTop="1">
      <c r="A110" s="93"/>
      <c r="C110" s="92"/>
      <c r="D110" s="92"/>
      <c r="E110" s="92"/>
      <c r="H110" s="96"/>
      <c r="I110" s="96"/>
      <c r="J110" s="92"/>
      <c r="M110" s="96"/>
      <c r="O110" s="89"/>
      <c r="P110" s="88"/>
    </row>
    <row r="111" spans="1:18">
      <c r="A111" s="90" t="s">
        <v>120</v>
      </c>
      <c r="C111" s="92"/>
      <c r="D111" s="92"/>
      <c r="E111" s="92"/>
      <c r="J111" s="92"/>
      <c r="O111" s="89"/>
      <c r="P111" s="89"/>
    </row>
    <row r="112" spans="1:18">
      <c r="A112" s="93" t="s">
        <v>121</v>
      </c>
      <c r="C112" s="92">
        <f t="shared" ref="C112:D121" si="28">C126+C140+C154</f>
        <v>163031.45547169866</v>
      </c>
      <c r="D112" s="92">
        <f t="shared" si="28"/>
        <v>164413.4043845573</v>
      </c>
      <c r="E112" s="92"/>
      <c r="F112" s="147">
        <v>53</v>
      </c>
      <c r="G112" s="95"/>
      <c r="H112" s="96">
        <f t="shared" ref="H112:I117" si="29">ROUND($F112*C112,0)</f>
        <v>8640667</v>
      </c>
      <c r="I112" s="96">
        <f t="shared" si="29"/>
        <v>8713910</v>
      </c>
      <c r="J112" s="92"/>
      <c r="K112" s="147">
        <f>ROUND(F112*(1+$P$117),0)</f>
        <v>58</v>
      </c>
      <c r="L112" s="95"/>
      <c r="M112" s="96">
        <f t="shared" ref="M112:M117" si="30">ROUND($K112*D112,0)</f>
        <v>9535977</v>
      </c>
      <c r="O112" s="103" t="s">
        <v>79</v>
      </c>
      <c r="P112" s="104">
        <f>M123+M179</f>
        <v>570479978</v>
      </c>
      <c r="Q112" s="121">
        <f>K112/F112</f>
        <v>1.0943396226415094</v>
      </c>
      <c r="R112" s="121">
        <f>M112/I112</f>
        <v>1.0943396248067745</v>
      </c>
    </row>
    <row r="113" spans="1:18">
      <c r="A113" s="93" t="s">
        <v>84</v>
      </c>
      <c r="C113" s="92">
        <f t="shared" si="28"/>
        <v>0</v>
      </c>
      <c r="D113" s="92">
        <f t="shared" si="28"/>
        <v>0</v>
      </c>
      <c r="E113" s="92"/>
      <c r="F113" s="147">
        <v>2</v>
      </c>
      <c r="G113" s="95"/>
      <c r="H113" s="96">
        <f t="shared" si="29"/>
        <v>0</v>
      </c>
      <c r="I113" s="96">
        <f t="shared" si="29"/>
        <v>0</v>
      </c>
      <c r="J113" s="92"/>
      <c r="K113" s="147">
        <f>F113</f>
        <v>2</v>
      </c>
      <c r="L113" s="95"/>
      <c r="M113" s="96">
        <f t="shared" si="30"/>
        <v>0</v>
      </c>
      <c r="O113" s="106" t="s">
        <v>81</v>
      </c>
      <c r="P113" s="107">
        <f>'Rate Spread'!M19*1000</f>
        <v>570481745.53859448</v>
      </c>
      <c r="Q113" s="121">
        <f t="shared" ref="Q113:Q121" si="31">K113/F113</f>
        <v>1</v>
      </c>
      <c r="R113" s="121" t="e">
        <f t="shared" ref="R113:R123" si="32">M113/I113</f>
        <v>#DIV/0!</v>
      </c>
    </row>
    <row r="114" spans="1:18">
      <c r="A114" s="93" t="s">
        <v>87</v>
      </c>
      <c r="C114" s="92">
        <f t="shared" si="28"/>
        <v>87125</v>
      </c>
      <c r="D114" s="92">
        <f t="shared" si="28"/>
        <v>114282.64202467541</v>
      </c>
      <c r="E114" s="92"/>
      <c r="F114" s="95">
        <v>-0.5</v>
      </c>
      <c r="G114" s="95"/>
      <c r="H114" s="96">
        <f t="shared" si="29"/>
        <v>-43563</v>
      </c>
      <c r="I114" s="96">
        <f t="shared" si="29"/>
        <v>-57141</v>
      </c>
      <c r="J114" s="92"/>
      <c r="K114" s="95">
        <f>F114</f>
        <v>-0.5</v>
      </c>
      <c r="L114" s="95"/>
      <c r="M114" s="96">
        <f t="shared" si="30"/>
        <v>-57141</v>
      </c>
      <c r="O114" s="109" t="s">
        <v>83</v>
      </c>
      <c r="P114" s="110">
        <f>P113-P112</f>
        <v>1767.5385944843292</v>
      </c>
      <c r="Q114" s="121">
        <f t="shared" si="31"/>
        <v>1</v>
      </c>
      <c r="R114" s="121">
        <f t="shared" si="32"/>
        <v>1</v>
      </c>
    </row>
    <row r="115" spans="1:18">
      <c r="A115" s="93" t="s">
        <v>122</v>
      </c>
      <c r="C115" s="92">
        <f t="shared" si="28"/>
        <v>16390657.887218049</v>
      </c>
      <c r="D115" s="92">
        <f t="shared" si="28"/>
        <v>17344210</v>
      </c>
      <c r="E115" s="92"/>
      <c r="F115" s="147">
        <v>3.99</v>
      </c>
      <c r="G115" s="95"/>
      <c r="H115" s="96">
        <f t="shared" si="29"/>
        <v>65398725</v>
      </c>
      <c r="I115" s="96">
        <f t="shared" si="29"/>
        <v>69203398</v>
      </c>
      <c r="J115" s="92"/>
      <c r="K115" s="147">
        <f>ROUND(F115*(1+$P$117),2)</f>
        <v>4.3600000000000003</v>
      </c>
      <c r="L115" s="95"/>
      <c r="M115" s="96">
        <f t="shared" si="30"/>
        <v>75620756</v>
      </c>
      <c r="O115" s="103" t="s">
        <v>86</v>
      </c>
      <c r="P115" s="148">
        <f>P112/(I123+I179)-1</f>
        <v>6.6733169576471907E-2</v>
      </c>
      <c r="Q115" s="121">
        <f t="shared" si="31"/>
        <v>1.0927318295739348</v>
      </c>
      <c r="R115" s="121">
        <f t="shared" si="32"/>
        <v>1.0927318337749832</v>
      </c>
    </row>
    <row r="116" spans="1:18">
      <c r="A116" s="93" t="s">
        <v>123</v>
      </c>
      <c r="C116" s="92">
        <f t="shared" si="28"/>
        <v>6036337.5094197905</v>
      </c>
      <c r="D116" s="92">
        <f t="shared" si="28"/>
        <v>6387053</v>
      </c>
      <c r="E116" s="92"/>
      <c r="F116" s="147">
        <v>13.27</v>
      </c>
      <c r="G116" s="95"/>
      <c r="H116" s="96">
        <f t="shared" si="29"/>
        <v>80102199</v>
      </c>
      <c r="I116" s="96">
        <f t="shared" si="29"/>
        <v>84756193</v>
      </c>
      <c r="J116" s="92"/>
      <c r="K116" s="147">
        <f t="shared" ref="K116:K117" si="33">ROUND(F116*(1+$P$117),2)</f>
        <v>14.49</v>
      </c>
      <c r="L116" s="95"/>
      <c r="M116" s="96">
        <f t="shared" si="30"/>
        <v>92548398</v>
      </c>
      <c r="O116" s="106" t="s">
        <v>88</v>
      </c>
      <c r="P116" s="148">
        <f>P113/(I123+I179)-1</f>
        <v>6.6736474674143897E-2</v>
      </c>
      <c r="Q116" s="121">
        <f t="shared" si="31"/>
        <v>1.0919366993217785</v>
      </c>
      <c r="R116" s="121">
        <f t="shared" si="32"/>
        <v>1.0919367036695478</v>
      </c>
    </row>
    <row r="117" spans="1:18">
      <c r="A117" s="93" t="s">
        <v>124</v>
      </c>
      <c r="C117" s="92">
        <f t="shared" si="28"/>
        <v>10354320.573253868</v>
      </c>
      <c r="D117" s="92">
        <f t="shared" si="28"/>
        <v>10957157</v>
      </c>
      <c r="E117" s="92"/>
      <c r="F117" s="147">
        <v>11.74</v>
      </c>
      <c r="G117" s="95"/>
      <c r="H117" s="96">
        <f t="shared" si="29"/>
        <v>121559724</v>
      </c>
      <c r="I117" s="96">
        <f t="shared" si="29"/>
        <v>128637023</v>
      </c>
      <c r="J117" s="92"/>
      <c r="K117" s="147">
        <f t="shared" si="33"/>
        <v>12.82</v>
      </c>
      <c r="L117" s="95"/>
      <c r="M117" s="96">
        <f t="shared" si="30"/>
        <v>140470753</v>
      </c>
      <c r="O117" s="103" t="s">
        <v>125</v>
      </c>
      <c r="P117" s="149">
        <f>(P113-SUM(M113:M114,M120:M121,M169:M170,M176:M177)-SUM(I118:I119,I174:I175)*(1+P116/2))/SUM(I112,I115:I117,I168,I171:I173)-1</f>
        <v>9.1878268010903597E-2</v>
      </c>
      <c r="Q117" s="121">
        <f t="shared" si="31"/>
        <v>1.091993185689949</v>
      </c>
      <c r="R117" s="121">
        <f t="shared" si="32"/>
        <v>1.0919931892391508</v>
      </c>
    </row>
    <row r="118" spans="1:18">
      <c r="A118" s="93" t="s">
        <v>126</v>
      </c>
      <c r="C118" s="92">
        <f t="shared" si="28"/>
        <v>2112413469.5102398</v>
      </c>
      <c r="D118" s="92">
        <f t="shared" si="28"/>
        <v>2270068657.2900715</v>
      </c>
      <c r="E118" s="92"/>
      <c r="F118" s="150">
        <v>3.8877999999999999</v>
      </c>
      <c r="G118" s="120" t="s">
        <v>90</v>
      </c>
      <c r="H118" s="96">
        <f>ROUND($F118*C118/100,0)</f>
        <v>82126411</v>
      </c>
      <c r="I118" s="96">
        <f>ROUND($F118*D118/100,0)</f>
        <v>88255729</v>
      </c>
      <c r="J118" s="92"/>
      <c r="K118" s="150">
        <f>ROUND(F118*(1+$P$116/2),$P$9)</f>
        <v>4.0175000000000001</v>
      </c>
      <c r="L118" s="120" t="s">
        <v>90</v>
      </c>
      <c r="M118" s="96">
        <f>ROUND($K118*D118/100,0)</f>
        <v>91200008</v>
      </c>
      <c r="O118" s="124"/>
      <c r="P118" s="151"/>
      <c r="Q118" s="121">
        <f t="shared" si="31"/>
        <v>1.0333607695869129</v>
      </c>
      <c r="R118" s="121">
        <f t="shared" si="32"/>
        <v>1.0333607691348854</v>
      </c>
    </row>
    <row r="119" spans="1:18">
      <c r="A119" s="93" t="s">
        <v>127</v>
      </c>
      <c r="C119" s="92">
        <f t="shared" si="28"/>
        <v>3654374191.6813564</v>
      </c>
      <c r="D119" s="92">
        <f t="shared" si="28"/>
        <v>3873587247.3468466</v>
      </c>
      <c r="E119" s="92"/>
      <c r="F119" s="150">
        <v>3.4405000000000001</v>
      </c>
      <c r="G119" s="120" t="s">
        <v>90</v>
      </c>
      <c r="H119" s="96">
        <f>ROUND($F119*C119/100,0)</f>
        <v>125728744</v>
      </c>
      <c r="I119" s="96">
        <f>ROUND($F119*D119/100,0)</f>
        <v>133270769</v>
      </c>
      <c r="J119" s="92"/>
      <c r="K119" s="150">
        <f>ROUND((P113-SUM(M112:M118,M120:M121,M168:M174,M176:M177))/SUM(D119,D175)*100,$P$9)</f>
        <v>3.5527000000000002</v>
      </c>
      <c r="L119" s="120" t="s">
        <v>90</v>
      </c>
      <c r="M119" s="96">
        <f>ROUND($K119*D119/100,0)</f>
        <v>137616934</v>
      </c>
      <c r="O119" s="99"/>
      <c r="P119" s="152"/>
      <c r="Q119" s="121">
        <f t="shared" si="31"/>
        <v>1.0326115390204913</v>
      </c>
      <c r="R119" s="121">
        <f t="shared" si="32"/>
        <v>1.0326115398943936</v>
      </c>
    </row>
    <row r="120" spans="1:18">
      <c r="A120" s="93" t="s">
        <v>128</v>
      </c>
      <c r="C120" s="92">
        <f t="shared" si="28"/>
        <v>630615.8125</v>
      </c>
      <c r="D120" s="92">
        <f t="shared" si="28"/>
        <v>669858</v>
      </c>
      <c r="E120" s="92"/>
      <c r="F120" s="95">
        <v>-0.96</v>
      </c>
      <c r="G120" s="95"/>
      <c r="H120" s="96">
        <f>ROUND($F120*C120,0)</f>
        <v>-605391</v>
      </c>
      <c r="I120" s="96">
        <f>ROUND($F120*D120,0)</f>
        <v>-643064</v>
      </c>
      <c r="J120" s="92"/>
      <c r="K120" s="95">
        <f>F120</f>
        <v>-0.96</v>
      </c>
      <c r="L120" s="95"/>
      <c r="M120" s="96">
        <f>ROUND($K120*D120,0)</f>
        <v>-643064</v>
      </c>
      <c r="O120" s="89"/>
      <c r="P120" s="153"/>
      <c r="Q120" s="121">
        <f t="shared" si="31"/>
        <v>1</v>
      </c>
      <c r="R120" s="121">
        <f t="shared" si="32"/>
        <v>1</v>
      </c>
    </row>
    <row r="121" spans="1:18">
      <c r="A121" s="129" t="s">
        <v>101</v>
      </c>
      <c r="C121" s="92">
        <f t="shared" si="28"/>
        <v>2368200</v>
      </c>
      <c r="D121" s="92">
        <f t="shared" si="28"/>
        <v>2500892</v>
      </c>
      <c r="E121" s="92"/>
      <c r="F121" s="150">
        <v>7.125</v>
      </c>
      <c r="G121" s="120" t="s">
        <v>90</v>
      </c>
      <c r="H121" s="96">
        <f>ROUND($F121*C121/100,0)</f>
        <v>168734</v>
      </c>
      <c r="I121" s="96">
        <f>ROUND($F121*D121/100,0)</f>
        <v>178189</v>
      </c>
      <c r="J121" s="92"/>
      <c r="K121" s="131">
        <f>F121</f>
        <v>7.125</v>
      </c>
      <c r="L121" s="120" t="s">
        <v>90</v>
      </c>
      <c r="M121" s="96">
        <f>ROUND($K121*D121/100,0)</f>
        <v>178189</v>
      </c>
      <c r="O121" s="72">
        <f>F121</f>
        <v>7.125</v>
      </c>
      <c r="P121" s="121">
        <f>SUM(M118:M119,M174:M175)/SUM(I118:I119,I174:I175)</f>
        <v>1.0329062484855018</v>
      </c>
      <c r="Q121" s="121">
        <f t="shared" si="31"/>
        <v>1</v>
      </c>
      <c r="R121" s="121">
        <f t="shared" si="32"/>
        <v>1</v>
      </c>
    </row>
    <row r="122" spans="1:18">
      <c r="A122" s="129" t="s">
        <v>103</v>
      </c>
      <c r="B122" s="130"/>
      <c r="C122" s="92">
        <f>C136+C150+C164</f>
        <v>39569225</v>
      </c>
      <c r="D122" s="92"/>
      <c r="E122" s="92"/>
      <c r="F122" s="131"/>
      <c r="G122" s="9"/>
      <c r="H122" s="96">
        <f>H136+H150+H164</f>
        <v>3377461.7838672101</v>
      </c>
      <c r="I122" s="96"/>
      <c r="J122" s="92"/>
      <c r="K122" s="131"/>
      <c r="L122" s="9"/>
      <c r="M122" s="96"/>
      <c r="N122" s="121"/>
      <c r="P122" s="121"/>
      <c r="Q122" s="102"/>
      <c r="R122" s="121" t="e">
        <f t="shared" si="32"/>
        <v>#DIV/0!</v>
      </c>
    </row>
    <row r="123" spans="1:18" ht="16.5" thickBot="1">
      <c r="A123" s="133" t="s">
        <v>105</v>
      </c>
      <c r="B123" s="134"/>
      <c r="C123" s="135">
        <f t="shared" ref="C123" si="34">C137+C151+C165</f>
        <v>5808725086.191597</v>
      </c>
      <c r="D123" s="135">
        <f>D137+D151+D165</f>
        <v>6146156796.6369171</v>
      </c>
      <c r="E123" s="135"/>
      <c r="F123" s="134"/>
      <c r="G123" s="134"/>
      <c r="H123" s="136">
        <f>SUM(H112:H122)</f>
        <v>486453711.78386724</v>
      </c>
      <c r="I123" s="136">
        <f>SUM(I112:I122)</f>
        <v>512315006</v>
      </c>
      <c r="J123" s="135"/>
      <c r="K123" s="134"/>
      <c r="L123" s="134"/>
      <c r="M123" s="136">
        <f>SUM(M112:M122)</f>
        <v>546470810</v>
      </c>
      <c r="O123" s="93" t="s">
        <v>86</v>
      </c>
      <c r="P123" s="154">
        <f>M123/I123-1</f>
        <v>6.6669536515586714E-2</v>
      </c>
      <c r="R123" s="121">
        <f t="shared" si="32"/>
        <v>1.0666695365155867</v>
      </c>
    </row>
    <row r="124" spans="1:18" ht="16.5" thickTop="1">
      <c r="C124" s="92"/>
      <c r="D124" s="92"/>
      <c r="E124" s="92"/>
      <c r="J124" s="92"/>
      <c r="R124" s="121" t="e">
        <f t="shared" ref="R124:R165" si="35">M124/H124</f>
        <v>#DIV/0!</v>
      </c>
    </row>
    <row r="125" spans="1:18">
      <c r="A125" s="90" t="s">
        <v>429</v>
      </c>
      <c r="C125" s="92"/>
      <c r="D125" s="92"/>
      <c r="E125" s="92"/>
      <c r="J125" s="92"/>
      <c r="R125" s="121" t="e">
        <f t="shared" si="35"/>
        <v>#DIV/0!</v>
      </c>
    </row>
    <row r="126" spans="1:18">
      <c r="A126" s="93" t="s">
        <v>121</v>
      </c>
      <c r="C126" s="92">
        <v>148474.691132076</v>
      </c>
      <c r="D126" s="92">
        <v>149633.66703845051</v>
      </c>
      <c r="E126" s="92"/>
      <c r="F126" s="147">
        <v>53</v>
      </c>
      <c r="G126" s="95"/>
      <c r="H126" s="96">
        <f t="shared" ref="H126:I131" si="36">ROUND($F126*C126,0)</f>
        <v>7869159</v>
      </c>
      <c r="I126" s="96">
        <f t="shared" si="36"/>
        <v>7930584</v>
      </c>
      <c r="J126" s="92"/>
      <c r="K126" s="147">
        <f>K$112</f>
        <v>58</v>
      </c>
      <c r="L126" s="95"/>
      <c r="M126" s="96">
        <f t="shared" ref="M126:M131" si="37">ROUND($K126*D126,0)</f>
        <v>8678753</v>
      </c>
      <c r="R126" s="121">
        <f t="shared" si="35"/>
        <v>1.102881896273795</v>
      </c>
    </row>
    <row r="127" spans="1:18">
      <c r="A127" s="93" t="s">
        <v>84</v>
      </c>
      <c r="C127" s="92">
        <v>0</v>
      </c>
      <c r="D127" s="92">
        <f>ROUND($C127/$C126*D126,0)</f>
        <v>0</v>
      </c>
      <c r="E127" s="92"/>
      <c r="F127" s="147">
        <v>2</v>
      </c>
      <c r="G127" s="95"/>
      <c r="H127" s="96">
        <f t="shared" si="36"/>
        <v>0</v>
      </c>
      <c r="I127" s="96">
        <f t="shared" si="36"/>
        <v>0</v>
      </c>
      <c r="J127" s="92"/>
      <c r="K127" s="147">
        <f>K$113</f>
        <v>2</v>
      </c>
      <c r="L127" s="95"/>
      <c r="M127" s="96">
        <f t="shared" si="37"/>
        <v>0</v>
      </c>
      <c r="R127" s="121" t="e">
        <f t="shared" si="35"/>
        <v>#DIV/0!</v>
      </c>
    </row>
    <row r="128" spans="1:18">
      <c r="A128" s="93" t="s">
        <v>87</v>
      </c>
      <c r="C128" s="92">
        <v>80292</v>
      </c>
      <c r="D128" s="92">
        <v>104009.34685956115</v>
      </c>
      <c r="E128" s="92"/>
      <c r="F128" s="95">
        <v>-0.5</v>
      </c>
      <c r="G128" s="95"/>
      <c r="H128" s="96">
        <f t="shared" si="36"/>
        <v>-40146</v>
      </c>
      <c r="I128" s="96">
        <f t="shared" si="36"/>
        <v>-52005</v>
      </c>
      <c r="J128" s="92"/>
      <c r="K128" s="95">
        <f>K$114</f>
        <v>-0.5</v>
      </c>
      <c r="L128" s="95"/>
      <c r="M128" s="96">
        <f t="shared" si="37"/>
        <v>-52005</v>
      </c>
      <c r="R128" s="121">
        <f t="shared" si="35"/>
        <v>1.2953968016738904</v>
      </c>
    </row>
    <row r="129" spans="1:18">
      <c r="A129" s="93" t="s">
        <v>122</v>
      </c>
      <c r="C129" s="92">
        <v>14408669</v>
      </c>
      <c r="D129" s="92">
        <f>ROUND(D$137*$C129/$C$137,0)</f>
        <v>15215177</v>
      </c>
      <c r="E129" s="92"/>
      <c r="F129" s="147">
        <v>3.99</v>
      </c>
      <c r="G129" s="95"/>
      <c r="H129" s="96">
        <f t="shared" si="36"/>
        <v>57490589</v>
      </c>
      <c r="I129" s="96">
        <f t="shared" si="36"/>
        <v>60708556</v>
      </c>
      <c r="J129" s="92"/>
      <c r="K129" s="147">
        <f>K$115</f>
        <v>4.3600000000000003</v>
      </c>
      <c r="L129" s="95"/>
      <c r="M129" s="96">
        <f t="shared" si="37"/>
        <v>66338172</v>
      </c>
      <c r="R129" s="121">
        <f t="shared" si="35"/>
        <v>1.1538961968192742</v>
      </c>
    </row>
    <row r="130" spans="1:18">
      <c r="A130" s="93" t="s">
        <v>123</v>
      </c>
      <c r="C130" s="92">
        <v>5332215.1755840704</v>
      </c>
      <c r="D130" s="92">
        <f>ROUND(D$137*$C130/$C$137,0)</f>
        <v>5630680</v>
      </c>
      <c r="E130" s="92"/>
      <c r="F130" s="147">
        <v>13.27</v>
      </c>
      <c r="G130" s="95"/>
      <c r="H130" s="96">
        <f t="shared" si="36"/>
        <v>70758495</v>
      </c>
      <c r="I130" s="96">
        <f t="shared" si="36"/>
        <v>74719124</v>
      </c>
      <c r="J130" s="92"/>
      <c r="K130" s="147">
        <f>K$116</f>
        <v>14.49</v>
      </c>
      <c r="L130" s="95"/>
      <c r="M130" s="96">
        <f t="shared" si="37"/>
        <v>81588553</v>
      </c>
      <c r="R130" s="121">
        <f t="shared" si="35"/>
        <v>1.1530566471206036</v>
      </c>
    </row>
    <row r="131" spans="1:18">
      <c r="A131" s="93" t="s">
        <v>124</v>
      </c>
      <c r="C131" s="92">
        <v>9076454.0076661296</v>
      </c>
      <c r="D131" s="92">
        <f t="shared" ref="D131" si="38">ROUND(D$137*$C131/$C$137,0)</f>
        <v>9584498</v>
      </c>
      <c r="E131" s="92"/>
      <c r="F131" s="147">
        <v>11.74</v>
      </c>
      <c r="G131" s="95"/>
      <c r="H131" s="96">
        <f t="shared" si="36"/>
        <v>106557570</v>
      </c>
      <c r="I131" s="96">
        <f t="shared" si="36"/>
        <v>112522007</v>
      </c>
      <c r="J131" s="92"/>
      <c r="K131" s="147">
        <f>K$117</f>
        <v>12.82</v>
      </c>
      <c r="L131" s="95"/>
      <c r="M131" s="96">
        <f t="shared" si="37"/>
        <v>122873264</v>
      </c>
      <c r="R131" s="121">
        <f t="shared" si="35"/>
        <v>1.1531162356649087</v>
      </c>
    </row>
    <row r="132" spans="1:18">
      <c r="A132" s="93" t="s">
        <v>126</v>
      </c>
      <c r="C132" s="92">
        <v>1869391155.1384337</v>
      </c>
      <c r="D132" s="92">
        <v>2004812210.2148268</v>
      </c>
      <c r="E132" s="92"/>
      <c r="F132" s="150">
        <v>3.8877999999999999</v>
      </c>
      <c r="G132" s="120" t="s">
        <v>90</v>
      </c>
      <c r="H132" s="96">
        <f>ROUND($F132*C132/100,0)</f>
        <v>72678189</v>
      </c>
      <c r="I132" s="96">
        <f>ROUND($F132*D132/100,0)</f>
        <v>77943089</v>
      </c>
      <c r="J132" s="92"/>
      <c r="K132" s="150">
        <f>K$118</f>
        <v>4.0175000000000001</v>
      </c>
      <c r="L132" s="120" t="s">
        <v>90</v>
      </c>
      <c r="M132" s="96">
        <f>ROUND($K132*D132/100,0)</f>
        <v>80543331</v>
      </c>
      <c r="R132" s="121">
        <f t="shared" si="35"/>
        <v>1.1082187394625367</v>
      </c>
    </row>
    <row r="133" spans="1:18">
      <c r="A133" s="93" t="s">
        <v>127</v>
      </c>
      <c r="C133" s="92">
        <v>3218287891.1010556</v>
      </c>
      <c r="D133" s="92">
        <f>D137-D132-D135</f>
        <v>3408878524.8526363</v>
      </c>
      <c r="E133" s="92"/>
      <c r="F133" s="150">
        <v>3.4405000000000001</v>
      </c>
      <c r="G133" s="120" t="s">
        <v>90</v>
      </c>
      <c r="H133" s="96">
        <f>ROUND($F133*C133/100,0)</f>
        <v>110725195</v>
      </c>
      <c r="I133" s="96">
        <f>ROUND($F133*D133/100,0)</f>
        <v>117282466</v>
      </c>
      <c r="J133" s="92"/>
      <c r="K133" s="150">
        <f>K$119</f>
        <v>3.5527000000000002</v>
      </c>
      <c r="L133" s="120" t="s">
        <v>90</v>
      </c>
      <c r="M133" s="96">
        <f>ROUND($K133*D133/100,0)</f>
        <v>121107227</v>
      </c>
      <c r="R133" s="121">
        <f t="shared" si="35"/>
        <v>1.0937639531815682</v>
      </c>
    </row>
    <row r="134" spans="1:18">
      <c r="A134" s="93" t="s">
        <v>128</v>
      </c>
      <c r="C134" s="92">
        <v>415658.41666666698</v>
      </c>
      <c r="D134" s="92">
        <f>ROUND(D$137*$C134/$C$137,0)</f>
        <v>438924</v>
      </c>
      <c r="E134" s="92"/>
      <c r="F134" s="95">
        <v>-0.96</v>
      </c>
      <c r="G134" s="95"/>
      <c r="H134" s="96">
        <f>ROUND($F134*C134,0)</f>
        <v>-399032</v>
      </c>
      <c r="I134" s="96">
        <f>ROUND($F134*D134,0)</f>
        <v>-421367</v>
      </c>
      <c r="J134" s="92"/>
      <c r="K134" s="95">
        <f>K$120</f>
        <v>-0.96</v>
      </c>
      <c r="L134" s="95"/>
      <c r="M134" s="96">
        <f>ROUND($K134*D134,0)</f>
        <v>-421367</v>
      </c>
      <c r="R134" s="121">
        <f t="shared" si="35"/>
        <v>1.0559729545500109</v>
      </c>
    </row>
    <row r="135" spans="1:18">
      <c r="A135" s="129" t="s">
        <v>101</v>
      </c>
      <c r="C135" s="92">
        <v>2361000</v>
      </c>
      <c r="D135" s="92">
        <f>ROUND(D$137*$C135/$C$137,0)</f>
        <v>2493154</v>
      </c>
      <c r="E135" s="92"/>
      <c r="F135" s="150">
        <v>7.125</v>
      </c>
      <c r="G135" s="120" t="s">
        <v>90</v>
      </c>
      <c r="H135" s="96">
        <f>ROUND($F135*C135/100,0)</f>
        <v>168221</v>
      </c>
      <c r="I135" s="96">
        <f>ROUND($F135*D135/100,0)</f>
        <v>177637</v>
      </c>
      <c r="J135" s="92"/>
      <c r="K135" s="150">
        <f>K$121</f>
        <v>7.125</v>
      </c>
      <c r="L135" s="120" t="s">
        <v>90</v>
      </c>
      <c r="M135" s="96">
        <f>ROUND($K135*D135/100,0)</f>
        <v>177637</v>
      </c>
      <c r="R135" s="121">
        <f t="shared" si="35"/>
        <v>1.0559739866009594</v>
      </c>
    </row>
    <row r="136" spans="1:18">
      <c r="A136" s="129" t="s">
        <v>103</v>
      </c>
      <c r="B136" s="130"/>
      <c r="C136" s="92">
        <v>39049043</v>
      </c>
      <c r="D136" s="92"/>
      <c r="E136" s="92"/>
      <c r="F136" s="131"/>
      <c r="G136" s="9"/>
      <c r="H136" s="96">
        <v>3236482</v>
      </c>
      <c r="I136" s="96"/>
      <c r="J136" s="92"/>
      <c r="K136" s="131"/>
      <c r="L136" s="9"/>
      <c r="M136" s="96"/>
      <c r="N136" s="121"/>
      <c r="O136" s="121"/>
      <c r="P136" s="121"/>
      <c r="R136" s="121">
        <f t="shared" si="35"/>
        <v>0</v>
      </c>
    </row>
    <row r="137" spans="1:18" ht="16.5" thickBot="1">
      <c r="A137" s="133" t="s">
        <v>105</v>
      </c>
      <c r="B137" s="134"/>
      <c r="C137" s="135">
        <f>SUM(C132:C133,C135:C136)</f>
        <v>5129089089.2394896</v>
      </c>
      <c r="D137" s="135">
        <v>5416183889.0674629</v>
      </c>
      <c r="E137" s="135"/>
      <c r="F137" s="134"/>
      <c r="G137" s="134"/>
      <c r="H137" s="136">
        <f>SUM(H126:H136)</f>
        <v>429044722</v>
      </c>
      <c r="I137" s="136">
        <f>SUM(I126:I136)</f>
        <v>450810091</v>
      </c>
      <c r="J137" s="135"/>
      <c r="K137" s="134"/>
      <c r="L137" s="134"/>
      <c r="M137" s="136">
        <f>SUM(M126:M136)</f>
        <v>480833565</v>
      </c>
      <c r="O137" s="93" t="s">
        <v>86</v>
      </c>
      <c r="P137" s="154">
        <f>M137/I137-1</f>
        <v>6.6598939552131808E-2</v>
      </c>
      <c r="R137" s="121">
        <f t="shared" si="35"/>
        <v>1.1207073303654345</v>
      </c>
    </row>
    <row r="138" spans="1:18" ht="16.5" thickTop="1">
      <c r="R138" s="121" t="e">
        <f t="shared" si="35"/>
        <v>#DIV/0!</v>
      </c>
    </row>
    <row r="139" spans="1:18">
      <c r="A139" s="90" t="s">
        <v>430</v>
      </c>
      <c r="C139" s="92"/>
      <c r="D139" s="92"/>
      <c r="E139" s="92"/>
      <c r="J139" s="92"/>
      <c r="R139" s="121" t="e">
        <f t="shared" si="35"/>
        <v>#DIV/0!</v>
      </c>
    </row>
    <row r="140" spans="1:18">
      <c r="A140" s="93" t="s">
        <v>121</v>
      </c>
      <c r="C140" s="92">
        <v>10684.8986792453</v>
      </c>
      <c r="D140" s="92">
        <v>10824</v>
      </c>
      <c r="E140" s="92"/>
      <c r="F140" s="147">
        <v>53</v>
      </c>
      <c r="G140" s="95"/>
      <c r="H140" s="96">
        <f t="shared" ref="H140:I145" si="39">ROUND($F140*C140,0)</f>
        <v>566300</v>
      </c>
      <c r="I140" s="96">
        <f t="shared" si="39"/>
        <v>573672</v>
      </c>
      <c r="J140" s="92"/>
      <c r="K140" s="147">
        <f>K$112</f>
        <v>58</v>
      </c>
      <c r="L140" s="95"/>
      <c r="M140" s="96">
        <f t="shared" ref="M140:M145" si="40">ROUND($K140*D140,0)</f>
        <v>627792</v>
      </c>
      <c r="R140" s="121">
        <f t="shared" si="35"/>
        <v>1.1085855553593502</v>
      </c>
    </row>
    <row r="141" spans="1:18">
      <c r="A141" s="93" t="s">
        <v>84</v>
      </c>
      <c r="C141" s="92">
        <v>0</v>
      </c>
      <c r="D141" s="92">
        <f>ROUND($C141/$C140*D140,0)</f>
        <v>0</v>
      </c>
      <c r="E141" s="92"/>
      <c r="F141" s="147">
        <v>2</v>
      </c>
      <c r="G141" s="95"/>
      <c r="H141" s="96">
        <f t="shared" si="39"/>
        <v>0</v>
      </c>
      <c r="I141" s="96">
        <f t="shared" si="39"/>
        <v>0</v>
      </c>
      <c r="J141" s="92"/>
      <c r="K141" s="147">
        <f>K$113</f>
        <v>2</v>
      </c>
      <c r="L141" s="95"/>
      <c r="M141" s="96">
        <f t="shared" si="40"/>
        <v>0</v>
      </c>
      <c r="R141" s="121" t="e">
        <f t="shared" si="35"/>
        <v>#DIV/0!</v>
      </c>
    </row>
    <row r="142" spans="1:18">
      <c r="A142" s="93" t="s">
        <v>87</v>
      </c>
      <c r="C142" s="92">
        <v>5151</v>
      </c>
      <c r="D142" s="92">
        <v>7523.6889711364229</v>
      </c>
      <c r="E142" s="92"/>
      <c r="F142" s="95">
        <v>-0.5</v>
      </c>
      <c r="G142" s="95"/>
      <c r="H142" s="96">
        <f t="shared" si="39"/>
        <v>-2576</v>
      </c>
      <c r="I142" s="96">
        <f t="shared" si="39"/>
        <v>-3762</v>
      </c>
      <c r="J142" s="92"/>
      <c r="K142" s="95">
        <f>K$114</f>
        <v>-0.5</v>
      </c>
      <c r="L142" s="95"/>
      <c r="M142" s="96">
        <f t="shared" si="40"/>
        <v>-3762</v>
      </c>
      <c r="R142" s="121">
        <f t="shared" si="35"/>
        <v>1.4604037267080745</v>
      </c>
    </row>
    <row r="143" spans="1:18">
      <c r="A143" s="93" t="s">
        <v>122</v>
      </c>
      <c r="C143" s="92">
        <v>1658466.4761904799</v>
      </c>
      <c r="D143" s="92">
        <f>ROUND($C143/$C$151*D$151,0)</f>
        <v>1782379</v>
      </c>
      <c r="E143" s="92"/>
      <c r="F143" s="147">
        <v>3.99</v>
      </c>
      <c r="G143" s="95"/>
      <c r="H143" s="96">
        <f t="shared" si="39"/>
        <v>6617281</v>
      </c>
      <c r="I143" s="96">
        <f t="shared" si="39"/>
        <v>7111692</v>
      </c>
      <c r="J143" s="92"/>
      <c r="K143" s="147">
        <f>K$115</f>
        <v>4.3600000000000003</v>
      </c>
      <c r="L143" s="95"/>
      <c r="M143" s="96">
        <f t="shared" si="40"/>
        <v>7771172</v>
      </c>
      <c r="R143" s="121">
        <f t="shared" si="35"/>
        <v>1.1743753967830595</v>
      </c>
    </row>
    <row r="144" spans="1:18">
      <c r="A144" s="93" t="s">
        <v>123</v>
      </c>
      <c r="C144" s="92">
        <v>593044.04144687299</v>
      </c>
      <c r="D144" s="92">
        <f>ROUND($C144/$C$151*D$151,0)</f>
        <v>637353</v>
      </c>
      <c r="E144" s="92"/>
      <c r="F144" s="147">
        <v>13.27</v>
      </c>
      <c r="G144" s="95"/>
      <c r="H144" s="96">
        <f t="shared" si="39"/>
        <v>7869694</v>
      </c>
      <c r="I144" s="96">
        <f t="shared" si="39"/>
        <v>8457674</v>
      </c>
      <c r="J144" s="92"/>
      <c r="K144" s="147">
        <f>K$116</f>
        <v>14.49</v>
      </c>
      <c r="L144" s="95"/>
      <c r="M144" s="96">
        <f t="shared" si="40"/>
        <v>9235245</v>
      </c>
      <c r="R144" s="121">
        <f t="shared" si="35"/>
        <v>1.1735202156526034</v>
      </c>
    </row>
    <row r="145" spans="1:18">
      <c r="A145" s="93" t="s">
        <v>124</v>
      </c>
      <c r="C145" s="92">
        <v>1065422.4548551999</v>
      </c>
      <c r="D145" s="92">
        <f>ROUND($C145/$C$151*D$151,0)</f>
        <v>1145026</v>
      </c>
      <c r="E145" s="92"/>
      <c r="F145" s="147">
        <v>11.74</v>
      </c>
      <c r="G145" s="95"/>
      <c r="H145" s="96">
        <f t="shared" si="39"/>
        <v>12508060</v>
      </c>
      <c r="I145" s="96">
        <f t="shared" si="39"/>
        <v>13442605</v>
      </c>
      <c r="J145" s="92"/>
      <c r="K145" s="147">
        <f>K$117</f>
        <v>12.82</v>
      </c>
      <c r="L145" s="95"/>
      <c r="M145" s="96">
        <f t="shared" si="40"/>
        <v>14679233</v>
      </c>
      <c r="R145" s="121">
        <f t="shared" si="35"/>
        <v>1.1735819143816066</v>
      </c>
    </row>
    <row r="146" spans="1:18">
      <c r="A146" s="93" t="s">
        <v>126</v>
      </c>
      <c r="C146" s="92">
        <v>197433451</v>
      </c>
      <c r="D146" s="92">
        <v>214486627.07722425</v>
      </c>
      <c r="E146" s="92"/>
      <c r="F146" s="150">
        <v>3.8877999999999999</v>
      </c>
      <c r="G146" s="120" t="s">
        <v>90</v>
      </c>
      <c r="H146" s="96">
        <f>ROUND($F146*C146/100,0)</f>
        <v>7675818</v>
      </c>
      <c r="I146" s="96">
        <f>ROUND($F146*D146/100,0)</f>
        <v>8338811</v>
      </c>
      <c r="J146" s="92"/>
      <c r="K146" s="150">
        <f>K$118</f>
        <v>4.0175000000000001</v>
      </c>
      <c r="L146" s="120" t="s">
        <v>90</v>
      </c>
      <c r="M146" s="96">
        <f>ROUND($K146*D146/100,0)</f>
        <v>8617000</v>
      </c>
      <c r="R146" s="121">
        <f t="shared" si="35"/>
        <v>1.1226165081037618</v>
      </c>
    </row>
    <row r="147" spans="1:18">
      <c r="A147" s="93" t="s">
        <v>127</v>
      </c>
      <c r="C147" s="92">
        <v>344642303</v>
      </c>
      <c r="D147" s="92">
        <f>D151-D146-D149</f>
        <v>368230985.76502693</v>
      </c>
      <c r="E147" s="92"/>
      <c r="F147" s="150">
        <v>3.4405000000000001</v>
      </c>
      <c r="G147" s="120" t="s">
        <v>90</v>
      </c>
      <c r="H147" s="96">
        <f>ROUND($F147*C147/100,0)</f>
        <v>11857418</v>
      </c>
      <c r="I147" s="96">
        <f>ROUND($F147*D147/100,0)</f>
        <v>12668987</v>
      </c>
      <c r="J147" s="92"/>
      <c r="K147" s="150">
        <f>K$119</f>
        <v>3.5527000000000002</v>
      </c>
      <c r="L147" s="120" t="s">
        <v>90</v>
      </c>
      <c r="M147" s="96">
        <f>ROUND($K147*D147/100,0)</f>
        <v>13082142</v>
      </c>
      <c r="R147" s="121">
        <f t="shared" si="35"/>
        <v>1.1032875791340071</v>
      </c>
    </row>
    <row r="148" spans="1:18">
      <c r="A148" s="93" t="s">
        <v>128</v>
      </c>
      <c r="C148" s="92">
        <v>188733.39583333299</v>
      </c>
      <c r="D148" s="92">
        <f>ROUND($C148/$C$151*D$151,0)</f>
        <v>202835</v>
      </c>
      <c r="E148" s="92"/>
      <c r="F148" s="95">
        <v>-0.96</v>
      </c>
      <c r="G148" s="95"/>
      <c r="H148" s="96">
        <f>ROUND($F148*C148,0)</f>
        <v>-181184</v>
      </c>
      <c r="I148" s="96">
        <f>ROUND($F148*D148,0)</f>
        <v>-194722</v>
      </c>
      <c r="J148" s="92"/>
      <c r="K148" s="95">
        <f>K$120</f>
        <v>-0.96</v>
      </c>
      <c r="L148" s="95"/>
      <c r="M148" s="96">
        <f>ROUND($K148*D148,0)</f>
        <v>-194722</v>
      </c>
      <c r="R148" s="121">
        <f t="shared" si="35"/>
        <v>1.0747196220416815</v>
      </c>
    </row>
    <row r="149" spans="1:18">
      <c r="A149" s="129" t="s">
        <v>101</v>
      </c>
      <c r="C149" s="92">
        <v>7200</v>
      </c>
      <c r="D149" s="92">
        <f>ROUND($C149/$C$151*D$151,0)</f>
        <v>7738</v>
      </c>
      <c r="E149" s="92"/>
      <c r="F149" s="150">
        <v>7.125</v>
      </c>
      <c r="G149" s="120" t="s">
        <v>90</v>
      </c>
      <c r="H149" s="96">
        <f>ROUND($F149*C149/100,0)</f>
        <v>513</v>
      </c>
      <c r="I149" s="96">
        <f>ROUND($F149*D149/100,0)</f>
        <v>551</v>
      </c>
      <c r="J149" s="92"/>
      <c r="K149" s="150">
        <f>K$121</f>
        <v>7.125</v>
      </c>
      <c r="L149" s="120" t="s">
        <v>90</v>
      </c>
      <c r="M149" s="96">
        <f>ROUND($K149*D149/100,0)</f>
        <v>551</v>
      </c>
      <c r="R149" s="121">
        <f t="shared" si="35"/>
        <v>1.0740740740740742</v>
      </c>
    </row>
    <row r="150" spans="1:18">
      <c r="A150" s="129" t="s">
        <v>103</v>
      </c>
      <c r="B150" s="130"/>
      <c r="C150" s="92">
        <v>130879</v>
      </c>
      <c r="D150" s="92"/>
      <c r="E150" s="92"/>
      <c r="F150" s="131"/>
      <c r="G150" s="9"/>
      <c r="H150" s="96">
        <v>106169.78386721015</v>
      </c>
      <c r="I150" s="96"/>
      <c r="J150" s="92"/>
      <c r="K150" s="131"/>
      <c r="L150" s="9"/>
      <c r="M150" s="96"/>
      <c r="N150" s="121"/>
      <c r="O150" s="121"/>
      <c r="P150" s="121"/>
      <c r="R150" s="121">
        <f t="shared" si="35"/>
        <v>0</v>
      </c>
    </row>
    <row r="151" spans="1:18" ht="16.5" thickBot="1">
      <c r="A151" s="133" t="s">
        <v>105</v>
      </c>
      <c r="B151" s="134"/>
      <c r="C151" s="135">
        <f>SUM(C146:C147,C149:C150)</f>
        <v>542213833</v>
      </c>
      <c r="D151" s="135">
        <v>582725350.84225118</v>
      </c>
      <c r="E151" s="135"/>
      <c r="F151" s="134"/>
      <c r="G151" s="134"/>
      <c r="H151" s="136">
        <f>SUM(H140:H150)</f>
        <v>47017493.78386721</v>
      </c>
      <c r="I151" s="136">
        <f>SUM(I140:I150)</f>
        <v>50395508</v>
      </c>
      <c r="J151" s="135"/>
      <c r="K151" s="134"/>
      <c r="L151" s="134"/>
      <c r="M151" s="136">
        <f>SUM(M140:M150)</f>
        <v>53814651</v>
      </c>
      <c r="O151" s="93" t="s">
        <v>86</v>
      </c>
      <c r="P151" s="154">
        <f>M151/I151-1</f>
        <v>6.7846185814815163E-2</v>
      </c>
      <c r="R151" s="121">
        <f t="shared" si="35"/>
        <v>1.1445665574472847</v>
      </c>
    </row>
    <row r="152" spans="1:18" ht="16.5" thickTop="1">
      <c r="C152" s="92"/>
      <c r="D152" s="92"/>
      <c r="E152" s="92"/>
      <c r="J152" s="92"/>
      <c r="R152" s="121" t="e">
        <f t="shared" si="35"/>
        <v>#DIV/0!</v>
      </c>
    </row>
    <row r="153" spans="1:18">
      <c r="A153" s="90" t="s">
        <v>431</v>
      </c>
      <c r="C153" s="92"/>
      <c r="D153" s="92"/>
      <c r="E153" s="92"/>
      <c r="J153" s="92"/>
      <c r="R153" s="121" t="e">
        <f t="shared" si="35"/>
        <v>#DIV/0!</v>
      </c>
    </row>
    <row r="154" spans="1:18">
      <c r="A154" s="93" t="s">
        <v>121</v>
      </c>
      <c r="C154" s="92">
        <v>3871.8656603773602</v>
      </c>
      <c r="D154" s="92">
        <v>3955.7373461067955</v>
      </c>
      <c r="E154" s="92"/>
      <c r="F154" s="147">
        <v>53</v>
      </c>
      <c r="G154" s="95"/>
      <c r="H154" s="96">
        <f t="shared" ref="H154:I159" si="41">ROUND($F154*C154,0)</f>
        <v>205209</v>
      </c>
      <c r="I154" s="96">
        <f t="shared" si="41"/>
        <v>209654</v>
      </c>
      <c r="J154" s="92"/>
      <c r="K154" s="147">
        <f>K$112</f>
        <v>58</v>
      </c>
      <c r="L154" s="95"/>
      <c r="M154" s="96">
        <f t="shared" ref="M154:M159" si="42">ROUND($K154*D154,0)</f>
        <v>229433</v>
      </c>
      <c r="R154" s="121">
        <f t="shared" si="35"/>
        <v>1.1180455048267863</v>
      </c>
    </row>
    <row r="155" spans="1:18">
      <c r="A155" s="93" t="s">
        <v>84</v>
      </c>
      <c r="C155" s="92">
        <v>0</v>
      </c>
      <c r="D155" s="92">
        <f>ROUND($C155/$C154*D154,0)</f>
        <v>0</v>
      </c>
      <c r="E155" s="92"/>
      <c r="F155" s="147">
        <v>2</v>
      </c>
      <c r="G155" s="95"/>
      <c r="H155" s="96">
        <f t="shared" si="41"/>
        <v>0</v>
      </c>
      <c r="I155" s="96">
        <f t="shared" si="41"/>
        <v>0</v>
      </c>
      <c r="J155" s="92"/>
      <c r="K155" s="147">
        <f>K$113</f>
        <v>2</v>
      </c>
      <c r="L155" s="95"/>
      <c r="M155" s="96">
        <f t="shared" si="42"/>
        <v>0</v>
      </c>
      <c r="R155" s="121" t="e">
        <f t="shared" si="35"/>
        <v>#DIV/0!</v>
      </c>
    </row>
    <row r="156" spans="1:18">
      <c r="A156" s="93" t="s">
        <v>87</v>
      </c>
      <c r="C156" s="92">
        <v>1682</v>
      </c>
      <c r="D156" s="92">
        <v>2749.6061939778419</v>
      </c>
      <c r="E156" s="92"/>
      <c r="F156" s="95">
        <v>-0.5</v>
      </c>
      <c r="G156" s="95"/>
      <c r="H156" s="96">
        <f t="shared" si="41"/>
        <v>-841</v>
      </c>
      <c r="I156" s="96">
        <f t="shared" si="41"/>
        <v>-1375</v>
      </c>
      <c r="J156" s="92"/>
      <c r="K156" s="95">
        <f>K$114</f>
        <v>-0.5</v>
      </c>
      <c r="L156" s="95"/>
      <c r="M156" s="96">
        <f t="shared" si="42"/>
        <v>-1375</v>
      </c>
      <c r="R156" s="121">
        <f>M156/H156</f>
        <v>1.6349583828775267</v>
      </c>
    </row>
    <row r="157" spans="1:18">
      <c r="A157" s="93" t="s">
        <v>122</v>
      </c>
      <c r="C157" s="92">
        <v>323522.41102756897</v>
      </c>
      <c r="D157" s="92">
        <f>ROUND($C157/$C$165*D$165,0)</f>
        <v>346654</v>
      </c>
      <c r="E157" s="92"/>
      <c r="F157" s="147">
        <v>3.99</v>
      </c>
      <c r="G157" s="95"/>
      <c r="H157" s="96">
        <f t="shared" si="41"/>
        <v>1290854</v>
      </c>
      <c r="I157" s="96">
        <f t="shared" si="41"/>
        <v>1383149</v>
      </c>
      <c r="J157" s="92"/>
      <c r="K157" s="147">
        <f>K$115</f>
        <v>4.3600000000000003</v>
      </c>
      <c r="L157" s="95"/>
      <c r="M157" s="96">
        <f t="shared" si="42"/>
        <v>1511411</v>
      </c>
      <c r="R157" s="121">
        <f t="shared" si="35"/>
        <v>1.1708613057712181</v>
      </c>
    </row>
    <row r="158" spans="1:18">
      <c r="A158" s="93" t="s">
        <v>123</v>
      </c>
      <c r="C158" s="92">
        <v>111078.292388847</v>
      </c>
      <c r="D158" s="92">
        <f>ROUND($C158/$C$165*D$165,0)</f>
        <v>119020</v>
      </c>
      <c r="E158" s="92"/>
      <c r="F158" s="147">
        <v>13.27</v>
      </c>
      <c r="G158" s="95"/>
      <c r="H158" s="96">
        <f t="shared" si="41"/>
        <v>1474009</v>
      </c>
      <c r="I158" s="96">
        <f t="shared" si="41"/>
        <v>1579395</v>
      </c>
      <c r="J158" s="92"/>
      <c r="K158" s="147">
        <f>K$116</f>
        <v>14.49</v>
      </c>
      <c r="L158" s="95"/>
      <c r="M158" s="96">
        <f t="shared" si="42"/>
        <v>1724600</v>
      </c>
      <c r="R158" s="121">
        <f t="shared" si="35"/>
        <v>1.1700064246554804</v>
      </c>
    </row>
    <row r="159" spans="1:18">
      <c r="A159" s="93" t="s">
        <v>124</v>
      </c>
      <c r="C159" s="92">
        <v>212444.11073253801</v>
      </c>
      <c r="D159" s="92">
        <f>ROUND($C159/$C$165*D$165,0)</f>
        <v>227633</v>
      </c>
      <c r="E159" s="92"/>
      <c r="F159" s="147">
        <v>11.74</v>
      </c>
      <c r="G159" s="95"/>
      <c r="H159" s="96">
        <f t="shared" si="41"/>
        <v>2494094</v>
      </c>
      <c r="I159" s="96">
        <f t="shared" si="41"/>
        <v>2672411</v>
      </c>
      <c r="J159" s="92"/>
      <c r="K159" s="147">
        <f>K$117</f>
        <v>12.82</v>
      </c>
      <c r="L159" s="95"/>
      <c r="M159" s="96">
        <f t="shared" si="42"/>
        <v>2918255</v>
      </c>
      <c r="R159" s="121">
        <f t="shared" si="35"/>
        <v>1.1700661643065577</v>
      </c>
    </row>
    <row r="160" spans="1:18">
      <c r="A160" s="93" t="s">
        <v>126</v>
      </c>
      <c r="C160" s="92">
        <v>45588863.37180607</v>
      </c>
      <c r="D160" s="92">
        <v>50769819.998020269</v>
      </c>
      <c r="E160" s="92"/>
      <c r="F160" s="150">
        <v>3.8877999999999999</v>
      </c>
      <c r="G160" s="120" t="s">
        <v>90</v>
      </c>
      <c r="H160" s="96">
        <f>ROUND($F160*C160/100,0)</f>
        <v>1772404</v>
      </c>
      <c r="I160" s="96">
        <f>ROUND($F160*D160/100,0)</f>
        <v>1973829</v>
      </c>
      <c r="J160" s="92"/>
      <c r="K160" s="150">
        <f>K$118</f>
        <v>4.0175000000000001</v>
      </c>
      <c r="L160" s="120" t="s">
        <v>90</v>
      </c>
      <c r="M160" s="96">
        <f>ROUND($K160*D160/100,0)</f>
        <v>2039678</v>
      </c>
      <c r="R160" s="121">
        <f t="shared" si="35"/>
        <v>1.1507974479858993</v>
      </c>
    </row>
    <row r="161" spans="1:18">
      <c r="A161" s="93" t="s">
        <v>127</v>
      </c>
      <c r="C161" s="92">
        <v>91443997.580300882</v>
      </c>
      <c r="D161" s="92">
        <f>D165-D160-D163</f>
        <v>96477736.729182988</v>
      </c>
      <c r="E161" s="92"/>
      <c r="F161" s="150">
        <v>3.4405000000000001</v>
      </c>
      <c r="G161" s="120" t="s">
        <v>90</v>
      </c>
      <c r="H161" s="96">
        <f>ROUND($F161*C161/100,0)</f>
        <v>3146131</v>
      </c>
      <c r="I161" s="96">
        <f>ROUND($F161*D161/100,0)</f>
        <v>3319317</v>
      </c>
      <c r="J161" s="92"/>
      <c r="K161" s="150">
        <f>K$119</f>
        <v>3.5527000000000002</v>
      </c>
      <c r="L161" s="120" t="s">
        <v>90</v>
      </c>
      <c r="M161" s="96">
        <f>ROUND($K161*D161/100,0)</f>
        <v>3427565</v>
      </c>
      <c r="R161" s="121">
        <f t="shared" si="35"/>
        <v>1.0894539992136374</v>
      </c>
    </row>
    <row r="162" spans="1:18">
      <c r="A162" s="93" t="s">
        <v>128</v>
      </c>
      <c r="C162" s="92">
        <v>26224</v>
      </c>
      <c r="D162" s="92">
        <f>ROUND($C162/$C$165*D$165,0)</f>
        <v>28099</v>
      </c>
      <c r="E162" s="92"/>
      <c r="F162" s="95">
        <v>-0.96</v>
      </c>
      <c r="G162" s="95"/>
      <c r="H162" s="96">
        <f>ROUND($F162*C162,0)</f>
        <v>-25175</v>
      </c>
      <c r="I162" s="96">
        <f>ROUND($F162*D162,0)</f>
        <v>-26975</v>
      </c>
      <c r="J162" s="92"/>
      <c r="K162" s="95">
        <f>K$120</f>
        <v>-0.96</v>
      </c>
      <c r="L162" s="95"/>
      <c r="M162" s="96">
        <f>ROUND($K162*D162,0)</f>
        <v>-26975</v>
      </c>
      <c r="R162" s="121">
        <f t="shared" si="35"/>
        <v>1.0714995034756702</v>
      </c>
    </row>
    <row r="163" spans="1:18">
      <c r="A163" s="129" t="s">
        <v>101</v>
      </c>
      <c r="C163" s="92">
        <v>0</v>
      </c>
      <c r="D163" s="92">
        <f>ROUND($C163/$C$165*D$165,0)</f>
        <v>0</v>
      </c>
      <c r="E163" s="92"/>
      <c r="F163" s="150">
        <v>7.125</v>
      </c>
      <c r="G163" s="120" t="s">
        <v>90</v>
      </c>
      <c r="H163" s="96">
        <f>ROUND($F163*C163/100,0)</f>
        <v>0</v>
      </c>
      <c r="I163" s="96">
        <f>ROUND($F163*D163/100,0)</f>
        <v>0</v>
      </c>
      <c r="J163" s="92"/>
      <c r="K163" s="150">
        <f>K$121</f>
        <v>7.125</v>
      </c>
      <c r="L163" s="120" t="s">
        <v>90</v>
      </c>
      <c r="M163" s="96">
        <f>ROUND($K163*D163/100,0)</f>
        <v>0</v>
      </c>
      <c r="R163" s="121" t="e">
        <f t="shared" si="35"/>
        <v>#DIV/0!</v>
      </c>
    </row>
    <row r="164" spans="1:18">
      <c r="A164" s="129" t="s">
        <v>103</v>
      </c>
      <c r="B164" s="130"/>
      <c r="C164" s="92">
        <v>389303</v>
      </c>
      <c r="D164" s="92"/>
      <c r="E164" s="92"/>
      <c r="F164" s="131"/>
      <c r="G164" s="9"/>
      <c r="H164" s="96">
        <v>34810</v>
      </c>
      <c r="I164" s="96"/>
      <c r="J164" s="92"/>
      <c r="K164" s="131"/>
      <c r="L164" s="9"/>
      <c r="M164" s="96"/>
      <c r="N164" s="121"/>
      <c r="O164" s="121"/>
      <c r="P164" s="121"/>
      <c r="R164" s="121">
        <f t="shared" si="35"/>
        <v>0</v>
      </c>
    </row>
    <row r="165" spans="1:18" ht="16.5" thickBot="1">
      <c r="A165" s="133" t="s">
        <v>105</v>
      </c>
      <c r="B165" s="134"/>
      <c r="C165" s="135">
        <f>SUM(C160:C161,C163:C164)</f>
        <v>137422163.95210695</v>
      </c>
      <c r="D165" s="135">
        <v>147247556.72720325</v>
      </c>
      <c r="E165" s="135"/>
      <c r="F165" s="134"/>
      <c r="G165" s="134"/>
      <c r="H165" s="136">
        <f>SUM(H154:H164)</f>
        <v>10391495</v>
      </c>
      <c r="I165" s="136">
        <f>SUM(I154:I164)</f>
        <v>11109405</v>
      </c>
      <c r="J165" s="135"/>
      <c r="K165" s="134"/>
      <c r="L165" s="134"/>
      <c r="M165" s="136">
        <f>SUM(M154:M164)</f>
        <v>11822592</v>
      </c>
      <c r="O165" s="93" t="s">
        <v>86</v>
      </c>
      <c r="P165" s="154">
        <f>M165/I165-1</f>
        <v>6.4196687401350427E-2</v>
      </c>
      <c r="R165" s="121">
        <f t="shared" si="35"/>
        <v>1.1377181050464826</v>
      </c>
    </row>
    <row r="166" spans="1:18" ht="16.5" thickTop="1">
      <c r="C166" s="92"/>
      <c r="D166" s="92"/>
      <c r="E166" s="92"/>
      <c r="J166" s="92"/>
    </row>
    <row r="167" spans="1:18">
      <c r="A167" s="90" t="s">
        <v>129</v>
      </c>
      <c r="C167" s="92"/>
      <c r="D167" s="92"/>
      <c r="E167" s="92"/>
      <c r="J167" s="92"/>
    </row>
    <row r="168" spans="1:18">
      <c r="A168" s="93" t="s">
        <v>121</v>
      </c>
      <c r="C168" s="92">
        <f t="shared" ref="C168:D177" si="43">C182+C196+C210</f>
        <v>5145.3337735849054</v>
      </c>
      <c r="D168" s="92">
        <f t="shared" si="43"/>
        <v>6952.9999999999991</v>
      </c>
      <c r="E168" s="92"/>
      <c r="F168" s="147">
        <v>53</v>
      </c>
      <c r="G168" s="95"/>
      <c r="H168" s="96">
        <f t="shared" ref="H168:I173" si="44">ROUND($F168*C168,0)</f>
        <v>272703</v>
      </c>
      <c r="I168" s="96">
        <f t="shared" si="44"/>
        <v>368509</v>
      </c>
      <c r="J168" s="92"/>
      <c r="K168" s="147">
        <f>K$112</f>
        <v>58</v>
      </c>
      <c r="L168" s="95"/>
      <c r="M168" s="96">
        <f t="shared" ref="M168:M173" si="45">ROUND($K168*D168,0)</f>
        <v>403274</v>
      </c>
    </row>
    <row r="169" spans="1:18">
      <c r="A169" s="93" t="s">
        <v>84</v>
      </c>
      <c r="C169" s="92">
        <f t="shared" si="43"/>
        <v>168</v>
      </c>
      <c r="D169" s="92">
        <f t="shared" si="43"/>
        <v>219</v>
      </c>
      <c r="E169" s="92"/>
      <c r="F169" s="147">
        <v>2</v>
      </c>
      <c r="G169" s="95"/>
      <c r="H169" s="96">
        <f t="shared" si="44"/>
        <v>336</v>
      </c>
      <c r="I169" s="96">
        <f t="shared" si="44"/>
        <v>438</v>
      </c>
      <c r="J169" s="92"/>
      <c r="K169" s="147">
        <f>K$113</f>
        <v>2</v>
      </c>
      <c r="L169" s="95"/>
      <c r="M169" s="96">
        <f t="shared" si="45"/>
        <v>438</v>
      </c>
    </row>
    <row r="170" spans="1:18">
      <c r="A170" s="93" t="s">
        <v>87</v>
      </c>
      <c r="C170" s="92">
        <f t="shared" si="43"/>
        <v>2378</v>
      </c>
      <c r="D170" s="92">
        <f t="shared" si="43"/>
        <v>4832.9831315882802</v>
      </c>
      <c r="E170" s="92"/>
      <c r="F170" s="95">
        <v>-0.5</v>
      </c>
      <c r="G170" s="95"/>
      <c r="H170" s="96">
        <f t="shared" si="44"/>
        <v>-1189</v>
      </c>
      <c r="I170" s="96">
        <f t="shared" si="44"/>
        <v>-2416</v>
      </c>
      <c r="J170" s="92"/>
      <c r="K170" s="95">
        <f>K$114</f>
        <v>-0.5</v>
      </c>
      <c r="L170" s="95"/>
      <c r="M170" s="96">
        <f t="shared" si="45"/>
        <v>-2416</v>
      </c>
    </row>
    <row r="171" spans="1:18">
      <c r="A171" s="93" t="s">
        <v>122</v>
      </c>
      <c r="C171" s="92">
        <f t="shared" si="43"/>
        <v>601418.20050125348</v>
      </c>
      <c r="D171" s="92">
        <f t="shared" si="43"/>
        <v>798891</v>
      </c>
      <c r="E171" s="92"/>
      <c r="F171" s="147">
        <v>3.99</v>
      </c>
      <c r="G171" s="95"/>
      <c r="H171" s="96">
        <f t="shared" si="44"/>
        <v>2399659</v>
      </c>
      <c r="I171" s="96">
        <f t="shared" si="44"/>
        <v>3187575</v>
      </c>
      <c r="J171" s="92"/>
      <c r="K171" s="147">
        <f>K$115</f>
        <v>4.3600000000000003</v>
      </c>
      <c r="L171" s="95"/>
      <c r="M171" s="96">
        <f t="shared" si="45"/>
        <v>3483165</v>
      </c>
    </row>
    <row r="172" spans="1:18">
      <c r="A172" s="93" t="s">
        <v>123</v>
      </c>
      <c r="C172" s="92">
        <f t="shared" si="43"/>
        <v>212182.15674453683</v>
      </c>
      <c r="D172" s="92">
        <f t="shared" si="43"/>
        <v>281864</v>
      </c>
      <c r="E172" s="92"/>
      <c r="F172" s="147">
        <v>13.27</v>
      </c>
      <c r="G172" s="95"/>
      <c r="H172" s="96">
        <f t="shared" si="44"/>
        <v>2815657</v>
      </c>
      <c r="I172" s="96">
        <f t="shared" si="44"/>
        <v>3740335</v>
      </c>
      <c r="J172" s="92"/>
      <c r="K172" s="147">
        <f>K$116</f>
        <v>14.49</v>
      </c>
      <c r="L172" s="95"/>
      <c r="M172" s="96">
        <f t="shared" si="45"/>
        <v>4084209</v>
      </c>
    </row>
    <row r="173" spans="1:18">
      <c r="A173" s="93" t="s">
        <v>124</v>
      </c>
      <c r="C173" s="92">
        <f t="shared" si="43"/>
        <v>389236.05962521303</v>
      </c>
      <c r="D173" s="92">
        <f t="shared" si="43"/>
        <v>517026</v>
      </c>
      <c r="E173" s="92"/>
      <c r="F173" s="147">
        <v>11.74</v>
      </c>
      <c r="G173" s="95"/>
      <c r="H173" s="96">
        <f t="shared" si="44"/>
        <v>4569631</v>
      </c>
      <c r="I173" s="96">
        <f t="shared" si="44"/>
        <v>6069885</v>
      </c>
      <c r="J173" s="92"/>
      <c r="K173" s="147">
        <f>K$117</f>
        <v>12.82</v>
      </c>
      <c r="L173" s="95"/>
      <c r="M173" s="96">
        <f t="shared" si="45"/>
        <v>6628273</v>
      </c>
    </row>
    <row r="174" spans="1:18">
      <c r="A174" s="93" t="s">
        <v>126</v>
      </c>
      <c r="C174" s="92">
        <f t="shared" si="43"/>
        <v>65719826</v>
      </c>
      <c r="D174" s="92">
        <f t="shared" si="43"/>
        <v>63730125.602599882</v>
      </c>
      <c r="E174" s="92"/>
      <c r="F174" s="150">
        <v>3.8877999999999999</v>
      </c>
      <c r="G174" s="120" t="s">
        <v>90</v>
      </c>
      <c r="H174" s="96">
        <f>ROUND($F174*C174/100,0)</f>
        <v>2555055</v>
      </c>
      <c r="I174" s="96">
        <f>ROUND($F174*D174/100,0)</f>
        <v>2477700</v>
      </c>
      <c r="J174" s="92"/>
      <c r="K174" s="150">
        <f>K$118</f>
        <v>4.0175000000000001</v>
      </c>
      <c r="L174" s="120" t="s">
        <v>90</v>
      </c>
      <c r="M174" s="96">
        <f>ROUND($K174*D174/100,0)</f>
        <v>2560358</v>
      </c>
    </row>
    <row r="175" spans="1:18">
      <c r="A175" s="93" t="s">
        <v>127</v>
      </c>
      <c r="C175" s="92">
        <f t="shared" si="43"/>
        <v>126708251</v>
      </c>
      <c r="D175" s="92">
        <f t="shared" si="43"/>
        <v>193638846.41453266</v>
      </c>
      <c r="E175" s="92"/>
      <c r="F175" s="150">
        <v>3.4405000000000001</v>
      </c>
      <c r="G175" s="120" t="s">
        <v>90</v>
      </c>
      <c r="H175" s="96">
        <f>ROUND($F175*C175/100,0)</f>
        <v>4359397</v>
      </c>
      <c r="I175" s="96">
        <f>ROUND($F175*D175/100,0)</f>
        <v>6662145</v>
      </c>
      <c r="J175" s="92"/>
      <c r="K175" s="150">
        <f>K$119</f>
        <v>3.5527000000000002</v>
      </c>
      <c r="L175" s="120" t="s">
        <v>90</v>
      </c>
      <c r="M175" s="96">
        <f>ROUND($K175*D175/100,0)</f>
        <v>6879407</v>
      </c>
    </row>
    <row r="176" spans="1:18">
      <c r="A176" s="93" t="s">
        <v>128</v>
      </c>
      <c r="C176" s="92">
        <f t="shared" si="43"/>
        <v>23511</v>
      </c>
      <c r="D176" s="92">
        <f t="shared" si="43"/>
        <v>28688</v>
      </c>
      <c r="E176" s="92"/>
      <c r="F176" s="95">
        <v>-0.96</v>
      </c>
      <c r="G176" s="95"/>
      <c r="H176" s="96">
        <f>ROUND($F176*C176,0)</f>
        <v>-22571</v>
      </c>
      <c r="I176" s="96">
        <f>ROUND($F176*D176,0)</f>
        <v>-27540</v>
      </c>
      <c r="J176" s="92"/>
      <c r="K176" s="95">
        <f>K$120</f>
        <v>-0.96</v>
      </c>
      <c r="L176" s="95"/>
      <c r="M176" s="96">
        <f>ROUND($K176*D176,0)</f>
        <v>-27540</v>
      </c>
    </row>
    <row r="177" spans="1:16">
      <c r="A177" s="129" t="s">
        <v>101</v>
      </c>
      <c r="C177" s="92">
        <f t="shared" si="43"/>
        <v>0</v>
      </c>
      <c r="D177" s="92">
        <f t="shared" si="43"/>
        <v>0</v>
      </c>
      <c r="E177" s="92"/>
      <c r="F177" s="150">
        <v>7.125</v>
      </c>
      <c r="G177" s="120" t="s">
        <v>90</v>
      </c>
      <c r="H177" s="96">
        <f>ROUND($F177*C177/100,0)</f>
        <v>0</v>
      </c>
      <c r="I177" s="96">
        <f>ROUND($F177*D177/100,0)</f>
        <v>0</v>
      </c>
      <c r="J177" s="92"/>
      <c r="K177" s="150">
        <f>K$121</f>
        <v>7.125</v>
      </c>
      <c r="L177" s="120" t="s">
        <v>90</v>
      </c>
      <c r="M177" s="96">
        <f>ROUND($K177*D177/100,0)</f>
        <v>0</v>
      </c>
    </row>
    <row r="178" spans="1:16">
      <c r="A178" s="129" t="s">
        <v>103</v>
      </c>
      <c r="B178" s="130"/>
      <c r="C178" s="92">
        <f>C192+C206+C220</f>
        <v>1420383</v>
      </c>
      <c r="D178" s="92"/>
      <c r="E178" s="92"/>
      <c r="F178" s="131"/>
      <c r="G178" s="9"/>
      <c r="H178" s="96">
        <f>H192+H206+H220</f>
        <v>125338</v>
      </c>
      <c r="I178" s="96"/>
      <c r="J178" s="92"/>
      <c r="K178" s="131"/>
      <c r="L178" s="9"/>
      <c r="M178" s="96"/>
      <c r="N178" s="121"/>
      <c r="O178" s="121"/>
      <c r="P178" s="121"/>
    </row>
    <row r="179" spans="1:16" ht="16.5" thickBot="1">
      <c r="A179" s="133" t="s">
        <v>105</v>
      </c>
      <c r="B179" s="134"/>
      <c r="C179" s="135">
        <f t="shared" ref="C179:D179" si="46">C193+C207+C221</f>
        <v>193848460</v>
      </c>
      <c r="D179" s="135">
        <f t="shared" si="46"/>
        <v>257368972.01713255</v>
      </c>
      <c r="E179" s="135"/>
      <c r="F179" s="134"/>
      <c r="G179" s="134"/>
      <c r="H179" s="136">
        <f>SUM(H168:H178)</f>
        <v>17074016</v>
      </c>
      <c r="I179" s="136">
        <f>SUM(I168:I178)</f>
        <v>22476631</v>
      </c>
      <c r="J179" s="135"/>
      <c r="K179" s="134"/>
      <c r="L179" s="134"/>
      <c r="M179" s="136">
        <f>SUM(M168:M178)</f>
        <v>24009168</v>
      </c>
      <c r="O179" s="93" t="s">
        <v>86</v>
      </c>
      <c r="P179" s="154">
        <f>M179/I179-1</f>
        <v>6.8183572529174841E-2</v>
      </c>
    </row>
    <row r="180" spans="1:16" ht="16.5" thickTop="1">
      <c r="C180" s="92"/>
      <c r="D180" s="92"/>
      <c r="E180" s="92"/>
      <c r="J180" s="92"/>
    </row>
    <row r="181" spans="1:16">
      <c r="A181" s="90" t="s">
        <v>432</v>
      </c>
      <c r="C181" s="92"/>
      <c r="D181" s="92"/>
      <c r="E181" s="92"/>
      <c r="J181" s="92"/>
    </row>
    <row r="182" spans="1:16">
      <c r="A182" s="93" t="s">
        <v>121</v>
      </c>
      <c r="C182" s="92">
        <v>4889.90037735849</v>
      </c>
      <c r="D182" s="92">
        <v>6747.9999999999991</v>
      </c>
      <c r="E182" s="92"/>
      <c r="F182" s="147">
        <v>53</v>
      </c>
      <c r="G182" s="95"/>
      <c r="H182" s="96">
        <f t="shared" ref="H182:I187" si="47">ROUND($F182*C182,0)</f>
        <v>259165</v>
      </c>
      <c r="I182" s="96">
        <f t="shared" si="47"/>
        <v>357644</v>
      </c>
      <c r="J182" s="92"/>
      <c r="K182" s="147">
        <f>K$112</f>
        <v>58</v>
      </c>
      <c r="L182" s="95"/>
      <c r="M182" s="96">
        <f t="shared" ref="M182:M187" si="48">ROUND($K182*D182,0)</f>
        <v>391384</v>
      </c>
    </row>
    <row r="183" spans="1:16">
      <c r="A183" s="93" t="s">
        <v>84</v>
      </c>
      <c r="C183" s="92">
        <v>144</v>
      </c>
      <c r="D183" s="92">
        <f t="shared" ref="D183" si="49">ROUND($C183*D$182/$C$182,0)</f>
        <v>199</v>
      </c>
      <c r="E183" s="92"/>
      <c r="F183" s="147">
        <v>2</v>
      </c>
      <c r="G183" s="95"/>
      <c r="H183" s="96">
        <f t="shared" si="47"/>
        <v>288</v>
      </c>
      <c r="I183" s="96">
        <f t="shared" si="47"/>
        <v>398</v>
      </c>
      <c r="J183" s="92"/>
      <c r="K183" s="147">
        <f>K$113</f>
        <v>2</v>
      </c>
      <c r="L183" s="95"/>
      <c r="M183" s="96">
        <f t="shared" si="48"/>
        <v>398</v>
      </c>
    </row>
    <row r="184" spans="1:16">
      <c r="A184" s="93" t="s">
        <v>87</v>
      </c>
      <c r="C184" s="92">
        <v>2307</v>
      </c>
      <c r="D184" s="92">
        <v>4690.4890222864542</v>
      </c>
      <c r="E184" s="92"/>
      <c r="F184" s="95">
        <v>-0.5</v>
      </c>
      <c r="G184" s="95"/>
      <c r="H184" s="96">
        <f t="shared" si="47"/>
        <v>-1154</v>
      </c>
      <c r="I184" s="96">
        <f t="shared" si="47"/>
        <v>-2345</v>
      </c>
      <c r="J184" s="92"/>
      <c r="K184" s="95">
        <f>K$114</f>
        <v>-0.5</v>
      </c>
      <c r="L184" s="95"/>
      <c r="M184" s="96">
        <f t="shared" si="48"/>
        <v>-2345</v>
      </c>
    </row>
    <row r="185" spans="1:16">
      <c r="A185" s="93" t="s">
        <v>122</v>
      </c>
      <c r="C185" s="92">
        <v>578729.73433583998</v>
      </c>
      <c r="D185" s="92">
        <f>ROUND(D$193*$C185/$C$193,0)</f>
        <v>781163</v>
      </c>
      <c r="E185" s="92"/>
      <c r="F185" s="147">
        <v>3.99</v>
      </c>
      <c r="G185" s="95"/>
      <c r="H185" s="96">
        <f t="shared" si="47"/>
        <v>2309132</v>
      </c>
      <c r="I185" s="96">
        <f t="shared" si="47"/>
        <v>3116840</v>
      </c>
      <c r="J185" s="92"/>
      <c r="K185" s="147">
        <f>K$115</f>
        <v>4.3600000000000003</v>
      </c>
      <c r="L185" s="95"/>
      <c r="M185" s="96">
        <f t="shared" si="48"/>
        <v>3405871</v>
      </c>
    </row>
    <row r="186" spans="1:16">
      <c r="A186" s="93" t="s">
        <v>123</v>
      </c>
      <c r="C186" s="92">
        <v>204455.49133383599</v>
      </c>
      <c r="D186" s="92">
        <f>ROUND(D$193*$C186/$C$193,0)</f>
        <v>275972</v>
      </c>
      <c r="E186" s="92"/>
      <c r="F186" s="147">
        <v>13.27</v>
      </c>
      <c r="G186" s="95"/>
      <c r="H186" s="96">
        <f t="shared" si="47"/>
        <v>2713124</v>
      </c>
      <c r="I186" s="96">
        <f t="shared" si="47"/>
        <v>3662148</v>
      </c>
      <c r="J186" s="92"/>
      <c r="K186" s="147">
        <f>K$116</f>
        <v>14.49</v>
      </c>
      <c r="L186" s="95"/>
      <c r="M186" s="96">
        <f t="shared" si="48"/>
        <v>3998834</v>
      </c>
    </row>
    <row r="187" spans="1:16">
      <c r="A187" s="93" t="s">
        <v>124</v>
      </c>
      <c r="C187" s="92">
        <v>374274.25894378201</v>
      </c>
      <c r="D187" s="92">
        <f>ROUND(D$193*$C187/$C$193,0)</f>
        <v>505191</v>
      </c>
      <c r="E187" s="92"/>
      <c r="F187" s="147">
        <v>11.74</v>
      </c>
      <c r="G187" s="95"/>
      <c r="H187" s="96">
        <f t="shared" si="47"/>
        <v>4393980</v>
      </c>
      <c r="I187" s="96">
        <f t="shared" si="47"/>
        <v>5930942</v>
      </c>
      <c r="J187" s="92"/>
      <c r="K187" s="147">
        <f>K$117</f>
        <v>12.82</v>
      </c>
      <c r="L187" s="95"/>
      <c r="M187" s="96">
        <f t="shared" si="48"/>
        <v>6476549</v>
      </c>
    </row>
    <row r="188" spans="1:16">
      <c r="A188" s="93" t="s">
        <v>126</v>
      </c>
      <c r="C188" s="92">
        <v>63086983</v>
      </c>
      <c r="D188" s="92">
        <v>61691904.602599882</v>
      </c>
      <c r="E188" s="92"/>
      <c r="F188" s="150">
        <v>3.8877999999999999</v>
      </c>
      <c r="G188" s="120" t="s">
        <v>90</v>
      </c>
      <c r="H188" s="96">
        <f>ROUND($F188*C188/100,0)</f>
        <v>2452696</v>
      </c>
      <c r="I188" s="96">
        <f>ROUND($F188*D188/100,0)</f>
        <v>2398458</v>
      </c>
      <c r="J188" s="92"/>
      <c r="K188" s="150">
        <f>K$118</f>
        <v>4.0175000000000001</v>
      </c>
      <c r="L188" s="120" t="s">
        <v>90</v>
      </c>
      <c r="M188" s="96">
        <f>ROUND($K188*D188/100,0)</f>
        <v>2478472</v>
      </c>
    </row>
    <row r="189" spans="1:16">
      <c r="A189" s="93" t="s">
        <v>127</v>
      </c>
      <c r="C189" s="92">
        <v>121670823</v>
      </c>
      <c r="D189" s="92">
        <f>D193-D188</f>
        <v>189593723.747866</v>
      </c>
      <c r="E189" s="92"/>
      <c r="F189" s="150">
        <v>3.4405000000000001</v>
      </c>
      <c r="G189" s="120" t="s">
        <v>90</v>
      </c>
      <c r="H189" s="96">
        <f>ROUND($F189*C189/100,0)</f>
        <v>4186085</v>
      </c>
      <c r="I189" s="96">
        <f>ROUND($F189*D189/100,0)</f>
        <v>6522972</v>
      </c>
      <c r="J189" s="92"/>
      <c r="K189" s="150">
        <f>K$119</f>
        <v>3.5527000000000002</v>
      </c>
      <c r="L189" s="120" t="s">
        <v>90</v>
      </c>
      <c r="M189" s="96">
        <f>ROUND($K189*D189/100,0)</f>
        <v>6735696</v>
      </c>
    </row>
    <row r="190" spans="1:16">
      <c r="A190" s="93" t="s">
        <v>128</v>
      </c>
      <c r="C190" s="92">
        <v>19291</v>
      </c>
      <c r="D190" s="92">
        <f>ROUND(D$193*$C190/$C$193,0)</f>
        <v>26039</v>
      </c>
      <c r="E190" s="92"/>
      <c r="F190" s="95">
        <v>-0.96</v>
      </c>
      <c r="G190" s="95"/>
      <c r="H190" s="96">
        <f>ROUND($F190*C190,0)</f>
        <v>-18519</v>
      </c>
      <c r="I190" s="96">
        <f>ROUND($F190*D190,0)</f>
        <v>-24997</v>
      </c>
      <c r="J190" s="92"/>
      <c r="K190" s="95">
        <f>K$120</f>
        <v>-0.96</v>
      </c>
      <c r="L190" s="95"/>
      <c r="M190" s="96">
        <f>ROUND($K190*D190,0)</f>
        <v>-24997</v>
      </c>
    </row>
    <row r="191" spans="1:16">
      <c r="A191" s="129" t="s">
        <v>101</v>
      </c>
      <c r="C191" s="92">
        <v>0</v>
      </c>
      <c r="D191" s="92"/>
      <c r="E191" s="92"/>
      <c r="F191" s="150">
        <v>7.125</v>
      </c>
      <c r="G191" s="120" t="s">
        <v>90</v>
      </c>
      <c r="H191" s="96">
        <f>ROUND($F191*C191/100,0)</f>
        <v>0</v>
      </c>
      <c r="I191" s="96">
        <f>ROUND($F191*D191/100,0)</f>
        <v>0</v>
      </c>
      <c r="J191" s="92"/>
      <c r="K191" s="150">
        <f>K$121</f>
        <v>7.125</v>
      </c>
      <c r="L191" s="120" t="s">
        <v>90</v>
      </c>
      <c r="M191" s="96">
        <f>ROUND($K191*D191/100,0)</f>
        <v>0</v>
      </c>
    </row>
    <row r="192" spans="1:16">
      <c r="A192" s="129" t="s">
        <v>103</v>
      </c>
      <c r="B192" s="130"/>
      <c r="C192" s="92">
        <v>1408825</v>
      </c>
      <c r="D192" s="92"/>
      <c r="E192" s="92"/>
      <c r="F192" s="131"/>
      <c r="G192" s="9"/>
      <c r="H192" s="96">
        <v>123520</v>
      </c>
      <c r="I192" s="96"/>
      <c r="J192" s="92"/>
      <c r="K192" s="131"/>
      <c r="L192" s="9"/>
      <c r="M192" s="96"/>
      <c r="N192" s="121"/>
      <c r="O192" s="121"/>
      <c r="P192" s="121"/>
    </row>
    <row r="193" spans="1:16" ht="16.5" thickBot="1">
      <c r="A193" s="133" t="s">
        <v>105</v>
      </c>
      <c r="B193" s="134"/>
      <c r="C193" s="135">
        <f>SUM(C188:C189,C191:C192)</f>
        <v>186166631</v>
      </c>
      <c r="D193" s="135">
        <v>251285628.35046589</v>
      </c>
      <c r="E193" s="135"/>
      <c r="F193" s="134"/>
      <c r="G193" s="134"/>
      <c r="H193" s="136">
        <f>SUM(H182:H192)</f>
        <v>16418317</v>
      </c>
      <c r="I193" s="136">
        <f>SUM(I182:I192)</f>
        <v>21962060</v>
      </c>
      <c r="J193" s="135"/>
      <c r="K193" s="134"/>
      <c r="L193" s="134"/>
      <c r="M193" s="136">
        <f>SUM(M182:M192)</f>
        <v>23459862</v>
      </c>
      <c r="O193" s="93" t="s">
        <v>86</v>
      </c>
      <c r="P193" s="154">
        <f>M193/I193-1</f>
        <v>6.8199522267036849E-2</v>
      </c>
    </row>
    <row r="194" spans="1:16" ht="16.5" thickTop="1"/>
    <row r="195" spans="1:16">
      <c r="A195" s="90" t="s">
        <v>433</v>
      </c>
      <c r="C195" s="92"/>
      <c r="D195" s="92"/>
      <c r="E195" s="92"/>
      <c r="J195" s="92"/>
    </row>
    <row r="196" spans="1:16">
      <c r="A196" s="93" t="s">
        <v>121</v>
      </c>
      <c r="C196" s="92">
        <v>100.433396226415</v>
      </c>
      <c r="D196" s="92">
        <v>73</v>
      </c>
      <c r="E196" s="92"/>
      <c r="F196" s="147">
        <v>53</v>
      </c>
      <c r="G196" s="95"/>
      <c r="H196" s="96">
        <f t="shared" ref="H196:I201" si="50">ROUND($F196*C196,0)</f>
        <v>5323</v>
      </c>
      <c r="I196" s="96">
        <f t="shared" si="50"/>
        <v>3869</v>
      </c>
      <c r="J196" s="92"/>
      <c r="K196" s="147">
        <f>K$112</f>
        <v>58</v>
      </c>
      <c r="L196" s="95"/>
      <c r="M196" s="96">
        <f t="shared" ref="M196:M201" si="51">ROUND($K196*D196,0)</f>
        <v>4234</v>
      </c>
    </row>
    <row r="197" spans="1:16">
      <c r="A197" s="93" t="s">
        <v>84</v>
      </c>
      <c r="C197" s="92">
        <v>0</v>
      </c>
      <c r="D197" s="92">
        <f t="shared" ref="D197" si="52">ROUND($C197*D$196/$C$196,0)</f>
        <v>0</v>
      </c>
      <c r="E197" s="92"/>
      <c r="F197" s="147">
        <v>2</v>
      </c>
      <c r="G197" s="95"/>
      <c r="H197" s="96">
        <f t="shared" si="50"/>
        <v>0</v>
      </c>
      <c r="I197" s="96">
        <f t="shared" si="50"/>
        <v>0</v>
      </c>
      <c r="J197" s="92"/>
      <c r="K197" s="147">
        <f>K$113</f>
        <v>2</v>
      </c>
      <c r="L197" s="95"/>
      <c r="M197" s="96">
        <f t="shared" si="51"/>
        <v>0</v>
      </c>
    </row>
    <row r="198" spans="1:16">
      <c r="A198" s="93" t="s">
        <v>87</v>
      </c>
      <c r="C198" s="92">
        <v>35</v>
      </c>
      <c r="D198" s="92">
        <v>50.741804775772252</v>
      </c>
      <c r="E198" s="92"/>
      <c r="F198" s="95">
        <v>-0.5</v>
      </c>
      <c r="G198" s="95"/>
      <c r="H198" s="96">
        <f t="shared" si="50"/>
        <v>-18</v>
      </c>
      <c r="I198" s="96">
        <f t="shared" si="50"/>
        <v>-25</v>
      </c>
      <c r="J198" s="92"/>
      <c r="K198" s="95">
        <f>K$114</f>
        <v>-0.5</v>
      </c>
      <c r="L198" s="95"/>
      <c r="M198" s="96">
        <f t="shared" si="51"/>
        <v>-25</v>
      </c>
    </row>
    <row r="199" spans="1:16">
      <c r="A199" s="93" t="s">
        <v>122</v>
      </c>
      <c r="C199" s="92">
        <v>12240.4661654135</v>
      </c>
      <c r="D199" s="92">
        <f>ROUND($C199/$C$207*D$207,0)</f>
        <v>7684</v>
      </c>
      <c r="E199" s="92"/>
      <c r="F199" s="147">
        <v>3.99</v>
      </c>
      <c r="G199" s="95"/>
      <c r="H199" s="96">
        <f t="shared" si="50"/>
        <v>48839</v>
      </c>
      <c r="I199" s="96">
        <f t="shared" si="50"/>
        <v>30659</v>
      </c>
      <c r="J199" s="92"/>
      <c r="K199" s="147">
        <f>K$115</f>
        <v>4.3600000000000003</v>
      </c>
      <c r="L199" s="95"/>
      <c r="M199" s="96">
        <f t="shared" si="51"/>
        <v>33502</v>
      </c>
    </row>
    <row r="200" spans="1:16">
      <c r="A200" s="93" t="s">
        <v>123</v>
      </c>
      <c r="C200" s="92">
        <v>4602.9201205727204</v>
      </c>
      <c r="D200" s="92">
        <f>ROUND($C200/$C$207*D$207,0)</f>
        <v>2889</v>
      </c>
      <c r="E200" s="92"/>
      <c r="F200" s="147">
        <v>13.27</v>
      </c>
      <c r="G200" s="95"/>
      <c r="H200" s="96">
        <f t="shared" si="50"/>
        <v>61081</v>
      </c>
      <c r="I200" s="96">
        <f t="shared" si="50"/>
        <v>38337</v>
      </c>
      <c r="J200" s="92"/>
      <c r="K200" s="147">
        <f>K$116</f>
        <v>14.49</v>
      </c>
      <c r="L200" s="95"/>
      <c r="M200" s="96">
        <f t="shared" si="51"/>
        <v>41862</v>
      </c>
    </row>
    <row r="201" spans="1:16">
      <c r="A201" s="93" t="s">
        <v>124</v>
      </c>
      <c r="C201" s="92">
        <v>7637.5459965928503</v>
      </c>
      <c r="D201" s="92">
        <f>ROUND($C201/$C$207*D$207,0)</f>
        <v>4794</v>
      </c>
      <c r="E201" s="92"/>
      <c r="F201" s="147">
        <v>11.74</v>
      </c>
      <c r="G201" s="95"/>
      <c r="H201" s="96">
        <f t="shared" si="50"/>
        <v>89665</v>
      </c>
      <c r="I201" s="96">
        <f t="shared" si="50"/>
        <v>56282</v>
      </c>
      <c r="J201" s="92"/>
      <c r="K201" s="147">
        <f>K$117</f>
        <v>12.82</v>
      </c>
      <c r="L201" s="95"/>
      <c r="M201" s="96">
        <f t="shared" si="51"/>
        <v>61459</v>
      </c>
    </row>
    <row r="202" spans="1:16">
      <c r="A202" s="93" t="s">
        <v>126</v>
      </c>
      <c r="C202" s="92">
        <v>1534282</v>
      </c>
      <c r="D202" s="92">
        <v>960673.99999999988</v>
      </c>
      <c r="E202" s="92"/>
      <c r="F202" s="150">
        <v>3.8877999999999999</v>
      </c>
      <c r="G202" s="120" t="s">
        <v>90</v>
      </c>
      <c r="H202" s="96">
        <f>ROUND($F202*C202/100,0)</f>
        <v>59650</v>
      </c>
      <c r="I202" s="96">
        <f>ROUND($F202*D202/100,0)</f>
        <v>37349</v>
      </c>
      <c r="J202" s="92"/>
      <c r="K202" s="150">
        <f>K$118</f>
        <v>4.0175000000000001</v>
      </c>
      <c r="L202" s="120" t="s">
        <v>90</v>
      </c>
      <c r="M202" s="96">
        <f>ROUND($K202*D202/100,0)</f>
        <v>38595</v>
      </c>
    </row>
    <row r="203" spans="1:16">
      <c r="A203" s="93" t="s">
        <v>127</v>
      </c>
      <c r="C203" s="92">
        <v>2366393</v>
      </c>
      <c r="D203" s="92">
        <f>D207-D202</f>
        <v>1488490.6666666665</v>
      </c>
      <c r="E203" s="92"/>
      <c r="F203" s="150">
        <v>3.4405000000000001</v>
      </c>
      <c r="G203" s="120" t="s">
        <v>90</v>
      </c>
      <c r="H203" s="96">
        <f>ROUND($F203*C203/100,0)</f>
        <v>81416</v>
      </c>
      <c r="I203" s="96">
        <f>ROUND($F203*D203/100,0)</f>
        <v>51212</v>
      </c>
      <c r="J203" s="92"/>
      <c r="K203" s="150">
        <f>K$119</f>
        <v>3.5527000000000002</v>
      </c>
      <c r="L203" s="120" t="s">
        <v>90</v>
      </c>
      <c r="M203" s="96">
        <f>ROUND($K203*D203/100,0)</f>
        <v>52882</v>
      </c>
    </row>
    <row r="204" spans="1:16">
      <c r="A204" s="93" t="s">
        <v>128</v>
      </c>
      <c r="C204" s="92">
        <v>4220</v>
      </c>
      <c r="D204" s="92">
        <f>ROUND($C204/$C$207*D$207,0)</f>
        <v>2649</v>
      </c>
      <c r="E204" s="92"/>
      <c r="F204" s="95">
        <v>-0.96</v>
      </c>
      <c r="G204" s="95"/>
      <c r="H204" s="96">
        <f>ROUND($F204*C204,0)</f>
        <v>-4051</v>
      </c>
      <c r="I204" s="96">
        <f>ROUND($F204*D204,0)</f>
        <v>-2543</v>
      </c>
      <c r="J204" s="92"/>
      <c r="K204" s="95">
        <f>K$120</f>
        <v>-0.96</v>
      </c>
      <c r="L204" s="95"/>
      <c r="M204" s="96">
        <f>ROUND($K204*D204,0)</f>
        <v>-2543</v>
      </c>
    </row>
    <row r="205" spans="1:16">
      <c r="A205" s="129" t="s">
        <v>101</v>
      </c>
      <c r="C205" s="92">
        <v>0</v>
      </c>
      <c r="D205" s="92"/>
      <c r="E205" s="92"/>
      <c r="F205" s="150">
        <v>7.125</v>
      </c>
      <c r="G205" s="120" t="s">
        <v>90</v>
      </c>
      <c r="H205" s="96">
        <f>ROUND($F205*C205/100,0)</f>
        <v>0</v>
      </c>
      <c r="I205" s="96">
        <f>ROUND($F205*D205/100,0)</f>
        <v>0</v>
      </c>
      <c r="J205" s="92"/>
      <c r="K205" s="150">
        <f>K$121</f>
        <v>7.125</v>
      </c>
      <c r="L205" s="120" t="s">
        <v>90</v>
      </c>
      <c r="M205" s="96">
        <f>ROUND($K205*D205/100,0)</f>
        <v>0</v>
      </c>
    </row>
    <row r="206" spans="1:16">
      <c r="A206" s="129" t="s">
        <v>103</v>
      </c>
      <c r="B206" s="130"/>
      <c r="C206" s="92">
        <v>942</v>
      </c>
      <c r="D206" s="92"/>
      <c r="E206" s="92"/>
      <c r="F206" s="131"/>
      <c r="G206" s="9"/>
      <c r="H206" s="96">
        <v>774</v>
      </c>
      <c r="I206" s="96"/>
      <c r="J206" s="92"/>
      <c r="K206" s="131"/>
      <c r="L206" s="9"/>
      <c r="M206" s="96"/>
      <c r="N206" s="121"/>
      <c r="O206" s="121"/>
      <c r="P206" s="121"/>
    </row>
    <row r="207" spans="1:16" ht="16.5" thickBot="1">
      <c r="A207" s="133" t="s">
        <v>105</v>
      </c>
      <c r="B207" s="134"/>
      <c r="C207" s="135">
        <f>SUM(C202:C203,C205:C206)</f>
        <v>3901617</v>
      </c>
      <c r="D207" s="135">
        <v>2449164.6666666665</v>
      </c>
      <c r="E207" s="135"/>
      <c r="F207" s="134"/>
      <c r="G207" s="134"/>
      <c r="H207" s="136">
        <f>SUM(H196:H206)</f>
        <v>342679</v>
      </c>
      <c r="I207" s="136">
        <f>SUM(I196:I206)</f>
        <v>215140</v>
      </c>
      <c r="J207" s="135"/>
      <c r="K207" s="134"/>
      <c r="L207" s="134"/>
      <c r="M207" s="136">
        <f>SUM(M196:M206)</f>
        <v>229966</v>
      </c>
      <c r="O207" s="93" t="s">
        <v>86</v>
      </c>
      <c r="P207" s="154">
        <f>M207/I207-1</f>
        <v>6.8913265780422117E-2</v>
      </c>
    </row>
    <row r="208" spans="1:16" ht="16.5" thickTop="1">
      <c r="C208" s="92"/>
      <c r="D208" s="92"/>
      <c r="E208" s="92"/>
      <c r="J208" s="92"/>
    </row>
    <row r="209" spans="1:16">
      <c r="A209" s="90" t="s">
        <v>434</v>
      </c>
      <c r="C209" s="92"/>
      <c r="D209" s="92"/>
      <c r="E209" s="92"/>
      <c r="J209" s="92"/>
    </row>
    <row r="210" spans="1:16">
      <c r="A210" s="93" t="s">
        <v>121</v>
      </c>
      <c r="C210" s="92">
        <v>155</v>
      </c>
      <c r="D210" s="92">
        <v>132</v>
      </c>
      <c r="E210" s="92"/>
      <c r="F210" s="147">
        <v>53</v>
      </c>
      <c r="G210" s="95"/>
      <c r="H210" s="96">
        <f t="shared" ref="H210:I215" si="53">ROUND($F210*C210,0)</f>
        <v>8215</v>
      </c>
      <c r="I210" s="96">
        <f t="shared" si="53"/>
        <v>6996</v>
      </c>
      <c r="J210" s="92"/>
      <c r="K210" s="147">
        <f>K$112</f>
        <v>58</v>
      </c>
      <c r="L210" s="95"/>
      <c r="M210" s="96">
        <f t="shared" ref="M210:M215" si="54">ROUND($K210*D210,0)</f>
        <v>7656</v>
      </c>
    </row>
    <row r="211" spans="1:16">
      <c r="A211" s="93" t="s">
        <v>84</v>
      </c>
      <c r="C211" s="92">
        <v>24</v>
      </c>
      <c r="D211" s="92">
        <f t="shared" ref="D211" si="55">ROUND($C211*D$210/$C$210,0)</f>
        <v>20</v>
      </c>
      <c r="E211" s="92"/>
      <c r="F211" s="147">
        <v>2</v>
      </c>
      <c r="G211" s="95"/>
      <c r="H211" s="96">
        <f t="shared" si="53"/>
        <v>48</v>
      </c>
      <c r="I211" s="96">
        <f t="shared" si="53"/>
        <v>40</v>
      </c>
      <c r="J211" s="92"/>
      <c r="K211" s="147">
        <f>K$113</f>
        <v>2</v>
      </c>
      <c r="L211" s="95"/>
      <c r="M211" s="96">
        <f t="shared" si="54"/>
        <v>40</v>
      </c>
    </row>
    <row r="212" spans="1:16">
      <c r="A212" s="93" t="s">
        <v>87</v>
      </c>
      <c r="C212" s="92">
        <v>36</v>
      </c>
      <c r="D212" s="92">
        <v>91.752304526053933</v>
      </c>
      <c r="E212" s="92"/>
      <c r="F212" s="95">
        <v>-0.5</v>
      </c>
      <c r="G212" s="95"/>
      <c r="H212" s="96">
        <f t="shared" si="53"/>
        <v>-18</v>
      </c>
      <c r="I212" s="96">
        <f t="shared" si="53"/>
        <v>-46</v>
      </c>
      <c r="J212" s="92"/>
      <c r="K212" s="95">
        <f>K$114</f>
        <v>-0.5</v>
      </c>
      <c r="L212" s="95"/>
      <c r="M212" s="96">
        <f t="shared" si="54"/>
        <v>-46</v>
      </c>
    </row>
    <row r="213" spans="1:16">
      <c r="A213" s="93" t="s">
        <v>122</v>
      </c>
      <c r="C213" s="92">
        <v>10448</v>
      </c>
      <c r="D213" s="92">
        <f>ROUND($C213/$C$221*D$221,0)</f>
        <v>10044</v>
      </c>
      <c r="E213" s="92"/>
      <c r="F213" s="147">
        <v>3.99</v>
      </c>
      <c r="G213" s="95"/>
      <c r="H213" s="96">
        <f t="shared" si="53"/>
        <v>41688</v>
      </c>
      <c r="I213" s="96">
        <f t="shared" si="53"/>
        <v>40076</v>
      </c>
      <c r="J213" s="92"/>
      <c r="K213" s="147">
        <f>K$115</f>
        <v>4.3600000000000003</v>
      </c>
      <c r="L213" s="95"/>
      <c r="M213" s="96">
        <f t="shared" si="54"/>
        <v>43792</v>
      </c>
    </row>
    <row r="214" spans="1:16">
      <c r="A214" s="93" t="s">
        <v>123</v>
      </c>
      <c r="C214" s="92">
        <v>3123.7452901281099</v>
      </c>
      <c r="D214" s="92">
        <f>ROUND($C214/$C$221*D$221,0)</f>
        <v>3003</v>
      </c>
      <c r="E214" s="92"/>
      <c r="F214" s="147">
        <v>13.27</v>
      </c>
      <c r="G214" s="95"/>
      <c r="H214" s="96">
        <f t="shared" si="53"/>
        <v>41452</v>
      </c>
      <c r="I214" s="96">
        <f t="shared" si="53"/>
        <v>39850</v>
      </c>
      <c r="J214" s="92"/>
      <c r="K214" s="147">
        <f>K$116</f>
        <v>14.49</v>
      </c>
      <c r="L214" s="95"/>
      <c r="M214" s="96">
        <f t="shared" si="54"/>
        <v>43513</v>
      </c>
    </row>
    <row r="215" spans="1:16">
      <c r="A215" s="93" t="s">
        <v>124</v>
      </c>
      <c r="C215" s="92">
        <v>7324.2546848381598</v>
      </c>
      <c r="D215" s="92">
        <f>ROUND($C215/$C$221*D$221,0)</f>
        <v>7041</v>
      </c>
      <c r="E215" s="92"/>
      <c r="F215" s="147">
        <v>11.74</v>
      </c>
      <c r="G215" s="95"/>
      <c r="H215" s="96">
        <f t="shared" si="53"/>
        <v>85987</v>
      </c>
      <c r="I215" s="96">
        <f t="shared" si="53"/>
        <v>82661</v>
      </c>
      <c r="J215" s="92"/>
      <c r="K215" s="147">
        <f>K$117</f>
        <v>12.82</v>
      </c>
      <c r="L215" s="95"/>
      <c r="M215" s="96">
        <f t="shared" si="54"/>
        <v>90266</v>
      </c>
    </row>
    <row r="216" spans="1:16">
      <c r="A216" s="93" t="s">
        <v>126</v>
      </c>
      <c r="C216" s="92">
        <v>1098561</v>
      </c>
      <c r="D216" s="92">
        <v>1077547</v>
      </c>
      <c r="E216" s="92"/>
      <c r="F216" s="150">
        <v>3.8877999999999999</v>
      </c>
      <c r="G216" s="120" t="s">
        <v>90</v>
      </c>
      <c r="H216" s="96">
        <f>ROUND($F216*C216/100,0)</f>
        <v>42710</v>
      </c>
      <c r="I216" s="96">
        <f>ROUND($F216*D216/100,0)</f>
        <v>41893</v>
      </c>
      <c r="J216" s="92"/>
      <c r="K216" s="150">
        <f>K$118</f>
        <v>4.0175000000000001</v>
      </c>
      <c r="L216" s="120" t="s">
        <v>90</v>
      </c>
      <c r="M216" s="96">
        <f>ROUND($K216*D216/100,0)</f>
        <v>43290</v>
      </c>
    </row>
    <row r="217" spans="1:16">
      <c r="A217" s="93" t="s">
        <v>127</v>
      </c>
      <c r="C217" s="92">
        <v>2671035</v>
      </c>
      <c r="D217" s="92">
        <f>D221-D216</f>
        <v>2556632</v>
      </c>
      <c r="E217" s="92"/>
      <c r="F217" s="150">
        <v>3.4405000000000001</v>
      </c>
      <c r="G217" s="120" t="s">
        <v>90</v>
      </c>
      <c r="H217" s="96">
        <f>ROUND($F217*C217/100,0)</f>
        <v>91897</v>
      </c>
      <c r="I217" s="96">
        <f>ROUND($F217*D217/100,0)</f>
        <v>87961</v>
      </c>
      <c r="J217" s="92"/>
      <c r="K217" s="150">
        <f>K$119</f>
        <v>3.5527000000000002</v>
      </c>
      <c r="L217" s="120" t="s">
        <v>90</v>
      </c>
      <c r="M217" s="96">
        <f>ROUND($K217*D217/100,0)</f>
        <v>90829</v>
      </c>
    </row>
    <row r="218" spans="1:16">
      <c r="A218" s="93" t="s">
        <v>128</v>
      </c>
      <c r="C218" s="92">
        <v>0</v>
      </c>
      <c r="D218" s="92">
        <f>ROUND($C218/$C$221*D$221,0)</f>
        <v>0</v>
      </c>
      <c r="E218" s="92"/>
      <c r="F218" s="95">
        <v>-0.96</v>
      </c>
      <c r="G218" s="95"/>
      <c r="H218" s="96">
        <f>ROUND($F218*C218,0)</f>
        <v>0</v>
      </c>
      <c r="I218" s="96">
        <f>ROUND($F218*D218,0)</f>
        <v>0</v>
      </c>
      <c r="J218" s="92"/>
      <c r="K218" s="95">
        <f>K$120</f>
        <v>-0.96</v>
      </c>
      <c r="L218" s="95"/>
      <c r="M218" s="96">
        <f>ROUND($K218*D218,0)</f>
        <v>0</v>
      </c>
    </row>
    <row r="219" spans="1:16">
      <c r="A219" s="129" t="s">
        <v>101</v>
      </c>
      <c r="C219" s="92">
        <v>0</v>
      </c>
      <c r="D219" s="92"/>
      <c r="E219" s="92"/>
      <c r="F219" s="150">
        <v>7.125</v>
      </c>
      <c r="G219" s="120" t="s">
        <v>90</v>
      </c>
      <c r="H219" s="96">
        <f>ROUND($F219*C219/100,0)</f>
        <v>0</v>
      </c>
      <c r="I219" s="96">
        <f>ROUND($F219*D219/100,0)</f>
        <v>0</v>
      </c>
      <c r="J219" s="92"/>
      <c r="K219" s="150">
        <f>K$121</f>
        <v>7.125</v>
      </c>
      <c r="L219" s="120" t="s">
        <v>90</v>
      </c>
      <c r="M219" s="96">
        <f>ROUND($K219*D219/100,0)</f>
        <v>0</v>
      </c>
    </row>
    <row r="220" spans="1:16">
      <c r="A220" s="129" t="s">
        <v>103</v>
      </c>
      <c r="B220" s="130"/>
      <c r="C220" s="92">
        <v>10616</v>
      </c>
      <c r="D220" s="92"/>
      <c r="E220" s="92"/>
      <c r="F220" s="131"/>
      <c r="G220" s="9"/>
      <c r="H220" s="96">
        <v>1044</v>
      </c>
      <c r="I220" s="96"/>
      <c r="J220" s="92"/>
      <c r="K220" s="131"/>
      <c r="L220" s="9"/>
      <c r="M220" s="96"/>
      <c r="N220" s="121"/>
      <c r="O220" s="121"/>
      <c r="P220" s="121"/>
    </row>
    <row r="221" spans="1:16" ht="16.5" thickBot="1">
      <c r="A221" s="133" t="s">
        <v>105</v>
      </c>
      <c r="B221" s="134"/>
      <c r="C221" s="135">
        <f>SUM(C216:C217,C219:C220)</f>
        <v>3780212</v>
      </c>
      <c r="D221" s="135">
        <v>3634179</v>
      </c>
      <c r="E221" s="135"/>
      <c r="F221" s="134"/>
      <c r="G221" s="134"/>
      <c r="H221" s="136">
        <f>SUM(H210:H220)</f>
        <v>313023</v>
      </c>
      <c r="I221" s="136">
        <f>SUM(I210:I220)</f>
        <v>299431</v>
      </c>
      <c r="J221" s="135"/>
      <c r="K221" s="134"/>
      <c r="L221" s="134"/>
      <c r="M221" s="136">
        <f>SUM(M210:M220)</f>
        <v>319340</v>
      </c>
      <c r="O221" s="93" t="s">
        <v>86</v>
      </c>
      <c r="P221" s="154">
        <f>M221/I221-1</f>
        <v>6.6489441640979141E-2</v>
      </c>
    </row>
    <row r="222" spans="1:16" ht="16.5" thickTop="1"/>
    <row r="223" spans="1:16">
      <c r="A223" s="90" t="s">
        <v>130</v>
      </c>
      <c r="C223" s="92"/>
      <c r="D223" s="92"/>
      <c r="E223" s="92"/>
      <c r="F223" s="150"/>
      <c r="G223" s="150"/>
      <c r="J223" s="92"/>
      <c r="K223" s="150"/>
      <c r="L223" s="150"/>
    </row>
    <row r="224" spans="1:16">
      <c r="A224" s="93" t="s">
        <v>121</v>
      </c>
      <c r="C224" s="92">
        <f t="shared" ref="C224:D234" si="56">C239+C254+C269</f>
        <v>31890.766037735862</v>
      </c>
      <c r="D224" s="92">
        <f t="shared" si="56"/>
        <v>32644.912185631401</v>
      </c>
      <c r="E224" s="92"/>
      <c r="F224" s="95">
        <v>53</v>
      </c>
      <c r="G224" s="95"/>
      <c r="H224" s="96">
        <f t="shared" ref="H224:I226" si="57">ROUND($F224*C224,0)</f>
        <v>1690211</v>
      </c>
      <c r="I224" s="96">
        <f t="shared" si="57"/>
        <v>1730180</v>
      </c>
      <c r="J224" s="92"/>
      <c r="K224" s="95">
        <f>ROUND(F224*(1+P228),0)</f>
        <v>57</v>
      </c>
      <c r="L224" s="95"/>
      <c r="M224" s="96">
        <f>ROUND($K224*D224,0)</f>
        <v>1860760</v>
      </c>
      <c r="O224" s="103" t="s">
        <v>79</v>
      </c>
      <c r="P224" s="104">
        <f>M236+M296</f>
        <v>45888662</v>
      </c>
    </row>
    <row r="225" spans="1:18">
      <c r="A225" s="93" t="s">
        <v>84</v>
      </c>
      <c r="C225" s="92">
        <f t="shared" si="56"/>
        <v>0</v>
      </c>
      <c r="D225" s="92">
        <f t="shared" si="56"/>
        <v>0</v>
      </c>
      <c r="E225" s="92"/>
      <c r="F225" s="147">
        <v>2</v>
      </c>
      <c r="G225" s="147"/>
      <c r="H225" s="96">
        <f t="shared" si="57"/>
        <v>0</v>
      </c>
      <c r="I225" s="96">
        <f t="shared" si="57"/>
        <v>0</v>
      </c>
      <c r="J225" s="92"/>
      <c r="K225" s="147">
        <f>F225</f>
        <v>2</v>
      </c>
      <c r="L225" s="147"/>
      <c r="M225" s="96">
        <f>ROUND($K225*D225,0)</f>
        <v>0</v>
      </c>
      <c r="O225" s="106" t="s">
        <v>81</v>
      </c>
      <c r="P225" s="107">
        <f>'Rate Spread'!M20*1000</f>
        <v>45888514.44428625</v>
      </c>
    </row>
    <row r="226" spans="1:18">
      <c r="A226" s="93" t="s">
        <v>87</v>
      </c>
      <c r="C226" s="92">
        <f t="shared" si="56"/>
        <v>22218</v>
      </c>
      <c r="D226" s="92">
        <f t="shared" si="56"/>
        <v>22691.257000623798</v>
      </c>
      <c r="E226" s="92"/>
      <c r="F226" s="95">
        <v>-0.5</v>
      </c>
      <c r="G226" s="95"/>
      <c r="H226" s="96">
        <f t="shared" si="57"/>
        <v>-11109</v>
      </c>
      <c r="I226" s="96">
        <f t="shared" si="57"/>
        <v>-11346</v>
      </c>
      <c r="J226" s="92"/>
      <c r="K226" s="95">
        <f>F226</f>
        <v>-0.5</v>
      </c>
      <c r="L226" s="95"/>
      <c r="M226" s="96">
        <f>ROUND($K226*D226,0)</f>
        <v>-11346</v>
      </c>
      <c r="O226" s="109" t="s">
        <v>83</v>
      </c>
      <c r="P226" s="110">
        <f>P225-P224</f>
        <v>-147.555713750422</v>
      </c>
    </row>
    <row r="227" spans="1:18">
      <c r="A227" s="93" t="s">
        <v>137</v>
      </c>
      <c r="C227" s="92">
        <f t="shared" si="56"/>
        <v>44332976</v>
      </c>
      <c r="D227" s="92">
        <f t="shared" si="56"/>
        <v>39064692.169739261</v>
      </c>
      <c r="E227" s="92"/>
      <c r="F227" s="155">
        <v>28.156199999999998</v>
      </c>
      <c r="G227" s="120" t="s">
        <v>90</v>
      </c>
      <c r="H227" s="96">
        <f t="shared" ref="H227:I232" si="58">ROUND($F227*C227/100,0)</f>
        <v>12482481</v>
      </c>
      <c r="I227" s="96">
        <f t="shared" si="58"/>
        <v>10999133</v>
      </c>
      <c r="J227" s="92"/>
      <c r="K227" s="155">
        <f t="shared" ref="K227:K232" si="59">ROUND(F227*(1+$P$229),$P$9)</f>
        <v>30.090699999999998</v>
      </c>
      <c r="L227" s="120" t="s">
        <v>90</v>
      </c>
      <c r="M227" s="96">
        <f t="shared" ref="M227:M232" si="60">ROUND($K227*D227/100,0)</f>
        <v>11754839</v>
      </c>
      <c r="O227" s="103" t="s">
        <v>86</v>
      </c>
      <c r="P227" s="149">
        <f>P224/(I236+I296)-1</f>
        <v>6.6739904793070348E-2</v>
      </c>
      <c r="R227" s="121"/>
    </row>
    <row r="228" spans="1:18">
      <c r="A228" s="93" t="s">
        <v>138</v>
      </c>
      <c r="C228" s="92">
        <f t="shared" si="56"/>
        <v>90058491.528495118</v>
      </c>
      <c r="D228" s="92">
        <f t="shared" si="56"/>
        <v>78664169.080060273</v>
      </c>
      <c r="E228" s="92"/>
      <c r="F228" s="155">
        <v>10.309899999999999</v>
      </c>
      <c r="G228" s="120" t="s">
        <v>90</v>
      </c>
      <c r="H228" s="96">
        <f t="shared" si="58"/>
        <v>9284940</v>
      </c>
      <c r="I228" s="96">
        <f t="shared" si="58"/>
        <v>8110197</v>
      </c>
      <c r="J228" s="92"/>
      <c r="K228" s="155">
        <f t="shared" si="59"/>
        <v>11.0183</v>
      </c>
      <c r="L228" s="120" t="s">
        <v>90</v>
      </c>
      <c r="M228" s="96">
        <f t="shared" si="60"/>
        <v>8667454</v>
      </c>
      <c r="O228" s="106" t="s">
        <v>88</v>
      </c>
      <c r="P228" s="148">
        <f>P225/(I236+I296)-1</f>
        <v>6.6736474674143675E-2</v>
      </c>
      <c r="R228" s="121"/>
    </row>
    <row r="229" spans="1:18">
      <c r="A229" s="93" t="s">
        <v>139</v>
      </c>
      <c r="C229" s="92">
        <f t="shared" si="56"/>
        <v>62158707</v>
      </c>
      <c r="D229" s="92">
        <f t="shared" si="56"/>
        <v>54474169.371769935</v>
      </c>
      <c r="E229" s="92"/>
      <c r="F229" s="155">
        <v>-8.335799999999999</v>
      </c>
      <c r="G229" s="120" t="s">
        <v>90</v>
      </c>
      <c r="H229" s="96">
        <f t="shared" si="58"/>
        <v>-5181425</v>
      </c>
      <c r="I229" s="96">
        <f t="shared" si="58"/>
        <v>-4540858</v>
      </c>
      <c r="J229" s="92"/>
      <c r="K229" s="155">
        <f t="shared" si="59"/>
        <v>-8.9085000000000001</v>
      </c>
      <c r="L229" s="120" t="s">
        <v>90</v>
      </c>
      <c r="M229" s="96">
        <f t="shared" si="60"/>
        <v>-4852831</v>
      </c>
      <c r="O229" s="124" t="s">
        <v>140</v>
      </c>
      <c r="P229" s="151">
        <f>(P225-SUM(M224:M226,M233:M234,M284:M286,M293:M294))/SUM(I227:I232,I287:I292)-1</f>
        <v>6.8707004463963495E-2</v>
      </c>
      <c r="Q229" s="119">
        <f>K229/K232</f>
        <v>1.130004059059313</v>
      </c>
      <c r="R229" s="121">
        <f>D229/(D227+D228)</f>
        <v>0.46270870875227033</v>
      </c>
    </row>
    <row r="230" spans="1:18">
      <c r="A230" s="93" t="s">
        <v>141</v>
      </c>
      <c r="C230" s="92">
        <f t="shared" si="56"/>
        <v>76731786</v>
      </c>
      <c r="D230" s="92">
        <f t="shared" si="56"/>
        <v>65062862.331874683</v>
      </c>
      <c r="E230" s="92"/>
      <c r="F230" s="155">
        <v>24.916999999999998</v>
      </c>
      <c r="G230" s="120" t="s">
        <v>90</v>
      </c>
      <c r="H230" s="96">
        <f t="shared" si="58"/>
        <v>19119259</v>
      </c>
      <c r="I230" s="96">
        <f t="shared" si="58"/>
        <v>16211713</v>
      </c>
      <c r="J230" s="92"/>
      <c r="K230" s="155">
        <f t="shared" si="59"/>
        <v>26.629000000000001</v>
      </c>
      <c r="L230" s="120" t="s">
        <v>90</v>
      </c>
      <c r="M230" s="96">
        <f t="shared" si="60"/>
        <v>17325590</v>
      </c>
      <c r="O230" s="89" t="s">
        <v>142</v>
      </c>
      <c r="P230" s="143">
        <f>F227/F228</f>
        <v>2.7309867215006935</v>
      </c>
      <c r="Q230" s="143">
        <f>K227/K228</f>
        <v>2.730974832778196</v>
      </c>
      <c r="R230" s="121"/>
    </row>
    <row r="231" spans="1:18">
      <c r="A231" s="93" t="s">
        <v>143</v>
      </c>
      <c r="C231" s="92">
        <f t="shared" si="56"/>
        <v>182776101.3606962</v>
      </c>
      <c r="D231" s="92">
        <f t="shared" si="56"/>
        <v>155552105.0802134</v>
      </c>
      <c r="E231" s="92"/>
      <c r="F231" s="155">
        <v>9.1237999999999992</v>
      </c>
      <c r="G231" s="120" t="s">
        <v>90</v>
      </c>
      <c r="H231" s="96">
        <f t="shared" si="58"/>
        <v>16676126</v>
      </c>
      <c r="I231" s="96">
        <f t="shared" si="58"/>
        <v>14192263</v>
      </c>
      <c r="J231" s="92"/>
      <c r="K231" s="155">
        <f t="shared" si="59"/>
        <v>9.7507000000000001</v>
      </c>
      <c r="L231" s="120" t="s">
        <v>90</v>
      </c>
      <c r="M231" s="96">
        <f t="shared" si="60"/>
        <v>15167419</v>
      </c>
      <c r="O231" s="89" t="s">
        <v>144</v>
      </c>
      <c r="P231" s="143">
        <v>1.1299999999999999</v>
      </c>
      <c r="Q231" s="119">
        <f>K227/K230</f>
        <v>1.1299973712869427</v>
      </c>
      <c r="R231" s="121"/>
    </row>
    <row r="232" spans="1:18">
      <c r="A232" s="93" t="s">
        <v>145</v>
      </c>
      <c r="C232" s="92">
        <f t="shared" si="56"/>
        <v>114709599</v>
      </c>
      <c r="D232" s="92">
        <f t="shared" si="56"/>
        <v>97614934.775771841</v>
      </c>
      <c r="E232" s="92"/>
      <c r="F232" s="155">
        <v>-7.3768000000000002</v>
      </c>
      <c r="G232" s="120" t="s">
        <v>90</v>
      </c>
      <c r="H232" s="96">
        <f t="shared" si="58"/>
        <v>-8461898</v>
      </c>
      <c r="I232" s="96">
        <f t="shared" si="58"/>
        <v>-7200859</v>
      </c>
      <c r="J232" s="92"/>
      <c r="K232" s="155">
        <f t="shared" si="59"/>
        <v>-7.8836000000000004</v>
      </c>
      <c r="L232" s="120" t="s">
        <v>90</v>
      </c>
      <c r="M232" s="96">
        <f t="shared" si="60"/>
        <v>-7695571</v>
      </c>
      <c r="O232" s="89" t="s">
        <v>146</v>
      </c>
      <c r="P232" s="143">
        <f>1/3</f>
        <v>0.33333333333333331</v>
      </c>
      <c r="R232" s="121">
        <f>D232/(D230+D231)</f>
        <v>0.44246741697011105</v>
      </c>
    </row>
    <row r="233" spans="1:18">
      <c r="A233" s="93" t="s">
        <v>128</v>
      </c>
      <c r="C233" s="92">
        <f t="shared" si="56"/>
        <v>189093.72131147521</v>
      </c>
      <c r="D233" s="92">
        <f t="shared" si="56"/>
        <v>161140</v>
      </c>
      <c r="E233" s="92"/>
      <c r="F233" s="95">
        <v>-0.61</v>
      </c>
      <c r="G233" s="95"/>
      <c r="H233" s="96">
        <f>ROUND($F233*C233,0)</f>
        <v>-115347</v>
      </c>
      <c r="I233" s="96">
        <f>ROUND($F233*D233,0)</f>
        <v>-98295</v>
      </c>
      <c r="J233" s="92"/>
      <c r="K233" s="95">
        <f>F233</f>
        <v>-0.61</v>
      </c>
      <c r="L233" s="95"/>
      <c r="M233" s="96">
        <f>ROUND($K233*D233,0)</f>
        <v>-98295</v>
      </c>
      <c r="P233" s="32"/>
    </row>
    <row r="234" spans="1:18">
      <c r="A234" s="129" t="s">
        <v>101</v>
      </c>
      <c r="C234" s="92">
        <f t="shared" si="56"/>
        <v>25118400</v>
      </c>
      <c r="D234" s="92">
        <f t="shared" si="56"/>
        <v>21401258</v>
      </c>
      <c r="E234" s="92"/>
      <c r="F234" s="150">
        <v>7.125</v>
      </c>
      <c r="G234" s="156" t="s">
        <v>90</v>
      </c>
      <c r="H234" s="96">
        <f>ROUND($F234*C234/100,0)</f>
        <v>1789686</v>
      </c>
      <c r="I234" s="96">
        <f>ROUND($F234*D234/100,0)</f>
        <v>1524840</v>
      </c>
      <c r="J234" s="92"/>
      <c r="K234" s="150">
        <f>F234</f>
        <v>7.125</v>
      </c>
      <c r="L234" s="156" t="s">
        <v>90</v>
      </c>
      <c r="M234" s="96">
        <f>ROUND($K234*D234/100,0)</f>
        <v>1524840</v>
      </c>
      <c r="P234" s="32"/>
    </row>
    <row r="235" spans="1:18">
      <c r="A235" s="129" t="s">
        <v>103</v>
      </c>
      <c r="B235" s="130"/>
      <c r="C235" s="92">
        <f>C250+C265+C280</f>
        <v>2649707</v>
      </c>
      <c r="D235" s="92"/>
      <c r="E235" s="92"/>
      <c r="F235" s="131"/>
      <c r="G235" s="9"/>
      <c r="H235" s="96">
        <f>H250+H265+H280</f>
        <v>317883</v>
      </c>
      <c r="I235" s="96"/>
      <c r="J235" s="92"/>
      <c r="K235" s="131"/>
      <c r="L235" s="9"/>
      <c r="M235" s="96"/>
      <c r="N235" s="121"/>
      <c r="O235" s="121"/>
      <c r="P235" s="144"/>
    </row>
    <row r="236" spans="1:18" ht="16.5" thickBot="1">
      <c r="A236" s="133" t="s">
        <v>105</v>
      </c>
      <c r="B236" s="134"/>
      <c r="C236" s="135">
        <f>C251+C266+C281</f>
        <v>421667461.88919133</v>
      </c>
      <c r="D236" s="135">
        <f>D251+D266+D281</f>
        <v>359745086.66188765</v>
      </c>
      <c r="E236" s="135"/>
      <c r="F236" s="134"/>
      <c r="G236" s="134"/>
      <c r="H236" s="136">
        <f>SUM(H224:H235)</f>
        <v>47590807</v>
      </c>
      <c r="I236" s="136">
        <f>SUM(I224:I235)</f>
        <v>40916968</v>
      </c>
      <c r="J236" s="135"/>
      <c r="K236" s="134"/>
      <c r="L236" s="134"/>
      <c r="M236" s="136">
        <f>SUM(M224:M235)</f>
        <v>43642859</v>
      </c>
      <c r="O236" s="89" t="s">
        <v>86</v>
      </c>
      <c r="P236" s="88">
        <f>M236/I236-1</f>
        <v>6.6620063343892033E-2</v>
      </c>
      <c r="R236" s="72" t="e">
        <f>SUM(#REF!)-SUM(M227:M232)</f>
        <v>#REF!</v>
      </c>
    </row>
    <row r="237" spans="1:18" ht="16.5" thickTop="1">
      <c r="C237" s="92"/>
      <c r="D237" s="92"/>
      <c r="E237" s="92"/>
      <c r="J237" s="92"/>
    </row>
    <row r="238" spans="1:18">
      <c r="A238" s="90" t="s">
        <v>435</v>
      </c>
      <c r="C238" s="92"/>
      <c r="D238" s="92"/>
      <c r="E238" s="92"/>
      <c r="F238" s="150"/>
      <c r="G238" s="150"/>
      <c r="J238" s="92"/>
      <c r="K238" s="150"/>
      <c r="L238" s="150"/>
    </row>
    <row r="239" spans="1:18">
      <c r="A239" s="93" t="s">
        <v>121</v>
      </c>
      <c r="C239" s="92">
        <v>28382.232452830202</v>
      </c>
      <c r="D239" s="92">
        <v>29116.912185631401</v>
      </c>
      <c r="E239" s="92"/>
      <c r="F239" s="95">
        <v>53</v>
      </c>
      <c r="G239" s="95"/>
      <c r="H239" s="96">
        <f t="shared" ref="H239:I241" si="61">ROUND($F239*C239,0)</f>
        <v>1504258</v>
      </c>
      <c r="I239" s="96">
        <f t="shared" si="61"/>
        <v>1543196</v>
      </c>
      <c r="J239" s="92"/>
      <c r="K239" s="95">
        <f>K$224</f>
        <v>57</v>
      </c>
      <c r="L239" s="95"/>
      <c r="M239" s="96">
        <f>ROUND($K239*D239,0)</f>
        <v>1659664</v>
      </c>
    </row>
    <row r="240" spans="1:18">
      <c r="A240" s="93" t="s">
        <v>84</v>
      </c>
      <c r="C240" s="92">
        <v>0</v>
      </c>
      <c r="D240" s="92">
        <f>ROUND($C240*D239/$C239,0)</f>
        <v>0</v>
      </c>
      <c r="E240" s="92"/>
      <c r="F240" s="147">
        <v>2</v>
      </c>
      <c r="G240" s="147"/>
      <c r="H240" s="96">
        <f t="shared" si="61"/>
        <v>0</v>
      </c>
      <c r="I240" s="96">
        <f t="shared" si="61"/>
        <v>0</v>
      </c>
      <c r="J240" s="92"/>
      <c r="K240" s="147">
        <f>K$225</f>
        <v>2</v>
      </c>
      <c r="L240" s="147"/>
      <c r="M240" s="96">
        <f>ROUND($K240*D240,0)</f>
        <v>0</v>
      </c>
    </row>
    <row r="241" spans="1:16">
      <c r="A241" s="93" t="s">
        <v>87</v>
      </c>
      <c r="C241" s="92">
        <v>20862</v>
      </c>
      <c r="D241" s="92">
        <v>20238.968134200175</v>
      </c>
      <c r="E241" s="92"/>
      <c r="F241" s="95">
        <v>-0.5</v>
      </c>
      <c r="G241" s="95"/>
      <c r="H241" s="96">
        <f t="shared" si="61"/>
        <v>-10431</v>
      </c>
      <c r="I241" s="96">
        <f t="shared" si="61"/>
        <v>-10119</v>
      </c>
      <c r="J241" s="92"/>
      <c r="K241" s="95">
        <f>K$226</f>
        <v>-0.5</v>
      </c>
      <c r="L241" s="95"/>
      <c r="M241" s="96">
        <f>ROUND($K241*D241,0)</f>
        <v>-10119</v>
      </c>
    </row>
    <row r="242" spans="1:16">
      <c r="A242" s="93" t="s">
        <v>137</v>
      </c>
      <c r="C242" s="92">
        <v>37036282</v>
      </c>
      <c r="D242" s="92">
        <v>33807866.863956802</v>
      </c>
      <c r="E242" s="92"/>
      <c r="F242" s="155">
        <v>28.156199999999998</v>
      </c>
      <c r="G242" s="120" t="s">
        <v>90</v>
      </c>
      <c r="H242" s="96">
        <f t="shared" ref="H242:I247" si="62">ROUND($F242*C242/100,0)</f>
        <v>10428010</v>
      </c>
      <c r="I242" s="96">
        <f t="shared" si="62"/>
        <v>9519011</v>
      </c>
      <c r="J242" s="92"/>
      <c r="K242" s="155">
        <f>K$227</f>
        <v>30.090699999999998</v>
      </c>
      <c r="L242" s="120" t="s">
        <v>90</v>
      </c>
      <c r="M242" s="96">
        <f t="shared" ref="M242:M247" si="63">ROUND($K242*D242/100,0)</f>
        <v>10173024</v>
      </c>
    </row>
    <row r="243" spans="1:16">
      <c r="A243" s="93" t="s">
        <v>138</v>
      </c>
      <c r="C243" s="92">
        <v>68953961.528495118</v>
      </c>
      <c r="D243" s="92">
        <v>62943314.642051853</v>
      </c>
      <c r="E243" s="92"/>
      <c r="F243" s="155">
        <v>10.309899999999999</v>
      </c>
      <c r="G243" s="120" t="s">
        <v>90</v>
      </c>
      <c r="H243" s="96">
        <f t="shared" si="62"/>
        <v>7109084</v>
      </c>
      <c r="I243" s="96">
        <f t="shared" si="62"/>
        <v>6489393</v>
      </c>
      <c r="J243" s="92"/>
      <c r="K243" s="155">
        <f>K$228</f>
        <v>11.0183</v>
      </c>
      <c r="L243" s="120" t="s">
        <v>90</v>
      </c>
      <c r="M243" s="96">
        <f t="shared" si="63"/>
        <v>6935283</v>
      </c>
    </row>
    <row r="244" spans="1:16">
      <c r="A244" s="93" t="s">
        <v>139</v>
      </c>
      <c r="C244" s="92">
        <v>49051171</v>
      </c>
      <c r="D244" s="92">
        <f>$C244/($C242+$C243)*(D242+D243)</f>
        <v>44775430.176527396</v>
      </c>
      <c r="E244" s="92"/>
      <c r="F244" s="155">
        <v>-8.335799999999999</v>
      </c>
      <c r="G244" s="120" t="s">
        <v>90</v>
      </c>
      <c r="H244" s="96">
        <f t="shared" si="62"/>
        <v>-4088808</v>
      </c>
      <c r="I244" s="96">
        <f t="shared" si="62"/>
        <v>-3732390</v>
      </c>
      <c r="J244" s="92"/>
      <c r="K244" s="155">
        <f>K$229</f>
        <v>-8.9085000000000001</v>
      </c>
      <c r="L244" s="120" t="s">
        <v>90</v>
      </c>
      <c r="M244" s="96">
        <f t="shared" si="63"/>
        <v>-3988819</v>
      </c>
    </row>
    <row r="245" spans="1:16">
      <c r="A245" s="93" t="s">
        <v>141</v>
      </c>
      <c r="C245" s="92">
        <v>64262364</v>
      </c>
      <c r="D245" s="92">
        <v>54729635.210949637</v>
      </c>
      <c r="E245" s="92"/>
      <c r="F245" s="155">
        <v>24.916999999999998</v>
      </c>
      <c r="G245" s="120" t="s">
        <v>90</v>
      </c>
      <c r="H245" s="96">
        <f t="shared" si="62"/>
        <v>16012253</v>
      </c>
      <c r="I245" s="96">
        <f t="shared" si="62"/>
        <v>13636983</v>
      </c>
      <c r="J245" s="92"/>
      <c r="K245" s="155">
        <f>K$230</f>
        <v>26.629000000000001</v>
      </c>
      <c r="L245" s="120" t="s">
        <v>90</v>
      </c>
      <c r="M245" s="96">
        <f t="shared" si="63"/>
        <v>14573955</v>
      </c>
    </row>
    <row r="246" spans="1:16">
      <c r="A246" s="93" t="s">
        <v>143</v>
      </c>
      <c r="C246" s="92">
        <v>151018436.3606962</v>
      </c>
      <c r="D246" s="92">
        <f>D251-D249-D242-D243-D245</f>
        <v>128616244.68326306</v>
      </c>
      <c r="E246" s="92"/>
      <c r="F246" s="155">
        <v>9.1237999999999992</v>
      </c>
      <c r="G246" s="120" t="s">
        <v>90</v>
      </c>
      <c r="H246" s="96">
        <f t="shared" si="62"/>
        <v>13778620</v>
      </c>
      <c r="I246" s="96">
        <f t="shared" si="62"/>
        <v>11734689</v>
      </c>
      <c r="J246" s="92"/>
      <c r="K246" s="155">
        <f>K$231</f>
        <v>9.7507000000000001</v>
      </c>
      <c r="L246" s="120" t="s">
        <v>90</v>
      </c>
      <c r="M246" s="96">
        <f t="shared" si="63"/>
        <v>12540984</v>
      </c>
    </row>
    <row r="247" spans="1:16">
      <c r="A247" s="93" t="s">
        <v>145</v>
      </c>
      <c r="C247" s="92">
        <v>96197468</v>
      </c>
      <c r="D247" s="92">
        <f>$C247/($C245+$C246)*(D245+D246)</f>
        <v>81927461.178630173</v>
      </c>
      <c r="E247" s="92"/>
      <c r="F247" s="155">
        <v>-7.3768000000000002</v>
      </c>
      <c r="G247" s="120" t="s">
        <v>90</v>
      </c>
      <c r="H247" s="96">
        <f t="shared" si="62"/>
        <v>-7096295</v>
      </c>
      <c r="I247" s="96">
        <f t="shared" si="62"/>
        <v>-6043625</v>
      </c>
      <c r="J247" s="92"/>
      <c r="K247" s="155">
        <f>K$232</f>
        <v>-7.8836000000000004</v>
      </c>
      <c r="L247" s="120" t="s">
        <v>90</v>
      </c>
      <c r="M247" s="96">
        <f t="shared" si="63"/>
        <v>-6458833</v>
      </c>
    </row>
    <row r="248" spans="1:16">
      <c r="A248" s="93" t="s">
        <v>128</v>
      </c>
      <c r="C248" s="92">
        <v>163191.29508196699</v>
      </c>
      <c r="D248" s="92">
        <f>ROUND($C248*D251/$C251,0)</f>
        <v>141130</v>
      </c>
      <c r="E248" s="92"/>
      <c r="F248" s="95">
        <v>-0.61</v>
      </c>
      <c r="G248" s="95"/>
      <c r="H248" s="96">
        <f>ROUND($F248*C248,0)</f>
        <v>-99547</v>
      </c>
      <c r="I248" s="96">
        <f>ROUND($F248*D248,0)</f>
        <v>-86089</v>
      </c>
      <c r="J248" s="92"/>
      <c r="K248" s="95">
        <f>K$233</f>
        <v>-0.61</v>
      </c>
      <c r="L248" s="95"/>
      <c r="M248" s="96">
        <f>ROUND($K248*D248,0)</f>
        <v>-86089</v>
      </c>
    </row>
    <row r="249" spans="1:16">
      <c r="A249" s="129" t="s">
        <v>101</v>
      </c>
      <c r="C249" s="92">
        <v>21635600</v>
      </c>
      <c r="D249" s="92">
        <f>ROUND($C249*D251/$C251,0)</f>
        <v>18710774</v>
      </c>
      <c r="E249" s="92"/>
      <c r="F249" s="150">
        <v>7.125</v>
      </c>
      <c r="G249" s="156" t="s">
        <v>90</v>
      </c>
      <c r="H249" s="96">
        <f>ROUND($F249*C249/100,0)</f>
        <v>1541537</v>
      </c>
      <c r="I249" s="96">
        <f>ROUND($F249*D249/100,0)</f>
        <v>1333143</v>
      </c>
      <c r="J249" s="92"/>
      <c r="K249" s="150">
        <f>K$234</f>
        <v>7.125</v>
      </c>
      <c r="L249" s="156" t="s">
        <v>90</v>
      </c>
      <c r="M249" s="96">
        <f>ROUND($K249*D249/100,0)</f>
        <v>1333143</v>
      </c>
    </row>
    <row r="250" spans="1:16">
      <c r="A250" s="129" t="s">
        <v>103</v>
      </c>
      <c r="B250" s="130"/>
      <c r="C250" s="92">
        <v>2610155</v>
      </c>
      <c r="D250" s="92"/>
      <c r="E250" s="92"/>
      <c r="F250" s="131"/>
      <c r="G250" s="9"/>
      <c r="H250" s="96">
        <v>298629</v>
      </c>
      <c r="I250" s="96"/>
      <c r="J250" s="92"/>
      <c r="K250" s="131"/>
      <c r="L250" s="9"/>
      <c r="M250" s="96"/>
      <c r="N250" s="121"/>
      <c r="O250" s="121"/>
      <c r="P250" s="121"/>
    </row>
    <row r="251" spans="1:16" ht="16.5" thickBot="1">
      <c r="A251" s="133" t="s">
        <v>105</v>
      </c>
      <c r="B251" s="134"/>
      <c r="C251" s="135">
        <f>SUM(C242:C243,C245:C246,C249:C250)</f>
        <v>345516798.88919133</v>
      </c>
      <c r="D251" s="135">
        <v>298807835.40022135</v>
      </c>
      <c r="E251" s="135"/>
      <c r="F251" s="134"/>
      <c r="G251" s="134"/>
      <c r="H251" s="136">
        <f>SUM(H239:H250)</f>
        <v>39377310</v>
      </c>
      <c r="I251" s="136">
        <f>SUM(I239:I250)</f>
        <v>34384192</v>
      </c>
      <c r="J251" s="135"/>
      <c r="K251" s="134"/>
      <c r="L251" s="134"/>
      <c r="M251" s="136">
        <f>SUM(M239:M250)</f>
        <v>36672193</v>
      </c>
      <c r="O251" s="89" t="s">
        <v>86</v>
      </c>
      <c r="P251" s="88">
        <f>M251/I251-1</f>
        <v>6.6542235455176568E-2</v>
      </c>
    </row>
    <row r="252" spans="1:16" ht="16.5" thickTop="1">
      <c r="C252" s="92"/>
      <c r="D252" s="92"/>
      <c r="E252" s="92"/>
      <c r="J252" s="92"/>
    </row>
    <row r="253" spans="1:16">
      <c r="A253" s="90" t="s">
        <v>436</v>
      </c>
      <c r="C253" s="92"/>
      <c r="D253" s="92"/>
      <c r="E253" s="92"/>
      <c r="F253" s="150"/>
      <c r="G253" s="150"/>
      <c r="J253" s="92"/>
      <c r="K253" s="150"/>
      <c r="L253" s="150"/>
    </row>
    <row r="254" spans="1:16">
      <c r="A254" s="93" t="s">
        <v>121</v>
      </c>
      <c r="C254" s="92">
        <v>3148.6667924528301</v>
      </c>
      <c r="D254" s="92">
        <v>3168</v>
      </c>
      <c r="E254" s="92"/>
      <c r="F254" s="95">
        <v>53</v>
      </c>
      <c r="G254" s="95"/>
      <c r="H254" s="96">
        <f t="shared" ref="H254:I256" si="64">ROUND($F254*C254,0)</f>
        <v>166879</v>
      </c>
      <c r="I254" s="96">
        <f t="shared" si="64"/>
        <v>167904</v>
      </c>
      <c r="J254" s="92"/>
      <c r="K254" s="95">
        <f>K$224</f>
        <v>57</v>
      </c>
      <c r="L254" s="95"/>
      <c r="M254" s="96">
        <f>ROUND($K254*D254,0)</f>
        <v>180576</v>
      </c>
    </row>
    <row r="255" spans="1:16">
      <c r="A255" s="93" t="s">
        <v>84</v>
      </c>
      <c r="C255" s="92">
        <v>0</v>
      </c>
      <c r="D255" s="92">
        <f>ROUND($C255*D254/$C254,0)</f>
        <v>0</v>
      </c>
      <c r="E255" s="92"/>
      <c r="F255" s="147">
        <v>2</v>
      </c>
      <c r="G255" s="147"/>
      <c r="H255" s="96">
        <f t="shared" si="64"/>
        <v>0</v>
      </c>
      <c r="I255" s="96">
        <f t="shared" si="64"/>
        <v>0</v>
      </c>
      <c r="J255" s="92"/>
      <c r="K255" s="147">
        <f>K$225</f>
        <v>2</v>
      </c>
      <c r="L255" s="147"/>
      <c r="M255" s="96">
        <f>ROUND($K255*D255,0)</f>
        <v>0</v>
      </c>
    </row>
    <row r="256" spans="1:16">
      <c r="A256" s="93" t="s">
        <v>87</v>
      </c>
      <c r="C256" s="92">
        <v>1123</v>
      </c>
      <c r="D256" s="92">
        <v>2202.0553086252944</v>
      </c>
      <c r="E256" s="92"/>
      <c r="F256" s="95">
        <v>-0.5</v>
      </c>
      <c r="G256" s="95"/>
      <c r="H256" s="96">
        <f t="shared" si="64"/>
        <v>-562</v>
      </c>
      <c r="I256" s="96">
        <f t="shared" si="64"/>
        <v>-1101</v>
      </c>
      <c r="J256" s="92"/>
      <c r="K256" s="95">
        <f>K$226</f>
        <v>-0.5</v>
      </c>
      <c r="L256" s="95"/>
      <c r="M256" s="96">
        <f>ROUND($K256*D256,0)</f>
        <v>-1101</v>
      </c>
    </row>
    <row r="257" spans="1:16">
      <c r="A257" s="93" t="s">
        <v>137</v>
      </c>
      <c r="C257" s="92">
        <v>6925513</v>
      </c>
      <c r="D257" s="92">
        <v>4865858.7102066642</v>
      </c>
      <c r="E257" s="92"/>
      <c r="F257" s="155">
        <v>28.156199999999998</v>
      </c>
      <c r="G257" s="120" t="s">
        <v>90</v>
      </c>
      <c r="H257" s="96">
        <f t="shared" ref="H257:I262" si="65">ROUND($F257*C257/100,0)</f>
        <v>1949961</v>
      </c>
      <c r="I257" s="96">
        <f t="shared" si="65"/>
        <v>1370041</v>
      </c>
      <c r="J257" s="92"/>
      <c r="K257" s="155">
        <f>K$227</f>
        <v>30.090699999999998</v>
      </c>
      <c r="L257" s="120" t="s">
        <v>90</v>
      </c>
      <c r="M257" s="96">
        <f t="shared" ref="M257:M262" si="66">ROUND($K257*D257/100,0)</f>
        <v>1464171</v>
      </c>
    </row>
    <row r="258" spans="1:16">
      <c r="A258" s="93" t="s">
        <v>138</v>
      </c>
      <c r="C258" s="92">
        <v>18558712</v>
      </c>
      <c r="D258" s="92">
        <v>13039333.033584218</v>
      </c>
      <c r="E258" s="92"/>
      <c r="F258" s="155">
        <v>10.309899999999999</v>
      </c>
      <c r="G258" s="120" t="s">
        <v>90</v>
      </c>
      <c r="H258" s="96">
        <f t="shared" si="65"/>
        <v>1913385</v>
      </c>
      <c r="I258" s="96">
        <f t="shared" si="65"/>
        <v>1344342</v>
      </c>
      <c r="J258" s="92"/>
      <c r="K258" s="155">
        <f>K$228</f>
        <v>11.0183</v>
      </c>
      <c r="L258" s="120" t="s">
        <v>90</v>
      </c>
      <c r="M258" s="96">
        <f t="shared" si="66"/>
        <v>1436713</v>
      </c>
    </row>
    <row r="259" spans="1:16">
      <c r="A259" s="93" t="s">
        <v>139</v>
      </c>
      <c r="C259" s="92">
        <v>11712071</v>
      </c>
      <c r="D259" s="92">
        <f>$C259/($C257+$C258)*(D257+D258)</f>
        <v>8228889.7140051397</v>
      </c>
      <c r="E259" s="92"/>
      <c r="F259" s="155">
        <v>-8.335799999999999</v>
      </c>
      <c r="G259" s="120" t="s">
        <v>90</v>
      </c>
      <c r="H259" s="96">
        <f t="shared" si="65"/>
        <v>-976295</v>
      </c>
      <c r="I259" s="96">
        <f t="shared" si="65"/>
        <v>-685944</v>
      </c>
      <c r="J259" s="92"/>
      <c r="K259" s="155">
        <f>K$229</f>
        <v>-8.9085000000000001</v>
      </c>
      <c r="L259" s="120" t="s">
        <v>90</v>
      </c>
      <c r="M259" s="96">
        <f t="shared" si="66"/>
        <v>-733071</v>
      </c>
    </row>
    <row r="260" spans="1:16">
      <c r="A260" s="93" t="s">
        <v>141</v>
      </c>
      <c r="C260" s="92">
        <v>11842707</v>
      </c>
      <c r="D260" s="92">
        <v>9694526.6132431161</v>
      </c>
      <c r="E260" s="92"/>
      <c r="F260" s="155">
        <v>24.916999999999998</v>
      </c>
      <c r="G260" s="120" t="s">
        <v>90</v>
      </c>
      <c r="H260" s="96">
        <f t="shared" si="65"/>
        <v>2950847</v>
      </c>
      <c r="I260" s="96">
        <f t="shared" si="65"/>
        <v>2415585</v>
      </c>
      <c r="J260" s="92"/>
      <c r="K260" s="155">
        <f>K$230</f>
        <v>26.629000000000001</v>
      </c>
      <c r="L260" s="120" t="s">
        <v>90</v>
      </c>
      <c r="M260" s="96">
        <f t="shared" si="66"/>
        <v>2581555</v>
      </c>
    </row>
    <row r="261" spans="1:16">
      <c r="A261" s="93" t="s">
        <v>143</v>
      </c>
      <c r="C261" s="92">
        <v>27075751</v>
      </c>
      <c r="D261" s="92">
        <f>D266-D264-D257-D258-D260</f>
        <v>22164407.90463227</v>
      </c>
      <c r="E261" s="92"/>
      <c r="F261" s="155">
        <v>9.1237999999999992</v>
      </c>
      <c r="G261" s="120" t="s">
        <v>90</v>
      </c>
      <c r="H261" s="96">
        <f t="shared" si="65"/>
        <v>2470337</v>
      </c>
      <c r="I261" s="96">
        <f t="shared" si="65"/>
        <v>2022236</v>
      </c>
      <c r="J261" s="92"/>
      <c r="K261" s="155">
        <f>K$231</f>
        <v>9.7507000000000001</v>
      </c>
      <c r="L261" s="120" t="s">
        <v>90</v>
      </c>
      <c r="M261" s="96">
        <f t="shared" si="66"/>
        <v>2161185</v>
      </c>
    </row>
    <row r="262" spans="1:16">
      <c r="A262" s="93" t="s">
        <v>145</v>
      </c>
      <c r="C262" s="92">
        <v>15852468</v>
      </c>
      <c r="D262" s="92">
        <f>$C262/($C260+$C261)*(D260+D261)</f>
        <v>12976946.310635304</v>
      </c>
      <c r="E262" s="92"/>
      <c r="F262" s="155">
        <v>-7.3768000000000002</v>
      </c>
      <c r="G262" s="120" t="s">
        <v>90</v>
      </c>
      <c r="H262" s="96">
        <f t="shared" si="65"/>
        <v>-1169405</v>
      </c>
      <c r="I262" s="96">
        <f t="shared" si="65"/>
        <v>-957283</v>
      </c>
      <c r="J262" s="92"/>
      <c r="K262" s="155">
        <f>K$232</f>
        <v>-7.8836000000000004</v>
      </c>
      <c r="L262" s="120" t="s">
        <v>90</v>
      </c>
      <c r="M262" s="96">
        <f t="shared" si="66"/>
        <v>-1023051</v>
      </c>
    </row>
    <row r="263" spans="1:16">
      <c r="A263" s="93" t="s">
        <v>128</v>
      </c>
      <c r="C263" s="92">
        <v>25902.426229508201</v>
      </c>
      <c r="D263" s="92">
        <f>ROUND($C263*D266/$C266,0)</f>
        <v>20010</v>
      </c>
      <c r="E263" s="92"/>
      <c r="F263" s="95">
        <v>-0.61</v>
      </c>
      <c r="G263" s="95"/>
      <c r="H263" s="96">
        <f>ROUND($F263*C263,0)</f>
        <v>-15800</v>
      </c>
      <c r="I263" s="96">
        <f>ROUND($F263*D263,0)</f>
        <v>-12206</v>
      </c>
      <c r="J263" s="92"/>
      <c r="K263" s="95">
        <f>K$233</f>
        <v>-0.61</v>
      </c>
      <c r="L263" s="95"/>
      <c r="M263" s="96">
        <f>ROUND($K263*D263,0)</f>
        <v>-12206</v>
      </c>
    </row>
    <row r="264" spans="1:16">
      <c r="A264" s="129" t="s">
        <v>101</v>
      </c>
      <c r="C264" s="92">
        <v>3482800</v>
      </c>
      <c r="D264" s="92">
        <f>ROUND($C264*D266/$C266,0)</f>
        <v>2690484</v>
      </c>
      <c r="E264" s="92"/>
      <c r="F264" s="150">
        <v>7.125</v>
      </c>
      <c r="G264" s="156" t="s">
        <v>90</v>
      </c>
      <c r="H264" s="96">
        <f>ROUND($F264*C264/100,0)</f>
        <v>248150</v>
      </c>
      <c r="I264" s="96">
        <f>ROUND($F264*D264/100,0)</f>
        <v>191697</v>
      </c>
      <c r="J264" s="92"/>
      <c r="K264" s="150">
        <f>K$234</f>
        <v>7.125</v>
      </c>
      <c r="L264" s="156" t="s">
        <v>90</v>
      </c>
      <c r="M264" s="96">
        <f>ROUND($K264*D264/100,0)</f>
        <v>191697</v>
      </c>
    </row>
    <row r="265" spans="1:16">
      <c r="A265" s="129" t="s">
        <v>103</v>
      </c>
      <c r="B265" s="130"/>
      <c r="C265" s="92">
        <v>16388</v>
      </c>
      <c r="D265" s="92"/>
      <c r="E265" s="92"/>
      <c r="F265" s="131"/>
      <c r="G265" s="9"/>
      <c r="H265" s="96">
        <v>17058</v>
      </c>
      <c r="I265" s="96"/>
      <c r="J265" s="92"/>
      <c r="K265" s="131"/>
      <c r="L265" s="9"/>
      <c r="M265" s="96"/>
      <c r="N265" s="121"/>
      <c r="O265" s="121"/>
      <c r="P265" s="121"/>
    </row>
    <row r="266" spans="1:16" ht="16.5" thickBot="1">
      <c r="A266" s="133" t="s">
        <v>105</v>
      </c>
      <c r="B266" s="134"/>
      <c r="C266" s="135">
        <f>SUM(C257:C258,C260:C261,C264:C265)</f>
        <v>67901871</v>
      </c>
      <c r="D266" s="135">
        <v>52454610.261666268</v>
      </c>
      <c r="E266" s="135"/>
      <c r="F266" s="134"/>
      <c r="G266" s="134"/>
      <c r="H266" s="136">
        <f>SUM(H254:H265)</f>
        <v>7554555</v>
      </c>
      <c r="I266" s="136">
        <f>SUM(I254:I265)</f>
        <v>5855271</v>
      </c>
      <c r="J266" s="135"/>
      <c r="K266" s="134"/>
      <c r="L266" s="134"/>
      <c r="M266" s="136">
        <f>SUM(M254:M265)</f>
        <v>6246468</v>
      </c>
      <c r="O266" s="89" t="s">
        <v>86</v>
      </c>
      <c r="P266" s="88">
        <f>M266/I266-1</f>
        <v>6.6811083551897132E-2</v>
      </c>
    </row>
    <row r="267" spans="1:16" ht="16.5" thickTop="1"/>
    <row r="268" spans="1:16">
      <c r="A268" s="90" t="s">
        <v>437</v>
      </c>
      <c r="C268" s="92"/>
      <c r="D268" s="92"/>
      <c r="E268" s="92"/>
      <c r="F268" s="150"/>
      <c r="G268" s="150"/>
      <c r="J268" s="92"/>
      <c r="K268" s="150"/>
      <c r="L268" s="150"/>
    </row>
    <row r="269" spans="1:16">
      <c r="A269" s="93" t="s">
        <v>121</v>
      </c>
      <c r="C269" s="92">
        <v>359.86679245283</v>
      </c>
      <c r="D269" s="92">
        <v>360</v>
      </c>
      <c r="E269" s="92"/>
      <c r="F269" s="95">
        <v>53</v>
      </c>
      <c r="G269" s="95"/>
      <c r="H269" s="96">
        <f t="shared" ref="H269:I271" si="67">ROUND($F269*C269,0)</f>
        <v>19073</v>
      </c>
      <c r="I269" s="96">
        <f t="shared" si="67"/>
        <v>19080</v>
      </c>
      <c r="J269" s="92"/>
      <c r="K269" s="95">
        <f>K$224</f>
        <v>57</v>
      </c>
      <c r="L269" s="95"/>
      <c r="M269" s="96">
        <f>ROUND($K269*D269,0)</f>
        <v>20520</v>
      </c>
    </row>
    <row r="270" spans="1:16">
      <c r="A270" s="93" t="s">
        <v>84</v>
      </c>
      <c r="C270" s="92">
        <v>0</v>
      </c>
      <c r="D270" s="92">
        <f>ROUND($C270*D269/$C269,0)</f>
        <v>0</v>
      </c>
      <c r="E270" s="92"/>
      <c r="F270" s="147">
        <v>2</v>
      </c>
      <c r="G270" s="147"/>
      <c r="H270" s="96">
        <f t="shared" si="67"/>
        <v>0</v>
      </c>
      <c r="I270" s="96">
        <f t="shared" si="67"/>
        <v>0</v>
      </c>
      <c r="J270" s="92"/>
      <c r="K270" s="147">
        <f>K$225</f>
        <v>2</v>
      </c>
      <c r="L270" s="147"/>
      <c r="M270" s="96">
        <f>ROUND($K270*D270,0)</f>
        <v>0</v>
      </c>
    </row>
    <row r="271" spans="1:16">
      <c r="A271" s="93" t="s">
        <v>87</v>
      </c>
      <c r="C271" s="92">
        <v>233</v>
      </c>
      <c r="D271" s="92">
        <v>250.23355779832892</v>
      </c>
      <c r="E271" s="92"/>
      <c r="F271" s="95">
        <v>-0.5</v>
      </c>
      <c r="G271" s="95"/>
      <c r="H271" s="96">
        <f t="shared" si="67"/>
        <v>-117</v>
      </c>
      <c r="I271" s="96">
        <f t="shared" si="67"/>
        <v>-125</v>
      </c>
      <c r="J271" s="92"/>
      <c r="K271" s="95">
        <f>K$226</f>
        <v>-0.5</v>
      </c>
      <c r="L271" s="95"/>
      <c r="M271" s="96">
        <f>ROUND($K271*D271,0)</f>
        <v>-125</v>
      </c>
    </row>
    <row r="272" spans="1:16">
      <c r="A272" s="93" t="s">
        <v>137</v>
      </c>
      <c r="C272" s="92">
        <v>371181</v>
      </c>
      <c r="D272" s="92">
        <v>390966.59557579551</v>
      </c>
      <c r="E272" s="92"/>
      <c r="F272" s="155">
        <v>28.156199999999998</v>
      </c>
      <c r="G272" s="120" t="s">
        <v>90</v>
      </c>
      <c r="H272" s="96">
        <f t="shared" ref="H272:I277" si="68">ROUND($F272*C272/100,0)</f>
        <v>104510</v>
      </c>
      <c r="I272" s="96">
        <f t="shared" si="68"/>
        <v>110081</v>
      </c>
      <c r="J272" s="92"/>
      <c r="K272" s="155">
        <f>K$227</f>
        <v>30.090699999999998</v>
      </c>
      <c r="L272" s="120" t="s">
        <v>90</v>
      </c>
      <c r="M272" s="96">
        <f t="shared" ref="M272:M277" si="69">ROUND($K272*D272/100,0)</f>
        <v>117645</v>
      </c>
    </row>
    <row r="273" spans="1:16">
      <c r="A273" s="93" t="s">
        <v>138</v>
      </c>
      <c r="C273" s="92">
        <v>2545818</v>
      </c>
      <c r="D273" s="92">
        <v>2681521.4044242045</v>
      </c>
      <c r="E273" s="92"/>
      <c r="F273" s="155">
        <v>10.309899999999999</v>
      </c>
      <c r="G273" s="120" t="s">
        <v>90</v>
      </c>
      <c r="H273" s="96">
        <f t="shared" si="68"/>
        <v>262471</v>
      </c>
      <c r="I273" s="96">
        <f t="shared" si="68"/>
        <v>276462</v>
      </c>
      <c r="J273" s="92"/>
      <c r="K273" s="155">
        <f>K$228</f>
        <v>11.0183</v>
      </c>
      <c r="L273" s="120" t="s">
        <v>90</v>
      </c>
      <c r="M273" s="96">
        <f t="shared" si="69"/>
        <v>295458</v>
      </c>
    </row>
    <row r="274" spans="1:16">
      <c r="A274" s="93" t="s">
        <v>139</v>
      </c>
      <c r="C274" s="92">
        <v>1395465</v>
      </c>
      <c r="D274" s="92">
        <f>$C274/($C272+$C273)*(D272+D273)</f>
        <v>1469849.481237395</v>
      </c>
      <c r="E274" s="92"/>
      <c r="F274" s="155">
        <v>-8.335799999999999</v>
      </c>
      <c r="G274" s="120" t="s">
        <v>90</v>
      </c>
      <c r="H274" s="96">
        <f t="shared" si="68"/>
        <v>-116323</v>
      </c>
      <c r="I274" s="96">
        <f t="shared" si="68"/>
        <v>-122524</v>
      </c>
      <c r="J274" s="92"/>
      <c r="K274" s="155">
        <f>K$229</f>
        <v>-8.9085000000000001</v>
      </c>
      <c r="L274" s="120" t="s">
        <v>90</v>
      </c>
      <c r="M274" s="96">
        <f t="shared" si="69"/>
        <v>-130942</v>
      </c>
    </row>
    <row r="275" spans="1:16">
      <c r="A275" s="93" t="s">
        <v>141</v>
      </c>
      <c r="C275" s="92">
        <v>626715</v>
      </c>
      <c r="D275" s="92">
        <v>638700.50768192695</v>
      </c>
      <c r="E275" s="92"/>
      <c r="F275" s="155">
        <v>24.916999999999998</v>
      </c>
      <c r="G275" s="120" t="s">
        <v>90</v>
      </c>
      <c r="H275" s="96">
        <f t="shared" si="68"/>
        <v>156159</v>
      </c>
      <c r="I275" s="96">
        <f t="shared" si="68"/>
        <v>159145</v>
      </c>
      <c r="J275" s="92"/>
      <c r="K275" s="155">
        <f>K$230</f>
        <v>26.629000000000001</v>
      </c>
      <c r="L275" s="120" t="s">
        <v>90</v>
      </c>
      <c r="M275" s="96">
        <f t="shared" si="69"/>
        <v>170080</v>
      </c>
    </row>
    <row r="276" spans="1:16">
      <c r="A276" s="93" t="s">
        <v>143</v>
      </c>
      <c r="C276" s="92">
        <v>4681914</v>
      </c>
      <c r="D276" s="92">
        <f>D281-D279-D272-D273-D275</f>
        <v>4771452.4923180733</v>
      </c>
      <c r="E276" s="92"/>
      <c r="F276" s="155">
        <v>9.1237999999999992</v>
      </c>
      <c r="G276" s="120" t="s">
        <v>90</v>
      </c>
      <c r="H276" s="96">
        <f t="shared" si="68"/>
        <v>427168</v>
      </c>
      <c r="I276" s="96">
        <f t="shared" si="68"/>
        <v>435338</v>
      </c>
      <c r="J276" s="92"/>
      <c r="K276" s="155">
        <f>K$231</f>
        <v>9.7507000000000001</v>
      </c>
      <c r="L276" s="120" t="s">
        <v>90</v>
      </c>
      <c r="M276" s="96">
        <f t="shared" si="69"/>
        <v>465250</v>
      </c>
    </row>
    <row r="277" spans="1:16">
      <c r="A277" s="93" t="s">
        <v>145</v>
      </c>
      <c r="C277" s="92">
        <v>2659663</v>
      </c>
      <c r="D277" s="92">
        <f>$C277/($C275+$C276)*(D275+D276)</f>
        <v>2710527.2865063655</v>
      </c>
      <c r="E277" s="92"/>
      <c r="F277" s="155">
        <v>-7.3768000000000002</v>
      </c>
      <c r="G277" s="120" t="s">
        <v>90</v>
      </c>
      <c r="H277" s="96">
        <f t="shared" si="68"/>
        <v>-196198</v>
      </c>
      <c r="I277" s="96">
        <f t="shared" si="68"/>
        <v>-199950</v>
      </c>
      <c r="J277" s="92"/>
      <c r="K277" s="155">
        <f>K$232</f>
        <v>-7.8836000000000004</v>
      </c>
      <c r="L277" s="120" t="s">
        <v>90</v>
      </c>
      <c r="M277" s="96">
        <f t="shared" si="69"/>
        <v>-213687</v>
      </c>
    </row>
    <row r="278" spans="1:16">
      <c r="A278" s="93" t="s">
        <v>128</v>
      </c>
      <c r="C278" s="92">
        <v>0</v>
      </c>
      <c r="D278" s="92">
        <f>ROUND($C278*D281/$C281,0)</f>
        <v>0</v>
      </c>
      <c r="E278" s="92"/>
      <c r="F278" s="95">
        <v>-0.61</v>
      </c>
      <c r="G278" s="95"/>
      <c r="H278" s="96">
        <f>ROUND($F278*C278,0)</f>
        <v>0</v>
      </c>
      <c r="I278" s="96">
        <f>ROUND($F278*D278,0)</f>
        <v>0</v>
      </c>
      <c r="J278" s="92"/>
      <c r="K278" s="95">
        <f>K$233</f>
        <v>-0.61</v>
      </c>
      <c r="L278" s="95"/>
      <c r="M278" s="96">
        <f>ROUND($K278*D278,0)</f>
        <v>0</v>
      </c>
    </row>
    <row r="279" spans="1:16">
      <c r="A279" s="129" t="s">
        <v>101</v>
      </c>
      <c r="C279" s="92">
        <v>0</v>
      </c>
      <c r="D279" s="92">
        <f>ROUND($C279*D281/$C281,0)</f>
        <v>0</v>
      </c>
      <c r="E279" s="92"/>
      <c r="F279" s="150">
        <v>7.125</v>
      </c>
      <c r="G279" s="156" t="s">
        <v>90</v>
      </c>
      <c r="H279" s="96">
        <f>ROUND($F279*C279/100,0)</f>
        <v>0</v>
      </c>
      <c r="I279" s="96">
        <f>ROUND($F279*D279/100,0)</f>
        <v>0</v>
      </c>
      <c r="J279" s="92"/>
      <c r="K279" s="150">
        <f>K$234</f>
        <v>7.125</v>
      </c>
      <c r="L279" s="156" t="s">
        <v>90</v>
      </c>
      <c r="M279" s="96">
        <f>ROUND($K279*D279/100,0)</f>
        <v>0</v>
      </c>
    </row>
    <row r="280" spans="1:16">
      <c r="A280" s="129" t="s">
        <v>103</v>
      </c>
      <c r="B280" s="130"/>
      <c r="C280" s="92">
        <v>23164</v>
      </c>
      <c r="D280" s="92"/>
      <c r="E280" s="92"/>
      <c r="F280" s="131"/>
      <c r="G280" s="9"/>
      <c r="H280" s="96">
        <v>2196</v>
      </c>
      <c r="I280" s="96"/>
      <c r="J280" s="92"/>
      <c r="K280" s="131"/>
      <c r="L280" s="9"/>
      <c r="M280" s="96"/>
      <c r="N280" s="121"/>
      <c r="O280" s="121"/>
      <c r="P280" s="121"/>
    </row>
    <row r="281" spans="1:16" ht="16.5" thickBot="1">
      <c r="A281" s="133" t="s">
        <v>105</v>
      </c>
      <c r="B281" s="134"/>
      <c r="C281" s="135">
        <f>SUM(C272:C273,C275:C276,C279:C280)</f>
        <v>8248792</v>
      </c>
      <c r="D281" s="135">
        <v>8482641</v>
      </c>
      <c r="E281" s="135"/>
      <c r="F281" s="134"/>
      <c r="G281" s="134"/>
      <c r="H281" s="136">
        <f>SUM(H269:H280)</f>
        <v>658939</v>
      </c>
      <c r="I281" s="136">
        <f>SUM(I269:I280)</f>
        <v>677507</v>
      </c>
      <c r="J281" s="135"/>
      <c r="K281" s="134"/>
      <c r="L281" s="134"/>
      <c r="M281" s="136">
        <f>SUM(M269:M280)</f>
        <v>724199</v>
      </c>
      <c r="O281" s="89" t="s">
        <v>86</v>
      </c>
      <c r="P281" s="88">
        <f>M281/I281-1</f>
        <v>6.8917369119433358E-2</v>
      </c>
    </row>
    <row r="282" spans="1:16" ht="16.5" thickTop="1">
      <c r="C282" s="92"/>
      <c r="D282" s="92"/>
      <c r="E282" s="92"/>
      <c r="J282" s="92"/>
    </row>
    <row r="283" spans="1:16">
      <c r="A283" s="90" t="s">
        <v>147</v>
      </c>
      <c r="C283" s="92"/>
      <c r="D283" s="92"/>
      <c r="E283" s="92"/>
      <c r="F283" s="150"/>
      <c r="G283" s="150"/>
      <c r="J283" s="92"/>
      <c r="K283" s="150"/>
      <c r="L283" s="150"/>
    </row>
    <row r="284" spans="1:16">
      <c r="A284" s="93" t="s">
        <v>121</v>
      </c>
      <c r="C284" s="92">
        <f t="shared" ref="C284:D294" si="70">C299+C314+C329</f>
        <v>1628.2994339622599</v>
      </c>
      <c r="D284" s="92">
        <f t="shared" si="70"/>
        <v>1284</v>
      </c>
      <c r="E284" s="92"/>
      <c r="F284" s="95">
        <v>53</v>
      </c>
      <c r="G284" s="95"/>
      <c r="H284" s="96">
        <f t="shared" ref="H284:I286" si="71">ROUND($F284*C284,0)</f>
        <v>86300</v>
      </c>
      <c r="I284" s="96">
        <f t="shared" si="71"/>
        <v>68052</v>
      </c>
      <c r="J284" s="92"/>
      <c r="K284" s="95">
        <f>K$224</f>
        <v>57</v>
      </c>
      <c r="L284" s="95"/>
      <c r="M284" s="96">
        <f>ROUND($K284*D284,0)</f>
        <v>73188</v>
      </c>
    </row>
    <row r="285" spans="1:16">
      <c r="A285" s="93" t="s">
        <v>84</v>
      </c>
      <c r="C285" s="92">
        <f t="shared" si="70"/>
        <v>4</v>
      </c>
      <c r="D285" s="92">
        <f t="shared" si="70"/>
        <v>3</v>
      </c>
      <c r="E285" s="92"/>
      <c r="F285" s="147">
        <v>2</v>
      </c>
      <c r="G285" s="147"/>
      <c r="H285" s="96">
        <f t="shared" si="71"/>
        <v>8</v>
      </c>
      <c r="I285" s="96">
        <f t="shared" si="71"/>
        <v>6</v>
      </c>
      <c r="J285" s="92"/>
      <c r="K285" s="147">
        <f>K$225</f>
        <v>2</v>
      </c>
      <c r="L285" s="147"/>
      <c r="M285" s="96">
        <f>ROUND($K285*D285,0)</f>
        <v>6</v>
      </c>
    </row>
    <row r="286" spans="1:16">
      <c r="A286" s="93" t="s">
        <v>87</v>
      </c>
      <c r="C286" s="92">
        <f t="shared" si="70"/>
        <v>640</v>
      </c>
      <c r="D286" s="92">
        <f t="shared" si="70"/>
        <v>892.49968948070659</v>
      </c>
      <c r="E286" s="92"/>
      <c r="F286" s="95">
        <v>-0.5</v>
      </c>
      <c r="G286" s="95"/>
      <c r="H286" s="96">
        <f t="shared" si="71"/>
        <v>-320</v>
      </c>
      <c r="I286" s="96">
        <f t="shared" si="71"/>
        <v>-446</v>
      </c>
      <c r="J286" s="92"/>
      <c r="K286" s="95">
        <f>K$226</f>
        <v>-0.5</v>
      </c>
      <c r="L286" s="95"/>
      <c r="M286" s="96">
        <f>ROUND($K286*D286,0)</f>
        <v>-446</v>
      </c>
    </row>
    <row r="287" spans="1:16">
      <c r="A287" s="93" t="s">
        <v>137</v>
      </c>
      <c r="C287" s="92">
        <f t="shared" si="70"/>
        <v>1961391</v>
      </c>
      <c r="D287" s="92">
        <f t="shared" si="70"/>
        <v>1453928.0313250141</v>
      </c>
      <c r="E287" s="92"/>
      <c r="F287" s="155">
        <v>28.156199999999998</v>
      </c>
      <c r="G287" s="120" t="s">
        <v>90</v>
      </c>
      <c r="H287" s="96">
        <f t="shared" ref="H287:I292" si="72">ROUND($F287*C287/100,0)</f>
        <v>552253</v>
      </c>
      <c r="I287" s="96">
        <f t="shared" si="72"/>
        <v>409371</v>
      </c>
      <c r="J287" s="92"/>
      <c r="K287" s="155">
        <f>K$227</f>
        <v>30.090699999999998</v>
      </c>
      <c r="L287" s="120" t="s">
        <v>90</v>
      </c>
      <c r="M287" s="96">
        <f t="shared" ref="M287:M292" si="73">ROUND($K287*D287/100,0)</f>
        <v>437497</v>
      </c>
    </row>
    <row r="288" spans="1:16">
      <c r="A288" s="93" t="s">
        <v>138</v>
      </c>
      <c r="C288" s="92">
        <f t="shared" si="70"/>
        <v>4899030</v>
      </c>
      <c r="D288" s="92">
        <f t="shared" si="70"/>
        <v>3467623.6666006553</v>
      </c>
      <c r="E288" s="92"/>
      <c r="F288" s="155">
        <v>10.309899999999999</v>
      </c>
      <c r="G288" s="120" t="s">
        <v>90</v>
      </c>
      <c r="H288" s="96">
        <f t="shared" si="72"/>
        <v>505085</v>
      </c>
      <c r="I288" s="96">
        <f t="shared" si="72"/>
        <v>357509</v>
      </c>
      <c r="J288" s="92"/>
      <c r="K288" s="155">
        <f>K$228</f>
        <v>11.0183</v>
      </c>
      <c r="L288" s="120" t="s">
        <v>90</v>
      </c>
      <c r="M288" s="96">
        <f t="shared" si="73"/>
        <v>382073</v>
      </c>
    </row>
    <row r="289" spans="1:16">
      <c r="A289" s="93" t="s">
        <v>139</v>
      </c>
      <c r="C289" s="92">
        <f t="shared" si="70"/>
        <v>3456355</v>
      </c>
      <c r="D289" s="92">
        <f t="shared" si="70"/>
        <v>2361558.7599450094</v>
      </c>
      <c r="E289" s="92"/>
      <c r="F289" s="155">
        <v>-8.335799999999999</v>
      </c>
      <c r="G289" s="120" t="s">
        <v>90</v>
      </c>
      <c r="H289" s="96">
        <f t="shared" si="72"/>
        <v>-288115</v>
      </c>
      <c r="I289" s="96">
        <f t="shared" si="72"/>
        <v>-196855</v>
      </c>
      <c r="J289" s="92"/>
      <c r="K289" s="155">
        <f>K$229</f>
        <v>-8.9085000000000001</v>
      </c>
      <c r="L289" s="120" t="s">
        <v>90</v>
      </c>
      <c r="M289" s="96">
        <f t="shared" si="73"/>
        <v>-210379</v>
      </c>
    </row>
    <row r="290" spans="1:16">
      <c r="A290" s="93" t="s">
        <v>141</v>
      </c>
      <c r="C290" s="92">
        <f t="shared" si="70"/>
        <v>4813104</v>
      </c>
      <c r="D290" s="92">
        <f t="shared" si="70"/>
        <v>3700923.7553738314</v>
      </c>
      <c r="E290" s="92"/>
      <c r="F290" s="155">
        <v>24.916999999999998</v>
      </c>
      <c r="G290" s="120" t="s">
        <v>90</v>
      </c>
      <c r="H290" s="96">
        <f t="shared" si="72"/>
        <v>1199281</v>
      </c>
      <c r="I290" s="96">
        <f t="shared" si="72"/>
        <v>922159</v>
      </c>
      <c r="J290" s="92"/>
      <c r="K290" s="155">
        <f>K$230</f>
        <v>26.629000000000001</v>
      </c>
      <c r="L290" s="120" t="s">
        <v>90</v>
      </c>
      <c r="M290" s="96">
        <f t="shared" si="73"/>
        <v>985519</v>
      </c>
    </row>
    <row r="291" spans="1:16">
      <c r="A291" s="93" t="s">
        <v>143</v>
      </c>
      <c r="C291" s="92">
        <f t="shared" si="70"/>
        <v>15614777</v>
      </c>
      <c r="D291" s="92">
        <f t="shared" si="70"/>
        <v>11696751.274406252</v>
      </c>
      <c r="E291" s="92"/>
      <c r="F291" s="155">
        <v>9.1237999999999992</v>
      </c>
      <c r="G291" s="120" t="s">
        <v>90</v>
      </c>
      <c r="H291" s="96">
        <f t="shared" si="72"/>
        <v>1424661</v>
      </c>
      <c r="I291" s="96">
        <f t="shared" si="72"/>
        <v>1067188</v>
      </c>
      <c r="J291" s="92"/>
      <c r="K291" s="155">
        <f>K$231</f>
        <v>9.7507000000000001</v>
      </c>
      <c r="L291" s="120" t="s">
        <v>90</v>
      </c>
      <c r="M291" s="96">
        <f t="shared" si="73"/>
        <v>1140515</v>
      </c>
    </row>
    <row r="292" spans="1:16">
      <c r="A292" s="93" t="s">
        <v>145</v>
      </c>
      <c r="C292" s="92">
        <f t="shared" si="70"/>
        <v>9595873</v>
      </c>
      <c r="D292" s="92">
        <f t="shared" si="70"/>
        <v>7080778.5879569454</v>
      </c>
      <c r="E292" s="92"/>
      <c r="F292" s="155">
        <v>-7.3768000000000002</v>
      </c>
      <c r="G292" s="120" t="s">
        <v>90</v>
      </c>
      <c r="H292" s="96">
        <f t="shared" si="72"/>
        <v>-707868</v>
      </c>
      <c r="I292" s="96">
        <f t="shared" si="72"/>
        <v>-522335</v>
      </c>
      <c r="J292" s="92"/>
      <c r="K292" s="155">
        <f>K$232</f>
        <v>-7.8836000000000004</v>
      </c>
      <c r="L292" s="120" t="s">
        <v>90</v>
      </c>
      <c r="M292" s="96">
        <f t="shared" si="73"/>
        <v>-558220</v>
      </c>
    </row>
    <row r="293" spans="1:16">
      <c r="A293" s="93" t="s">
        <v>128</v>
      </c>
      <c r="C293" s="92">
        <f t="shared" si="70"/>
        <v>6017</v>
      </c>
      <c r="D293" s="92">
        <f t="shared" si="70"/>
        <v>6475</v>
      </c>
      <c r="E293" s="92"/>
      <c r="F293" s="95">
        <v>-0.61</v>
      </c>
      <c r="G293" s="95"/>
      <c r="H293" s="96">
        <f>ROUND($F293*C293,0)</f>
        <v>-3670</v>
      </c>
      <c r="I293" s="96">
        <f>ROUND($F293*D293,0)</f>
        <v>-3950</v>
      </c>
      <c r="J293" s="92"/>
      <c r="K293" s="95">
        <f>K$233</f>
        <v>-0.61</v>
      </c>
      <c r="L293" s="95"/>
      <c r="M293" s="96">
        <f>ROUND($K293*D293,0)</f>
        <v>-3950</v>
      </c>
    </row>
    <row r="294" spans="1:16">
      <c r="A294" s="129" t="s">
        <v>101</v>
      </c>
      <c r="C294" s="92">
        <f t="shared" si="70"/>
        <v>0</v>
      </c>
      <c r="D294" s="92">
        <f t="shared" si="70"/>
        <v>0</v>
      </c>
      <c r="E294" s="92"/>
      <c r="F294" s="150">
        <v>7.125</v>
      </c>
      <c r="G294" s="156" t="s">
        <v>90</v>
      </c>
      <c r="H294" s="96">
        <f>ROUND($F294*C294/100,0)</f>
        <v>0</v>
      </c>
      <c r="I294" s="96">
        <f>ROUND($F294*D294/100,0)</f>
        <v>0</v>
      </c>
      <c r="J294" s="92"/>
      <c r="K294" s="150">
        <f>K$234</f>
        <v>7.125</v>
      </c>
      <c r="L294" s="156" t="s">
        <v>90</v>
      </c>
      <c r="M294" s="96">
        <f>ROUND($K294*D294/100,0)</f>
        <v>0</v>
      </c>
    </row>
    <row r="295" spans="1:16">
      <c r="A295" s="129" t="s">
        <v>103</v>
      </c>
      <c r="B295" s="130"/>
      <c r="C295" s="92">
        <f>C310+C325+C340</f>
        <v>166112</v>
      </c>
      <c r="D295" s="92"/>
      <c r="E295" s="92"/>
      <c r="F295" s="131"/>
      <c r="G295" s="9"/>
      <c r="H295" s="96">
        <f>H310+H325+H340</f>
        <v>17473</v>
      </c>
      <c r="I295" s="96"/>
      <c r="J295" s="92"/>
      <c r="K295" s="131"/>
      <c r="L295" s="9"/>
      <c r="M295" s="96"/>
      <c r="N295" s="121"/>
      <c r="O295" s="121"/>
      <c r="P295" s="121"/>
    </row>
    <row r="296" spans="1:16" ht="16.5" thickBot="1">
      <c r="A296" s="133" t="s">
        <v>105</v>
      </c>
      <c r="B296" s="134"/>
      <c r="C296" s="135">
        <f>C311+C326+C341</f>
        <v>27454414</v>
      </c>
      <c r="D296" s="135">
        <f>D311+D326+D341</f>
        <v>20319226.727705751</v>
      </c>
      <c r="E296" s="135"/>
      <c r="F296" s="134"/>
      <c r="G296" s="134"/>
      <c r="H296" s="136">
        <f>SUM(H284:H295)</f>
        <v>2785088</v>
      </c>
      <c r="I296" s="136">
        <f>SUM(I284:I295)</f>
        <v>2100699</v>
      </c>
      <c r="J296" s="135"/>
      <c r="K296" s="134"/>
      <c r="L296" s="134"/>
      <c r="M296" s="136">
        <f>SUM(M284:M295)</f>
        <v>2245803</v>
      </c>
      <c r="O296" s="89" t="s">
        <v>86</v>
      </c>
      <c r="P296" s="88">
        <f>M296/I296-1</f>
        <v>6.9074151032584963E-2</v>
      </c>
    </row>
    <row r="297" spans="1:16" ht="16.5" thickTop="1">
      <c r="C297" s="92"/>
      <c r="D297" s="92"/>
      <c r="E297" s="92"/>
      <c r="J297" s="92"/>
    </row>
    <row r="298" spans="1:16">
      <c r="A298" s="90" t="s">
        <v>438</v>
      </c>
      <c r="C298" s="92"/>
      <c r="D298" s="92"/>
      <c r="E298" s="92"/>
      <c r="F298" s="150"/>
      <c r="G298" s="150"/>
      <c r="J298" s="92"/>
      <c r="K298" s="150"/>
      <c r="L298" s="150"/>
    </row>
    <row r="299" spans="1:16">
      <c r="A299" s="93" t="s">
        <v>121</v>
      </c>
      <c r="C299" s="92">
        <v>1426.6994339622599</v>
      </c>
      <c r="D299" s="92">
        <v>1092</v>
      </c>
      <c r="E299" s="92"/>
      <c r="F299" s="95">
        <v>53</v>
      </c>
      <c r="G299" s="95"/>
      <c r="H299" s="96">
        <f t="shared" ref="H299:I301" si="74">ROUND($F299*C299,0)</f>
        <v>75615</v>
      </c>
      <c r="I299" s="96">
        <f t="shared" si="74"/>
        <v>57876</v>
      </c>
      <c r="J299" s="92"/>
      <c r="K299" s="95">
        <f>K$224</f>
        <v>57</v>
      </c>
      <c r="L299" s="95"/>
      <c r="M299" s="96">
        <f>ROUND($K299*D299,0)</f>
        <v>62244</v>
      </c>
    </row>
    <row r="300" spans="1:16">
      <c r="A300" s="93" t="s">
        <v>84</v>
      </c>
      <c r="C300" s="92">
        <v>4</v>
      </c>
      <c r="D300" s="92">
        <f>ROUND($C300*D299/$C299,0)</f>
        <v>3</v>
      </c>
      <c r="E300" s="92"/>
      <c r="F300" s="147">
        <v>2</v>
      </c>
      <c r="G300" s="147"/>
      <c r="H300" s="96">
        <f t="shared" si="74"/>
        <v>8</v>
      </c>
      <c r="I300" s="96">
        <f t="shared" si="74"/>
        <v>6</v>
      </c>
      <c r="J300" s="92"/>
      <c r="K300" s="147">
        <f>K$225</f>
        <v>2</v>
      </c>
      <c r="L300" s="147"/>
      <c r="M300" s="96">
        <f>ROUND($K300*D300,0)</f>
        <v>6</v>
      </c>
    </row>
    <row r="301" spans="1:16">
      <c r="A301" s="93" t="s">
        <v>87</v>
      </c>
      <c r="C301" s="92">
        <v>568</v>
      </c>
      <c r="D301" s="92">
        <v>759.04179198826444</v>
      </c>
      <c r="E301" s="92"/>
      <c r="F301" s="95">
        <v>-0.5</v>
      </c>
      <c r="G301" s="95"/>
      <c r="H301" s="96">
        <f t="shared" si="74"/>
        <v>-284</v>
      </c>
      <c r="I301" s="96">
        <f t="shared" si="74"/>
        <v>-380</v>
      </c>
      <c r="J301" s="92"/>
      <c r="K301" s="95">
        <f>K$226</f>
        <v>-0.5</v>
      </c>
      <c r="L301" s="95"/>
      <c r="M301" s="96">
        <f>ROUND($K301*D301,0)</f>
        <v>-380</v>
      </c>
    </row>
    <row r="302" spans="1:16">
      <c r="A302" s="93" t="s">
        <v>137</v>
      </c>
      <c r="C302" s="92">
        <v>1415137</v>
      </c>
      <c r="D302" s="92">
        <v>803940.38215545681</v>
      </c>
      <c r="E302" s="92"/>
      <c r="F302" s="155">
        <v>28.156199999999998</v>
      </c>
      <c r="G302" s="120" t="s">
        <v>90</v>
      </c>
      <c r="H302" s="96">
        <f t="shared" ref="H302:I307" si="75">ROUND($F302*C302/100,0)</f>
        <v>398449</v>
      </c>
      <c r="I302" s="96">
        <f t="shared" si="75"/>
        <v>226359</v>
      </c>
      <c r="J302" s="92"/>
      <c r="K302" s="155">
        <f>K$227</f>
        <v>30.090699999999998</v>
      </c>
      <c r="L302" s="120" t="s">
        <v>90</v>
      </c>
      <c r="M302" s="96">
        <f t="shared" ref="M302:M307" si="76">ROUND($K302*D302/100,0)</f>
        <v>241911</v>
      </c>
    </row>
    <row r="303" spans="1:16">
      <c r="A303" s="93" t="s">
        <v>138</v>
      </c>
      <c r="C303" s="92">
        <v>3808947</v>
      </c>
      <c r="D303" s="92">
        <v>2163865.6234625205</v>
      </c>
      <c r="E303" s="92"/>
      <c r="F303" s="155">
        <v>10.309899999999999</v>
      </c>
      <c r="G303" s="120" t="s">
        <v>90</v>
      </c>
      <c r="H303" s="96">
        <f t="shared" si="75"/>
        <v>392699</v>
      </c>
      <c r="I303" s="96">
        <f t="shared" si="75"/>
        <v>223092</v>
      </c>
      <c r="J303" s="92"/>
      <c r="K303" s="155">
        <f>K$228</f>
        <v>11.0183</v>
      </c>
      <c r="L303" s="120" t="s">
        <v>90</v>
      </c>
      <c r="M303" s="96">
        <f t="shared" si="76"/>
        <v>238421</v>
      </c>
    </row>
    <row r="304" spans="1:16">
      <c r="A304" s="93" t="s">
        <v>139</v>
      </c>
      <c r="C304" s="92">
        <v>2796163</v>
      </c>
      <c r="D304" s="92">
        <f>$C304/($C302+$C303)*(D302+D303)</f>
        <v>1588502.2798421273</v>
      </c>
      <c r="E304" s="92"/>
      <c r="F304" s="155">
        <v>-8.335799999999999</v>
      </c>
      <c r="G304" s="120" t="s">
        <v>90</v>
      </c>
      <c r="H304" s="96">
        <f t="shared" si="75"/>
        <v>-233083</v>
      </c>
      <c r="I304" s="96">
        <f t="shared" si="75"/>
        <v>-132414</v>
      </c>
      <c r="J304" s="92"/>
      <c r="K304" s="155">
        <f>K$229</f>
        <v>-8.9085000000000001</v>
      </c>
      <c r="L304" s="120" t="s">
        <v>90</v>
      </c>
      <c r="M304" s="96">
        <f t="shared" si="76"/>
        <v>-141512</v>
      </c>
    </row>
    <row r="305" spans="1:16">
      <c r="A305" s="93" t="s">
        <v>141</v>
      </c>
      <c r="C305" s="92">
        <v>3658843</v>
      </c>
      <c r="D305" s="92">
        <v>2495960.5428739255</v>
      </c>
      <c r="E305" s="92"/>
      <c r="F305" s="155">
        <v>24.916999999999998</v>
      </c>
      <c r="G305" s="120" t="s">
        <v>90</v>
      </c>
      <c r="H305" s="96">
        <f t="shared" si="75"/>
        <v>911674</v>
      </c>
      <c r="I305" s="96">
        <f t="shared" si="75"/>
        <v>621918</v>
      </c>
      <c r="J305" s="92"/>
      <c r="K305" s="155">
        <f>K$230</f>
        <v>26.629000000000001</v>
      </c>
      <c r="L305" s="120" t="s">
        <v>90</v>
      </c>
      <c r="M305" s="96">
        <f t="shared" si="76"/>
        <v>664649</v>
      </c>
    </row>
    <row r="306" spans="1:16">
      <c r="A306" s="93" t="s">
        <v>143</v>
      </c>
      <c r="C306" s="92">
        <v>12672265</v>
      </c>
      <c r="D306" s="92">
        <f>D311-D309-D302-D303-D305</f>
        <v>8644665.3843420558</v>
      </c>
      <c r="E306" s="92"/>
      <c r="F306" s="155">
        <v>9.1237999999999992</v>
      </c>
      <c r="G306" s="120" t="s">
        <v>90</v>
      </c>
      <c r="H306" s="96">
        <f t="shared" si="75"/>
        <v>1156192</v>
      </c>
      <c r="I306" s="96">
        <f t="shared" si="75"/>
        <v>788722</v>
      </c>
      <c r="J306" s="92"/>
      <c r="K306" s="155">
        <f>K$231</f>
        <v>9.7507000000000001</v>
      </c>
      <c r="L306" s="120" t="s">
        <v>90</v>
      </c>
      <c r="M306" s="96">
        <f t="shared" si="76"/>
        <v>842915</v>
      </c>
    </row>
    <row r="307" spans="1:16">
      <c r="A307" s="93" t="s">
        <v>145</v>
      </c>
      <c r="C307" s="92">
        <v>8046778</v>
      </c>
      <c r="D307" s="92">
        <f>$C307/($C305+$C306)*(D305+D306)</f>
        <v>5489287.2925309883</v>
      </c>
      <c r="E307" s="92"/>
      <c r="F307" s="155">
        <v>-7.3768000000000002</v>
      </c>
      <c r="G307" s="120" t="s">
        <v>90</v>
      </c>
      <c r="H307" s="96">
        <f t="shared" si="75"/>
        <v>-593595</v>
      </c>
      <c r="I307" s="96">
        <f t="shared" si="75"/>
        <v>-404934</v>
      </c>
      <c r="J307" s="92"/>
      <c r="K307" s="155">
        <f>K$232</f>
        <v>-7.8836000000000004</v>
      </c>
      <c r="L307" s="120" t="s">
        <v>90</v>
      </c>
      <c r="M307" s="96">
        <f t="shared" si="76"/>
        <v>-432753</v>
      </c>
    </row>
    <row r="308" spans="1:16">
      <c r="A308" s="93" t="s">
        <v>128</v>
      </c>
      <c r="C308" s="92">
        <v>329</v>
      </c>
      <c r="D308" s="92">
        <f>ROUND($C308*D311/$C311,0)</f>
        <v>214</v>
      </c>
      <c r="E308" s="92"/>
      <c r="F308" s="95">
        <v>-0.61</v>
      </c>
      <c r="G308" s="95"/>
      <c r="H308" s="96">
        <f>ROUND($F308*C308,0)</f>
        <v>-201</v>
      </c>
      <c r="I308" s="96">
        <f>ROUND($F308*D308,0)</f>
        <v>-131</v>
      </c>
      <c r="J308" s="92"/>
      <c r="K308" s="95">
        <f>K$233</f>
        <v>-0.61</v>
      </c>
      <c r="L308" s="95"/>
      <c r="M308" s="96">
        <f>ROUND($K308*D308,0)</f>
        <v>-131</v>
      </c>
    </row>
    <row r="309" spans="1:16">
      <c r="A309" s="129" t="s">
        <v>101</v>
      </c>
      <c r="C309" s="92">
        <v>0</v>
      </c>
      <c r="D309" s="92">
        <f>ROUND($C309*D311/$C311,0)</f>
        <v>0</v>
      </c>
      <c r="E309" s="92"/>
      <c r="F309" s="150">
        <v>7.125</v>
      </c>
      <c r="G309" s="156" t="s">
        <v>90</v>
      </c>
      <c r="H309" s="96">
        <f>ROUND($F309*C309/100,0)</f>
        <v>0</v>
      </c>
      <c r="I309" s="96">
        <f>ROUND($F309*D309/100,0)</f>
        <v>0</v>
      </c>
      <c r="J309" s="92"/>
      <c r="K309" s="150">
        <f>K$234</f>
        <v>7.125</v>
      </c>
      <c r="L309" s="156" t="s">
        <v>90</v>
      </c>
      <c r="M309" s="96">
        <f>ROUND($K309*D309/100,0)</f>
        <v>0</v>
      </c>
    </row>
    <row r="310" spans="1:16">
      <c r="A310" s="129" t="s">
        <v>103</v>
      </c>
      <c r="B310" s="130"/>
      <c r="C310" s="92">
        <v>164364</v>
      </c>
      <c r="D310" s="92"/>
      <c r="E310" s="92"/>
      <c r="F310" s="131"/>
      <c r="G310" s="9"/>
      <c r="H310" s="96">
        <v>15965</v>
      </c>
      <c r="I310" s="96"/>
      <c r="J310" s="92"/>
      <c r="K310" s="131"/>
      <c r="L310" s="9"/>
      <c r="M310" s="96"/>
      <c r="N310" s="121"/>
      <c r="O310" s="121"/>
      <c r="P310" s="121"/>
    </row>
    <row r="311" spans="1:16" ht="16.5" thickBot="1">
      <c r="A311" s="133" t="s">
        <v>105</v>
      </c>
      <c r="B311" s="134"/>
      <c r="C311" s="135">
        <f>SUM(C302:C303,C305:C306,C309:C310)</f>
        <v>21719556</v>
      </c>
      <c r="D311" s="135">
        <v>14108431.932833958</v>
      </c>
      <c r="E311" s="135"/>
      <c r="F311" s="134"/>
      <c r="G311" s="134"/>
      <c r="H311" s="136">
        <f>SUM(H299:H310)</f>
        <v>2123439</v>
      </c>
      <c r="I311" s="136">
        <f>SUM(I299:I310)</f>
        <v>1380114</v>
      </c>
      <c r="J311" s="135"/>
      <c r="K311" s="134"/>
      <c r="L311" s="134"/>
      <c r="M311" s="136">
        <f>SUM(M299:M310)</f>
        <v>1475370</v>
      </c>
      <c r="O311" s="89" t="s">
        <v>86</v>
      </c>
      <c r="P311" s="88">
        <f>M311/I311-1</f>
        <v>6.9020385272520857E-2</v>
      </c>
    </row>
    <row r="312" spans="1:16" ht="16.5" thickTop="1">
      <c r="C312" s="92"/>
      <c r="D312" s="92"/>
      <c r="E312" s="92"/>
      <c r="J312" s="92"/>
    </row>
    <row r="313" spans="1:16">
      <c r="A313" s="90" t="s">
        <v>439</v>
      </c>
      <c r="C313" s="92"/>
      <c r="D313" s="92"/>
      <c r="E313" s="92"/>
      <c r="F313" s="150"/>
      <c r="G313" s="150"/>
      <c r="J313" s="92"/>
      <c r="K313" s="150"/>
      <c r="L313" s="150"/>
    </row>
    <row r="314" spans="1:16">
      <c r="A314" s="93" t="s">
        <v>121</v>
      </c>
      <c r="C314" s="92">
        <v>168</v>
      </c>
      <c r="D314" s="92">
        <v>168</v>
      </c>
      <c r="E314" s="92"/>
      <c r="F314" s="95">
        <v>53</v>
      </c>
      <c r="G314" s="95"/>
      <c r="H314" s="96">
        <f t="shared" ref="H314:I316" si="77">ROUND($F314*C314,0)</f>
        <v>8904</v>
      </c>
      <c r="I314" s="96">
        <f t="shared" si="77"/>
        <v>8904</v>
      </c>
      <c r="J314" s="92"/>
      <c r="K314" s="95">
        <f>K$224</f>
        <v>57</v>
      </c>
      <c r="L314" s="95"/>
      <c r="M314" s="96">
        <f>ROUND($K314*D314,0)</f>
        <v>9576</v>
      </c>
    </row>
    <row r="315" spans="1:16">
      <c r="A315" s="93" t="s">
        <v>84</v>
      </c>
      <c r="C315" s="92">
        <v>0</v>
      </c>
      <c r="D315" s="92">
        <f>ROUND($C315*D314/$C314,0)</f>
        <v>0</v>
      </c>
      <c r="E315" s="92"/>
      <c r="F315" s="147">
        <v>2</v>
      </c>
      <c r="G315" s="147"/>
      <c r="H315" s="96">
        <f t="shared" si="77"/>
        <v>0</v>
      </c>
      <c r="I315" s="96">
        <f t="shared" si="77"/>
        <v>0</v>
      </c>
      <c r="J315" s="92"/>
      <c r="K315" s="147">
        <f>K$225</f>
        <v>2</v>
      </c>
      <c r="L315" s="147"/>
      <c r="M315" s="96">
        <f>ROUND($K315*D315,0)</f>
        <v>0</v>
      </c>
    </row>
    <row r="316" spans="1:16">
      <c r="A316" s="93" t="s">
        <v>87</v>
      </c>
      <c r="C316" s="92">
        <v>60</v>
      </c>
      <c r="D316" s="92">
        <v>116.77566030588683</v>
      </c>
      <c r="E316" s="92"/>
      <c r="F316" s="95">
        <v>-0.5</v>
      </c>
      <c r="G316" s="95"/>
      <c r="H316" s="96">
        <f t="shared" si="77"/>
        <v>-30</v>
      </c>
      <c r="I316" s="96">
        <f t="shared" si="77"/>
        <v>-58</v>
      </c>
      <c r="J316" s="92"/>
      <c r="K316" s="95">
        <f>K$226</f>
        <v>-0.5</v>
      </c>
      <c r="L316" s="95"/>
      <c r="M316" s="96">
        <f>ROUND($K316*D316,0)</f>
        <v>-58</v>
      </c>
    </row>
    <row r="317" spans="1:16">
      <c r="A317" s="93" t="s">
        <v>137</v>
      </c>
      <c r="C317" s="92">
        <v>536311</v>
      </c>
      <c r="D317" s="92">
        <v>649533.12147143157</v>
      </c>
      <c r="E317" s="92"/>
      <c r="F317" s="155">
        <v>28.156199999999998</v>
      </c>
      <c r="G317" s="120" t="s">
        <v>90</v>
      </c>
      <c r="H317" s="96">
        <f t="shared" ref="H317:I322" si="78">ROUND($F317*C317/100,0)</f>
        <v>151005</v>
      </c>
      <c r="I317" s="96">
        <f t="shared" si="78"/>
        <v>182884</v>
      </c>
      <c r="J317" s="92"/>
      <c r="K317" s="155">
        <f>K$227</f>
        <v>30.090699999999998</v>
      </c>
      <c r="L317" s="120" t="s">
        <v>90</v>
      </c>
      <c r="M317" s="96">
        <f t="shared" ref="M317:M322" si="79">ROUND($K317*D317/100,0)</f>
        <v>195449</v>
      </c>
    </row>
    <row r="318" spans="1:16">
      <c r="A318" s="93" t="s">
        <v>138</v>
      </c>
      <c r="C318" s="92">
        <v>1075963</v>
      </c>
      <c r="D318" s="92">
        <v>1303112.5708362604</v>
      </c>
      <c r="E318" s="92"/>
      <c r="F318" s="155">
        <v>10.309899999999999</v>
      </c>
      <c r="G318" s="120" t="s">
        <v>90</v>
      </c>
      <c r="H318" s="96">
        <f t="shared" si="78"/>
        <v>110931</v>
      </c>
      <c r="I318" s="96">
        <f t="shared" si="78"/>
        <v>134350</v>
      </c>
      <c r="J318" s="92"/>
      <c r="K318" s="155">
        <f>K$228</f>
        <v>11.0183</v>
      </c>
      <c r="L318" s="120" t="s">
        <v>90</v>
      </c>
      <c r="M318" s="96">
        <f t="shared" si="79"/>
        <v>143581</v>
      </c>
    </row>
    <row r="319" spans="1:16">
      <c r="A319" s="93" t="s">
        <v>139</v>
      </c>
      <c r="C319" s="92">
        <v>637444</v>
      </c>
      <c r="D319" s="92">
        <f>$C319/($C317+$C318)*(D317+D318)</f>
        <v>772016.59313949395</v>
      </c>
      <c r="E319" s="92"/>
      <c r="F319" s="155">
        <v>-8.335799999999999</v>
      </c>
      <c r="G319" s="120" t="s">
        <v>90</v>
      </c>
      <c r="H319" s="96">
        <f t="shared" si="78"/>
        <v>-53136</v>
      </c>
      <c r="I319" s="96">
        <f t="shared" si="78"/>
        <v>-64354</v>
      </c>
      <c r="J319" s="92"/>
      <c r="K319" s="155">
        <f>K$229</f>
        <v>-8.9085000000000001</v>
      </c>
      <c r="L319" s="120" t="s">
        <v>90</v>
      </c>
      <c r="M319" s="96">
        <f t="shared" si="79"/>
        <v>-68775</v>
      </c>
    </row>
    <row r="320" spans="1:16">
      <c r="A320" s="93" t="s">
        <v>141</v>
      </c>
      <c r="C320" s="92">
        <v>1130451</v>
      </c>
      <c r="D320" s="92">
        <v>1194101.4815820316</v>
      </c>
      <c r="E320" s="92"/>
      <c r="F320" s="155">
        <v>24.916999999999998</v>
      </c>
      <c r="G320" s="120" t="s">
        <v>90</v>
      </c>
      <c r="H320" s="96">
        <f t="shared" si="78"/>
        <v>281674</v>
      </c>
      <c r="I320" s="96">
        <f t="shared" si="78"/>
        <v>297534</v>
      </c>
      <c r="J320" s="92"/>
      <c r="K320" s="155">
        <f>K$230</f>
        <v>26.629000000000001</v>
      </c>
      <c r="L320" s="120" t="s">
        <v>90</v>
      </c>
      <c r="M320" s="96">
        <f t="shared" si="79"/>
        <v>317977</v>
      </c>
    </row>
    <row r="321" spans="1:16">
      <c r="A321" s="93" t="s">
        <v>143</v>
      </c>
      <c r="C321" s="92">
        <v>2849022</v>
      </c>
      <c r="D321" s="92">
        <f>D326-D324-D317-D318-D320</f>
        <v>3009437.2876487365</v>
      </c>
      <c r="E321" s="92"/>
      <c r="F321" s="155">
        <v>9.1237999999999992</v>
      </c>
      <c r="G321" s="120" t="s">
        <v>90</v>
      </c>
      <c r="H321" s="96">
        <f t="shared" si="78"/>
        <v>259939</v>
      </c>
      <c r="I321" s="96">
        <f t="shared" si="78"/>
        <v>274575</v>
      </c>
      <c r="J321" s="92"/>
      <c r="K321" s="155">
        <f>K$231</f>
        <v>9.7507000000000001</v>
      </c>
      <c r="L321" s="120" t="s">
        <v>90</v>
      </c>
      <c r="M321" s="96">
        <f t="shared" si="79"/>
        <v>293441</v>
      </c>
    </row>
    <row r="322" spans="1:16">
      <c r="A322" s="93" t="s">
        <v>145</v>
      </c>
      <c r="C322" s="92">
        <v>1474400</v>
      </c>
      <c r="D322" s="92">
        <f>$C322/($C320+$C321)*(D320+D321)</f>
        <v>1557416.6633003529</v>
      </c>
      <c r="E322" s="92"/>
      <c r="F322" s="155">
        <v>-7.3768000000000002</v>
      </c>
      <c r="G322" s="120" t="s">
        <v>90</v>
      </c>
      <c r="H322" s="96">
        <f t="shared" si="78"/>
        <v>-108764</v>
      </c>
      <c r="I322" s="96">
        <f t="shared" si="78"/>
        <v>-114888</v>
      </c>
      <c r="J322" s="92"/>
      <c r="K322" s="155">
        <f>K$232</f>
        <v>-7.8836000000000004</v>
      </c>
      <c r="L322" s="120" t="s">
        <v>90</v>
      </c>
      <c r="M322" s="96">
        <f t="shared" si="79"/>
        <v>-122781</v>
      </c>
    </row>
    <row r="323" spans="1:16">
      <c r="A323" s="93" t="s">
        <v>128</v>
      </c>
      <c r="C323" s="92">
        <v>5688</v>
      </c>
      <c r="D323" s="92">
        <f>ROUND($C323*D326/$C326,0)</f>
        <v>6261</v>
      </c>
      <c r="E323" s="92"/>
      <c r="F323" s="95">
        <v>-0.61</v>
      </c>
      <c r="G323" s="95"/>
      <c r="H323" s="96">
        <f>ROUND($F323*C323,0)</f>
        <v>-3470</v>
      </c>
      <c r="I323" s="96">
        <f>ROUND($F323*D323,0)</f>
        <v>-3819</v>
      </c>
      <c r="J323" s="92"/>
      <c r="K323" s="95">
        <f>K$233</f>
        <v>-0.61</v>
      </c>
      <c r="L323" s="95"/>
      <c r="M323" s="96">
        <f>ROUND($K323*D323,0)</f>
        <v>-3819</v>
      </c>
    </row>
    <row r="324" spans="1:16">
      <c r="A324" s="129" t="s">
        <v>101</v>
      </c>
      <c r="C324" s="92">
        <v>0</v>
      </c>
      <c r="D324" s="92">
        <f>ROUND($C324*D326/$C326,0)</f>
        <v>0</v>
      </c>
      <c r="E324" s="92"/>
      <c r="F324" s="150">
        <v>7.125</v>
      </c>
      <c r="G324" s="156" t="s">
        <v>90</v>
      </c>
      <c r="H324" s="96">
        <f>ROUND($F324*C324/100,0)</f>
        <v>0</v>
      </c>
      <c r="I324" s="96">
        <f>ROUND($F324*D324/100,0)</f>
        <v>0</v>
      </c>
      <c r="J324" s="92"/>
      <c r="K324" s="150">
        <f>K$234</f>
        <v>7.125</v>
      </c>
      <c r="L324" s="156" t="s">
        <v>90</v>
      </c>
      <c r="M324" s="96">
        <f>ROUND($K324*D324/100,0)</f>
        <v>0</v>
      </c>
    </row>
    <row r="325" spans="1:16">
      <c r="A325" s="129" t="s">
        <v>103</v>
      </c>
      <c r="B325" s="130"/>
      <c r="C325" s="92">
        <v>1350</v>
      </c>
      <c r="D325" s="92"/>
      <c r="E325" s="92"/>
      <c r="F325" s="131"/>
      <c r="G325" s="9"/>
      <c r="H325" s="96">
        <v>1464</v>
      </c>
      <c r="I325" s="96"/>
      <c r="J325" s="92"/>
      <c r="K325" s="131"/>
      <c r="L325" s="9"/>
      <c r="M325" s="96"/>
      <c r="N325" s="121"/>
      <c r="O325" s="121"/>
      <c r="P325" s="121"/>
    </row>
    <row r="326" spans="1:16" ht="16.5" thickBot="1">
      <c r="A326" s="133" t="s">
        <v>105</v>
      </c>
      <c r="B326" s="134"/>
      <c r="C326" s="135">
        <f>SUM(C317:C318,C320:C321,C324:C325)</f>
        <v>5593097</v>
      </c>
      <c r="D326" s="135">
        <v>6156184.461538461</v>
      </c>
      <c r="E326" s="135"/>
      <c r="F326" s="134"/>
      <c r="G326" s="134"/>
      <c r="H326" s="136">
        <f>SUM(H314:H325)</f>
        <v>648517</v>
      </c>
      <c r="I326" s="136">
        <f>SUM(I314:I325)</f>
        <v>715128</v>
      </c>
      <c r="J326" s="135"/>
      <c r="K326" s="134"/>
      <c r="L326" s="134"/>
      <c r="M326" s="136">
        <f>SUM(M314:M325)</f>
        <v>764591</v>
      </c>
      <c r="O326" s="89" t="s">
        <v>86</v>
      </c>
      <c r="P326" s="88">
        <f>M326/I326-1</f>
        <v>6.9166638699645455E-2</v>
      </c>
    </row>
    <row r="327" spans="1:16" ht="16.5" thickTop="1"/>
    <row r="328" spans="1:16">
      <c r="A328" s="90" t="s">
        <v>440</v>
      </c>
      <c r="C328" s="92"/>
      <c r="D328" s="92"/>
      <c r="E328" s="92"/>
      <c r="F328" s="150"/>
      <c r="G328" s="150"/>
      <c r="J328" s="92"/>
      <c r="K328" s="150"/>
      <c r="L328" s="150"/>
    </row>
    <row r="329" spans="1:16">
      <c r="A329" s="93" t="s">
        <v>121</v>
      </c>
      <c r="C329" s="92">
        <v>33.6</v>
      </c>
      <c r="D329" s="92">
        <v>24</v>
      </c>
      <c r="E329" s="92"/>
      <c r="F329" s="95">
        <v>53</v>
      </c>
      <c r="G329" s="95"/>
      <c r="H329" s="96">
        <f t="shared" ref="H329:I331" si="80">ROUND($F329*C329,0)</f>
        <v>1781</v>
      </c>
      <c r="I329" s="96">
        <f t="shared" si="80"/>
        <v>1272</v>
      </c>
      <c r="J329" s="92"/>
      <c r="K329" s="95">
        <f>K$224</f>
        <v>57</v>
      </c>
      <c r="L329" s="95"/>
      <c r="M329" s="96">
        <f>ROUND($K329*D329,0)</f>
        <v>1368</v>
      </c>
    </row>
    <row r="330" spans="1:16">
      <c r="A330" s="93" t="s">
        <v>84</v>
      </c>
      <c r="C330" s="92">
        <v>0</v>
      </c>
      <c r="D330" s="92">
        <f>ROUND($C330*D329/$C329,0)</f>
        <v>0</v>
      </c>
      <c r="E330" s="92"/>
      <c r="F330" s="147">
        <v>2</v>
      </c>
      <c r="G330" s="147"/>
      <c r="H330" s="96">
        <f t="shared" si="80"/>
        <v>0</v>
      </c>
      <c r="I330" s="96">
        <f t="shared" si="80"/>
        <v>0</v>
      </c>
      <c r="J330" s="92"/>
      <c r="K330" s="147">
        <f>K$225</f>
        <v>2</v>
      </c>
      <c r="L330" s="147"/>
      <c r="M330" s="96">
        <f>ROUND($K330*D330,0)</f>
        <v>0</v>
      </c>
    </row>
    <row r="331" spans="1:16">
      <c r="A331" s="93" t="s">
        <v>87</v>
      </c>
      <c r="C331" s="92">
        <v>12</v>
      </c>
      <c r="D331" s="92">
        <v>16.682237186555263</v>
      </c>
      <c r="E331" s="92"/>
      <c r="F331" s="95">
        <v>-0.5</v>
      </c>
      <c r="G331" s="95"/>
      <c r="H331" s="96">
        <f t="shared" si="80"/>
        <v>-6</v>
      </c>
      <c r="I331" s="96">
        <f t="shared" si="80"/>
        <v>-8</v>
      </c>
      <c r="J331" s="92"/>
      <c r="K331" s="95">
        <f>K$226</f>
        <v>-0.5</v>
      </c>
      <c r="L331" s="95"/>
      <c r="M331" s="96">
        <f>ROUND($K331*D331,0)</f>
        <v>-8</v>
      </c>
    </row>
    <row r="332" spans="1:16">
      <c r="A332" s="93" t="s">
        <v>137</v>
      </c>
      <c r="C332" s="92">
        <v>9943</v>
      </c>
      <c r="D332" s="92">
        <v>454.52769812575326</v>
      </c>
      <c r="E332" s="92"/>
      <c r="F332" s="155">
        <v>28.156199999999998</v>
      </c>
      <c r="G332" s="120" t="s">
        <v>90</v>
      </c>
      <c r="H332" s="96">
        <f t="shared" ref="H332:I337" si="81">ROUND($F332*C332/100,0)</f>
        <v>2800</v>
      </c>
      <c r="I332" s="96">
        <f t="shared" si="81"/>
        <v>128</v>
      </c>
      <c r="J332" s="92"/>
      <c r="K332" s="155">
        <f>K$227</f>
        <v>30.090699999999998</v>
      </c>
      <c r="L332" s="120" t="s">
        <v>90</v>
      </c>
      <c r="M332" s="96">
        <f t="shared" ref="M332:M337" si="82">ROUND($K332*D332/100,0)</f>
        <v>137</v>
      </c>
    </row>
    <row r="333" spans="1:16">
      <c r="A333" s="93" t="s">
        <v>138</v>
      </c>
      <c r="C333" s="92">
        <v>14120</v>
      </c>
      <c r="D333" s="92">
        <v>645.4723018742468</v>
      </c>
      <c r="E333" s="92"/>
      <c r="F333" s="155">
        <v>10.309899999999999</v>
      </c>
      <c r="G333" s="120" t="s">
        <v>90</v>
      </c>
      <c r="H333" s="96">
        <f t="shared" si="81"/>
        <v>1456</v>
      </c>
      <c r="I333" s="96">
        <f t="shared" si="81"/>
        <v>67</v>
      </c>
      <c r="J333" s="92"/>
      <c r="K333" s="155">
        <f>K$228</f>
        <v>11.0183</v>
      </c>
      <c r="L333" s="120" t="s">
        <v>90</v>
      </c>
      <c r="M333" s="96">
        <f t="shared" si="82"/>
        <v>71</v>
      </c>
    </row>
    <row r="334" spans="1:16">
      <c r="A334" s="93" t="s">
        <v>139</v>
      </c>
      <c r="C334" s="92">
        <v>22748</v>
      </c>
      <c r="D334" s="92">
        <f>$C334/($C332+$C333)*(D332+D333)</f>
        <v>1039.8869633877737</v>
      </c>
      <c r="E334" s="92"/>
      <c r="F334" s="155">
        <v>-8.335799999999999</v>
      </c>
      <c r="G334" s="120" t="s">
        <v>90</v>
      </c>
      <c r="H334" s="96">
        <f t="shared" si="81"/>
        <v>-1896</v>
      </c>
      <c r="I334" s="96">
        <f t="shared" si="81"/>
        <v>-87</v>
      </c>
      <c r="J334" s="92"/>
      <c r="K334" s="155">
        <f>K$229</f>
        <v>-8.9085000000000001</v>
      </c>
      <c r="L334" s="120" t="s">
        <v>90</v>
      </c>
      <c r="M334" s="96">
        <f t="shared" si="82"/>
        <v>-93</v>
      </c>
    </row>
    <row r="335" spans="1:16">
      <c r="A335" s="93" t="s">
        <v>141</v>
      </c>
      <c r="C335" s="92">
        <v>23810</v>
      </c>
      <c r="D335" s="92">
        <v>10861.730917874396</v>
      </c>
      <c r="E335" s="92"/>
      <c r="F335" s="155">
        <v>24.916999999999998</v>
      </c>
      <c r="G335" s="120" t="s">
        <v>90</v>
      </c>
      <c r="H335" s="96">
        <f t="shared" si="81"/>
        <v>5933</v>
      </c>
      <c r="I335" s="96">
        <f t="shared" si="81"/>
        <v>2706</v>
      </c>
      <c r="J335" s="92"/>
      <c r="K335" s="155">
        <f>K$230</f>
        <v>26.629000000000001</v>
      </c>
      <c r="L335" s="120" t="s">
        <v>90</v>
      </c>
      <c r="M335" s="96">
        <f t="shared" si="82"/>
        <v>2892</v>
      </c>
    </row>
    <row r="336" spans="1:16">
      <c r="A336" s="93" t="s">
        <v>143</v>
      </c>
      <c r="C336" s="92">
        <v>93490</v>
      </c>
      <c r="D336" s="92">
        <f>D341-D339-D332-D333-D335</f>
        <v>42648.60241545894</v>
      </c>
      <c r="E336" s="92"/>
      <c r="F336" s="155">
        <v>9.1237999999999992</v>
      </c>
      <c r="G336" s="120" t="s">
        <v>90</v>
      </c>
      <c r="H336" s="96">
        <f t="shared" si="81"/>
        <v>8530</v>
      </c>
      <c r="I336" s="96">
        <f t="shared" si="81"/>
        <v>3891</v>
      </c>
      <c r="J336" s="92"/>
      <c r="K336" s="155">
        <f>K$231</f>
        <v>9.7507000000000001</v>
      </c>
      <c r="L336" s="120" t="s">
        <v>90</v>
      </c>
      <c r="M336" s="96">
        <f t="shared" si="82"/>
        <v>4159</v>
      </c>
    </row>
    <row r="337" spans="1:18">
      <c r="A337" s="93" t="s">
        <v>145</v>
      </c>
      <c r="C337" s="92">
        <v>74695</v>
      </c>
      <c r="D337" s="92">
        <f>$C337/($C335+$C336)*(D335+D336)</f>
        <v>34074.632125603865</v>
      </c>
      <c r="E337" s="92"/>
      <c r="F337" s="155">
        <v>-7.3768000000000002</v>
      </c>
      <c r="G337" s="120" t="s">
        <v>90</v>
      </c>
      <c r="H337" s="96">
        <f t="shared" si="81"/>
        <v>-5510</v>
      </c>
      <c r="I337" s="96">
        <f t="shared" si="81"/>
        <v>-2514</v>
      </c>
      <c r="J337" s="92"/>
      <c r="K337" s="155">
        <f>K$232</f>
        <v>-7.8836000000000004</v>
      </c>
      <c r="L337" s="120" t="s">
        <v>90</v>
      </c>
      <c r="M337" s="96">
        <f t="shared" si="82"/>
        <v>-2686</v>
      </c>
    </row>
    <row r="338" spans="1:18">
      <c r="A338" s="93" t="s">
        <v>128</v>
      </c>
      <c r="C338" s="92">
        <v>0</v>
      </c>
      <c r="D338" s="92">
        <f>ROUND($C338*D341/$C341,0)</f>
        <v>0</v>
      </c>
      <c r="E338" s="92"/>
      <c r="F338" s="95">
        <v>-0.61</v>
      </c>
      <c r="G338" s="95"/>
      <c r="H338" s="96">
        <f>ROUND($F338*C338,0)</f>
        <v>0</v>
      </c>
      <c r="I338" s="96">
        <f>ROUND($F338*D338,0)</f>
        <v>0</v>
      </c>
      <c r="J338" s="92"/>
      <c r="K338" s="95">
        <f>K$233</f>
        <v>-0.61</v>
      </c>
      <c r="L338" s="95"/>
      <c r="M338" s="96">
        <f>ROUND($K338*D338,0)</f>
        <v>0</v>
      </c>
    </row>
    <row r="339" spans="1:18">
      <c r="A339" s="129" t="s">
        <v>101</v>
      </c>
      <c r="C339" s="92">
        <v>0</v>
      </c>
      <c r="D339" s="92">
        <f>ROUND($C339*D341/$C341,0)</f>
        <v>0</v>
      </c>
      <c r="E339" s="92"/>
      <c r="F339" s="150">
        <v>7.125</v>
      </c>
      <c r="G339" s="156" t="s">
        <v>90</v>
      </c>
      <c r="H339" s="96">
        <f>ROUND($F339*C339/100,0)</f>
        <v>0</v>
      </c>
      <c r="I339" s="96">
        <f>ROUND($F339*D339/100,0)</f>
        <v>0</v>
      </c>
      <c r="J339" s="92"/>
      <c r="K339" s="150">
        <f>K$234</f>
        <v>7.125</v>
      </c>
      <c r="L339" s="156" t="s">
        <v>90</v>
      </c>
      <c r="M339" s="96">
        <f>ROUND($K339*D339/100,0)</f>
        <v>0</v>
      </c>
    </row>
    <row r="340" spans="1:18">
      <c r="A340" s="129" t="s">
        <v>103</v>
      </c>
      <c r="B340" s="130"/>
      <c r="C340" s="92">
        <v>398</v>
      </c>
      <c r="D340" s="92"/>
      <c r="E340" s="92"/>
      <c r="F340" s="131"/>
      <c r="G340" s="9"/>
      <c r="H340" s="96">
        <v>44</v>
      </c>
      <c r="I340" s="96"/>
      <c r="J340" s="92"/>
      <c r="K340" s="131"/>
      <c r="L340" s="9"/>
      <c r="M340" s="96"/>
      <c r="N340" s="121"/>
      <c r="O340" s="121"/>
      <c r="P340" s="121"/>
    </row>
    <row r="341" spans="1:18" ht="16.5" thickBot="1">
      <c r="A341" s="133" t="s">
        <v>105</v>
      </c>
      <c r="B341" s="134"/>
      <c r="C341" s="135">
        <f>SUM(C332:C333,C335:C336,C339:C340)</f>
        <v>141761</v>
      </c>
      <c r="D341" s="135">
        <v>54610.333333333336</v>
      </c>
      <c r="E341" s="135"/>
      <c r="F341" s="134"/>
      <c r="G341" s="134"/>
      <c r="H341" s="136">
        <f>SUM(H329:H340)</f>
        <v>13132</v>
      </c>
      <c r="I341" s="136">
        <f>SUM(I329:I340)</f>
        <v>5455</v>
      </c>
      <c r="J341" s="135"/>
      <c r="K341" s="134"/>
      <c r="L341" s="134"/>
      <c r="M341" s="136">
        <f>SUM(M329:M340)</f>
        <v>5840</v>
      </c>
      <c r="O341" s="89" t="s">
        <v>86</v>
      </c>
      <c r="P341" s="88">
        <f>M341/I341-1</f>
        <v>7.05774518790101E-2</v>
      </c>
    </row>
    <row r="342" spans="1:18" ht="16.5" thickTop="1"/>
    <row r="343" spans="1:18">
      <c r="A343" s="283" t="s">
        <v>490</v>
      </c>
      <c r="C343" s="92"/>
      <c r="D343" s="92"/>
      <c r="E343" s="92"/>
      <c r="H343" s="96"/>
      <c r="I343" s="96"/>
      <c r="J343" s="92"/>
      <c r="M343" s="96"/>
      <c r="R343" s="72" t="s">
        <v>474</v>
      </c>
    </row>
    <row r="344" spans="1:18">
      <c r="A344" s="93" t="s">
        <v>131</v>
      </c>
      <c r="C344" s="92"/>
      <c r="D344" s="92">
        <f>D227+D287</f>
        <v>40518620.201064274</v>
      </c>
      <c r="E344" s="92"/>
      <c r="F344" s="155"/>
      <c r="G344" s="120"/>
      <c r="H344" s="96"/>
      <c r="I344" s="96"/>
      <c r="J344" s="92"/>
      <c r="K344" s="155">
        <f>ROUND(SUM(P345,-M346,-M349)/SUM(D344,D345/P346,D347/P347,D348/(P346*P347))*100,P349)</f>
        <v>27.6525</v>
      </c>
      <c r="L344" s="120" t="s">
        <v>90</v>
      </c>
      <c r="M344" s="96">
        <f>ROUND($K344*D344/100,0)</f>
        <v>11204411</v>
      </c>
      <c r="O344" s="285" t="s">
        <v>476</v>
      </c>
      <c r="P344" s="126"/>
      <c r="Q344" s="278"/>
      <c r="R344" s="284">
        <f>K344/K345</f>
        <v>2.7309762480865141</v>
      </c>
    </row>
    <row r="345" spans="1:18">
      <c r="A345" s="93" t="s">
        <v>132</v>
      </c>
      <c r="C345" s="92"/>
      <c r="D345" s="92">
        <f>D228+D288</f>
        <v>82131792.746660933</v>
      </c>
      <c r="E345" s="92"/>
      <c r="F345" s="155"/>
      <c r="G345" s="120"/>
      <c r="H345" s="96"/>
      <c r="I345" s="96"/>
      <c r="J345" s="92"/>
      <c r="K345" s="155">
        <f>ROUND(K344/P346,P349)</f>
        <v>10.125500000000001</v>
      </c>
      <c r="L345" s="120" t="s">
        <v>90</v>
      </c>
      <c r="M345" s="96">
        <f t="shared" ref="M345:M349" si="83">ROUND($K345*D345/100,0)</f>
        <v>8316255</v>
      </c>
      <c r="O345" s="286" t="s">
        <v>477</v>
      </c>
      <c r="P345" s="278">
        <f>SUM(M227:M232,M287:M292)</f>
        <v>42543905</v>
      </c>
      <c r="R345" s="284"/>
    </row>
    <row r="346" spans="1:18">
      <c r="A346" s="93" t="s">
        <v>133</v>
      </c>
      <c r="C346" s="92"/>
      <c r="D346" s="92">
        <v>109692170.56891581</v>
      </c>
      <c r="E346" s="92"/>
      <c r="F346" s="155"/>
      <c r="G346" s="120"/>
      <c r="H346" s="96"/>
      <c r="I346" s="96"/>
      <c r="J346" s="92"/>
      <c r="K346" s="155">
        <f>ROUND(K229*P348,P349)</f>
        <v>-2.9695</v>
      </c>
      <c r="L346" s="120" t="s">
        <v>90</v>
      </c>
      <c r="M346" s="96">
        <f t="shared" si="83"/>
        <v>-3257309</v>
      </c>
      <c r="O346" s="287" t="s">
        <v>142</v>
      </c>
      <c r="P346" s="284">
        <f>F227/F228</f>
        <v>2.7309867215006935</v>
      </c>
      <c r="R346" s="284">
        <f>K346/K229</f>
        <v>0.33333333333333331</v>
      </c>
    </row>
    <row r="347" spans="1:18">
      <c r="A347" s="93" t="s">
        <v>134</v>
      </c>
      <c r="C347" s="92"/>
      <c r="D347" s="92">
        <f>D230+D290</f>
        <v>68763786.087248519</v>
      </c>
      <c r="E347" s="92"/>
      <c r="F347" s="155"/>
      <c r="G347" s="120"/>
      <c r="H347" s="96"/>
      <c r="I347" s="96"/>
      <c r="J347" s="92"/>
      <c r="K347" s="155">
        <f>ROUND(K344/P347,P349)</f>
        <v>24.4712</v>
      </c>
      <c r="L347" s="120" t="s">
        <v>90</v>
      </c>
      <c r="M347" s="96">
        <f t="shared" si="83"/>
        <v>16827324</v>
      </c>
      <c r="O347" s="287" t="s">
        <v>171</v>
      </c>
      <c r="P347" s="284">
        <v>1.1299999999999999</v>
      </c>
      <c r="R347" s="284">
        <f>K347/K348</f>
        <v>2.7309778363056045</v>
      </c>
    </row>
    <row r="348" spans="1:18">
      <c r="A348" s="93" t="s">
        <v>135</v>
      </c>
      <c r="C348" s="92"/>
      <c r="D348" s="92">
        <f>D231+D291</f>
        <v>167248856.35461965</v>
      </c>
      <c r="E348" s="92"/>
      <c r="F348" s="155"/>
      <c r="G348" s="120"/>
      <c r="H348" s="96"/>
      <c r="I348" s="96"/>
      <c r="J348" s="92"/>
      <c r="K348" s="155">
        <f>ROUND(K345/P347,P349)</f>
        <v>8.9605999999999995</v>
      </c>
      <c r="L348" s="120" t="s">
        <v>90</v>
      </c>
      <c r="M348" s="96">
        <f t="shared" si="83"/>
        <v>14986501</v>
      </c>
      <c r="O348" s="287" t="s">
        <v>478</v>
      </c>
      <c r="P348" s="284">
        <f>1/3</f>
        <v>0.33333333333333331</v>
      </c>
      <c r="R348" s="284"/>
    </row>
    <row r="349" spans="1:18">
      <c r="A349" s="93" t="s">
        <v>136</v>
      </c>
      <c r="C349" s="92"/>
      <c r="D349" s="92">
        <v>210555609.84627834</v>
      </c>
      <c r="E349" s="92"/>
      <c r="F349" s="155"/>
      <c r="G349" s="120"/>
      <c r="H349" s="96"/>
      <c r="I349" s="96"/>
      <c r="J349" s="92"/>
      <c r="K349" s="155">
        <f>ROUND(K232*P348,P349)</f>
        <v>-2.6278999999999999</v>
      </c>
      <c r="L349" s="120" t="s">
        <v>90</v>
      </c>
      <c r="M349" s="96">
        <f t="shared" si="83"/>
        <v>-5533191</v>
      </c>
      <c r="O349" s="288" t="s">
        <v>74</v>
      </c>
      <c r="P349" s="130">
        <v>4</v>
      </c>
      <c r="R349" s="284">
        <f>K349/K232</f>
        <v>0.33333756152011768</v>
      </c>
    </row>
    <row r="350" spans="1:18" ht="16.5" thickBot="1">
      <c r="A350" s="189" t="s">
        <v>475</v>
      </c>
      <c r="B350" s="134"/>
      <c r="C350" s="134"/>
      <c r="D350" s="135">
        <f>SUM(D344:D345,D347:D348)</f>
        <v>358663055.38959336</v>
      </c>
      <c r="E350" s="134"/>
      <c r="F350" s="134"/>
      <c r="G350" s="134"/>
      <c r="H350" s="134"/>
      <c r="I350" s="134"/>
      <c r="J350" s="134"/>
      <c r="K350" s="134"/>
      <c r="L350" s="134"/>
      <c r="M350" s="136">
        <f>SUM(M344:M349)</f>
        <v>42543991</v>
      </c>
      <c r="R350" s="72">
        <f>M350-P345</f>
        <v>86</v>
      </c>
    </row>
    <row r="351" spans="1:18" ht="16.5" thickTop="1">
      <c r="B351" s="126"/>
      <c r="C351" s="126"/>
      <c r="D351" s="126"/>
      <c r="E351" s="126"/>
      <c r="F351" s="126"/>
      <c r="G351" s="126"/>
      <c r="H351" s="126"/>
      <c r="I351" s="126"/>
      <c r="J351" s="126"/>
      <c r="K351" s="288"/>
      <c r="L351" s="126"/>
      <c r="M351" s="130"/>
    </row>
    <row r="352" spans="1:18">
      <c r="A352" s="90" t="s">
        <v>148</v>
      </c>
      <c r="C352" s="92"/>
      <c r="D352" s="92"/>
      <c r="E352" s="92"/>
      <c r="J352" s="92"/>
    </row>
    <row r="353" spans="1:16">
      <c r="A353" s="93" t="s">
        <v>149</v>
      </c>
      <c r="C353" s="92">
        <f>C362+C371+C380</f>
        <v>6856</v>
      </c>
      <c r="D353" s="92">
        <f>D362+D371+D380</f>
        <v>6332.9657442649122</v>
      </c>
      <c r="E353" s="92"/>
      <c r="J353" s="92"/>
      <c r="O353" s="103" t="s">
        <v>79</v>
      </c>
      <c r="P353" s="104">
        <f>M359</f>
        <v>1426482</v>
      </c>
    </row>
    <row r="354" spans="1:16">
      <c r="A354" s="93" t="s">
        <v>150</v>
      </c>
      <c r="C354" s="94">
        <f t="shared" ref="C354:D359" si="84">C363+C372+C381</f>
        <v>9943034.2530291062</v>
      </c>
      <c r="D354" s="94">
        <f>D363+D372+D381</f>
        <v>10030592.085183039</v>
      </c>
      <c r="E354" s="94"/>
      <c r="H354" s="96"/>
      <c r="I354" s="96"/>
      <c r="J354" s="94"/>
      <c r="M354" s="96"/>
      <c r="O354" s="106" t="s">
        <v>81</v>
      </c>
      <c r="P354" s="107">
        <f>'Rate Spread'!M40*1000</f>
        <v>1425887.4540035615</v>
      </c>
    </row>
    <row r="355" spans="1:16">
      <c r="A355" s="157" t="s">
        <v>151</v>
      </c>
      <c r="C355" s="92">
        <f t="shared" si="84"/>
        <v>78163.737362637374</v>
      </c>
      <c r="D355" s="92">
        <f>D364+D373+D382</f>
        <v>77797</v>
      </c>
      <c r="E355" s="92"/>
      <c r="F355" s="158">
        <v>9.1</v>
      </c>
      <c r="G355" s="95"/>
      <c r="H355" s="96">
        <f t="shared" ref="H355:I357" si="85">ROUND($F355*C355,0)</f>
        <v>711290</v>
      </c>
      <c r="I355" s="96">
        <f t="shared" si="85"/>
        <v>707953</v>
      </c>
      <c r="J355" s="92"/>
      <c r="K355" s="158">
        <f>ROUND(F355*(1+$P$357),2)</f>
        <v>9.5299999999999994</v>
      </c>
      <c r="L355" s="95"/>
      <c r="M355" s="96">
        <f>ROUND($K355*D355,0)</f>
        <v>741405</v>
      </c>
      <c r="N355" s="72">
        <v>19</v>
      </c>
      <c r="O355" s="109" t="s">
        <v>83</v>
      </c>
      <c r="P355" s="110">
        <f>P354-P353</f>
        <v>-594.54599643847905</v>
      </c>
    </row>
    <row r="356" spans="1:16">
      <c r="A356" s="157" t="s">
        <v>152</v>
      </c>
      <c r="C356" s="92">
        <f t="shared" si="84"/>
        <v>22201.933081998126</v>
      </c>
      <c r="D356" s="92">
        <f>D365+D374+D383</f>
        <v>22442</v>
      </c>
      <c r="E356" s="92"/>
      <c r="F356" s="158">
        <v>10.61</v>
      </c>
      <c r="G356" s="95"/>
      <c r="H356" s="96">
        <f t="shared" si="85"/>
        <v>235563</v>
      </c>
      <c r="I356" s="96">
        <f t="shared" si="85"/>
        <v>238110</v>
      </c>
      <c r="J356" s="92"/>
      <c r="K356" s="158">
        <f>ROUND(F356*(1+$P$357),2)</f>
        <v>11.11</v>
      </c>
      <c r="L356" s="95"/>
      <c r="M356" s="96">
        <f>ROUND($K356*D356,0)</f>
        <v>249331</v>
      </c>
      <c r="N356" s="72">
        <v>34</v>
      </c>
      <c r="O356" s="103" t="s">
        <v>86</v>
      </c>
      <c r="P356" s="149">
        <f>P353/(I359)-1</f>
        <v>4.7172927760673389E-2</v>
      </c>
    </row>
    <row r="357" spans="1:16">
      <c r="A357" s="159" t="s">
        <v>153</v>
      </c>
      <c r="C357" s="92">
        <f t="shared" si="84"/>
        <v>31549.040123456769</v>
      </c>
      <c r="D357" s="92">
        <f>D366+D375+D384</f>
        <v>32111</v>
      </c>
      <c r="E357" s="92"/>
      <c r="F357" s="158">
        <v>12.96</v>
      </c>
      <c r="G357" s="95"/>
      <c r="H357" s="96">
        <f t="shared" si="85"/>
        <v>408876</v>
      </c>
      <c r="I357" s="96">
        <f t="shared" si="85"/>
        <v>416159</v>
      </c>
      <c r="J357" s="92"/>
      <c r="K357" s="158">
        <f>ROUND(F357*(1+$P$357),2)</f>
        <v>13.57</v>
      </c>
      <c r="L357" s="95"/>
      <c r="M357" s="96">
        <f>ROUND($K357*D357,0)</f>
        <v>435746</v>
      </c>
      <c r="N357" s="72">
        <v>57</v>
      </c>
      <c r="O357" s="124" t="s">
        <v>88</v>
      </c>
      <c r="P357" s="151">
        <f>P354/(I359)-1</f>
        <v>4.673647467414388E-2</v>
      </c>
    </row>
    <row r="358" spans="1:16">
      <c r="A358" s="129" t="s">
        <v>103</v>
      </c>
      <c r="B358" s="130"/>
      <c r="C358" s="92">
        <f t="shared" si="84"/>
        <v>60180</v>
      </c>
      <c r="D358" s="92"/>
      <c r="E358" s="92"/>
      <c r="F358" s="131"/>
      <c r="G358" s="9"/>
      <c r="H358" s="96">
        <f t="shared" ref="H358" si="86">H367+H376+H385</f>
        <v>8337</v>
      </c>
      <c r="I358" s="96"/>
      <c r="J358" s="92"/>
      <c r="K358" s="131"/>
      <c r="L358" s="9"/>
      <c r="M358" s="96"/>
      <c r="N358" s="121"/>
      <c r="O358" s="121"/>
      <c r="P358" s="121"/>
    </row>
    <row r="359" spans="1:16" ht="16.5" thickBot="1">
      <c r="A359" s="133" t="s">
        <v>154</v>
      </c>
      <c r="B359" s="134"/>
      <c r="C359" s="160">
        <f t="shared" si="84"/>
        <v>10003214.253029106</v>
      </c>
      <c r="D359" s="160">
        <f t="shared" si="84"/>
        <v>10030592.085183039</v>
      </c>
      <c r="E359" s="160"/>
      <c r="F359" s="134"/>
      <c r="G359" s="134"/>
      <c r="H359" s="136">
        <f>SUM(H355:H358)</f>
        <v>1364066</v>
      </c>
      <c r="I359" s="136">
        <f>SUM(I355:I358)</f>
        <v>1362222</v>
      </c>
      <c r="J359" s="160"/>
      <c r="K359" s="134"/>
      <c r="L359" s="134"/>
      <c r="M359" s="136">
        <f>SUM(M355:M358)</f>
        <v>1426482</v>
      </c>
      <c r="O359" s="89" t="s">
        <v>86</v>
      </c>
      <c r="P359" s="88">
        <f>M359/I359-1</f>
        <v>4.7172927760673389E-2</v>
      </c>
    </row>
    <row r="360" spans="1:16" ht="16.5" thickTop="1"/>
    <row r="361" spans="1:16">
      <c r="A361" s="90" t="s">
        <v>441</v>
      </c>
      <c r="C361" s="92"/>
      <c r="D361" s="92"/>
      <c r="E361" s="92"/>
      <c r="J361" s="92"/>
    </row>
    <row r="362" spans="1:16">
      <c r="A362" s="93" t="s">
        <v>149</v>
      </c>
      <c r="C362" s="92">
        <v>4212</v>
      </c>
      <c r="D362" s="92">
        <v>3966</v>
      </c>
      <c r="E362" s="92"/>
      <c r="F362" s="158"/>
      <c r="G362" s="95"/>
      <c r="H362" s="96"/>
      <c r="I362" s="96"/>
      <c r="J362" s="92"/>
      <c r="K362" s="158"/>
      <c r="L362" s="95"/>
      <c r="M362" s="96"/>
    </row>
    <row r="363" spans="1:16">
      <c r="A363" s="93" t="s">
        <v>150</v>
      </c>
      <c r="C363" s="92">
        <v>7114356.6277373396</v>
      </c>
      <c r="D363" s="92">
        <f>D368</f>
        <v>7291942.8860848788</v>
      </c>
      <c r="E363" s="92"/>
      <c r="F363" s="158"/>
      <c r="G363" s="95"/>
      <c r="H363" s="96"/>
      <c r="I363" s="96"/>
      <c r="J363" s="92"/>
      <c r="K363" s="158"/>
      <c r="L363" s="95"/>
      <c r="M363" s="96"/>
    </row>
    <row r="364" spans="1:16">
      <c r="A364" s="157" t="s">
        <v>151</v>
      </c>
      <c r="C364" s="92">
        <v>45021.758241758202</v>
      </c>
      <c r="D364" s="92">
        <f>ROUND($C364*$D$368/($C$368-$C$367),0)</f>
        <v>46146</v>
      </c>
      <c r="E364" s="92"/>
      <c r="F364" s="158">
        <v>9.1</v>
      </c>
      <c r="G364" s="95"/>
      <c r="H364" s="96">
        <f t="shared" ref="H364:I366" si="87">ROUND($F364*C364,0)</f>
        <v>409698</v>
      </c>
      <c r="I364" s="96">
        <f t="shared" si="87"/>
        <v>419929</v>
      </c>
      <c r="J364" s="92"/>
      <c r="K364" s="158">
        <f>K$355</f>
        <v>9.5299999999999994</v>
      </c>
      <c r="L364" s="95"/>
      <c r="M364" s="96">
        <f>ROUND($K364*D364,0)</f>
        <v>439771</v>
      </c>
    </row>
    <row r="365" spans="1:16">
      <c r="A365" s="157" t="s">
        <v>152</v>
      </c>
      <c r="C365" s="94">
        <v>16172.169651272399</v>
      </c>
      <c r="D365" s="92">
        <f t="shared" ref="D365:D366" si="88">ROUND($C365*$D$368/($C$368-$C$367),0)</f>
        <v>16576</v>
      </c>
      <c r="E365" s="92"/>
      <c r="F365" s="158">
        <v>10.61</v>
      </c>
      <c r="H365" s="96">
        <f t="shared" si="87"/>
        <v>171587</v>
      </c>
      <c r="I365" s="96">
        <f t="shared" si="87"/>
        <v>175871</v>
      </c>
      <c r="J365" s="92"/>
      <c r="K365" s="158">
        <f>K$356</f>
        <v>11.11</v>
      </c>
      <c r="M365" s="96">
        <f>ROUND($K365*D365,0)</f>
        <v>184159</v>
      </c>
    </row>
    <row r="366" spans="1:16">
      <c r="A366" s="159" t="s">
        <v>153</v>
      </c>
      <c r="C366" s="92">
        <v>26119.1435185185</v>
      </c>
      <c r="D366" s="92">
        <f t="shared" si="88"/>
        <v>26771</v>
      </c>
      <c r="E366" s="92"/>
      <c r="F366" s="158">
        <v>12.96</v>
      </c>
      <c r="H366" s="96">
        <f t="shared" si="87"/>
        <v>338504</v>
      </c>
      <c r="I366" s="96">
        <f t="shared" si="87"/>
        <v>346952</v>
      </c>
      <c r="J366" s="92"/>
      <c r="K366" s="158">
        <f>K$357</f>
        <v>13.57</v>
      </c>
      <c r="M366" s="96">
        <f>ROUND($K366*D366,0)</f>
        <v>363282</v>
      </c>
    </row>
    <row r="367" spans="1:16">
      <c r="A367" s="129" t="s">
        <v>103</v>
      </c>
      <c r="B367" s="130"/>
      <c r="C367" s="92">
        <v>54250</v>
      </c>
      <c r="D367" s="92"/>
      <c r="E367" s="92"/>
      <c r="F367" s="131"/>
      <c r="G367" s="9"/>
      <c r="H367" s="96">
        <v>6973</v>
      </c>
      <c r="I367" s="96"/>
      <c r="J367" s="92"/>
      <c r="K367" s="131"/>
      <c r="L367" s="9"/>
      <c r="M367" s="96"/>
      <c r="N367" s="121"/>
      <c r="O367" s="121"/>
      <c r="P367" s="121"/>
    </row>
    <row r="368" spans="1:16" ht="16.5" thickBot="1">
      <c r="A368" s="133" t="s">
        <v>154</v>
      </c>
      <c r="B368" s="134"/>
      <c r="C368" s="160">
        <f>C363+C367</f>
        <v>7168606.6277373396</v>
      </c>
      <c r="D368" s="160">
        <v>7291942.8860848788</v>
      </c>
      <c r="E368" s="160"/>
      <c r="F368" s="134"/>
      <c r="G368" s="134"/>
      <c r="H368" s="136">
        <f>SUM(H364:H367)</f>
        <v>926762</v>
      </c>
      <c r="I368" s="136">
        <f>SUM(I364:I367)</f>
        <v>942752</v>
      </c>
      <c r="J368" s="160"/>
      <c r="K368" s="134"/>
      <c r="L368" s="134"/>
      <c r="M368" s="136">
        <f>SUM(M364:M367)</f>
        <v>987212</v>
      </c>
      <c r="O368" s="89" t="s">
        <v>86</v>
      </c>
      <c r="P368" s="88">
        <f>M368/I368-1</f>
        <v>4.7159804487288293E-2</v>
      </c>
    </row>
    <row r="369" spans="1:16" ht="16.5" thickTop="1"/>
    <row r="370" spans="1:16">
      <c r="A370" s="90" t="s">
        <v>442</v>
      </c>
      <c r="C370" s="92"/>
      <c r="D370" s="92"/>
      <c r="E370" s="92"/>
      <c r="J370" s="92"/>
    </row>
    <row r="371" spans="1:16">
      <c r="A371" s="93" t="s">
        <v>149</v>
      </c>
      <c r="C371" s="92">
        <v>397</v>
      </c>
      <c r="D371" s="92">
        <v>365</v>
      </c>
      <c r="E371" s="92"/>
      <c r="F371" s="158"/>
      <c r="G371" s="95"/>
      <c r="H371" s="96"/>
      <c r="I371" s="96"/>
      <c r="J371" s="92"/>
      <c r="K371" s="158"/>
      <c r="L371" s="95"/>
      <c r="M371" s="96"/>
    </row>
    <row r="372" spans="1:16">
      <c r="A372" s="93" t="s">
        <v>150</v>
      </c>
      <c r="C372" s="92">
        <v>790803.74883163697</v>
      </c>
      <c r="D372" s="92">
        <f>D377</f>
        <v>809331.09584229137</v>
      </c>
      <c r="E372" s="92"/>
      <c r="F372" s="158"/>
      <c r="G372" s="95"/>
      <c r="H372" s="96"/>
      <c r="I372" s="96"/>
      <c r="J372" s="92"/>
      <c r="K372" s="158"/>
      <c r="L372" s="95"/>
      <c r="M372" s="96"/>
    </row>
    <row r="373" spans="1:16">
      <c r="A373" s="157" t="s">
        <v>151</v>
      </c>
      <c r="C373" s="92">
        <v>3580.0153846153798</v>
      </c>
      <c r="D373" s="92">
        <f>ROUND($C373*$D$377/($C$377-$C$376),0)</f>
        <v>3664</v>
      </c>
      <c r="E373" s="92"/>
      <c r="F373" s="158">
        <v>9.1</v>
      </c>
      <c r="G373" s="95"/>
      <c r="H373" s="96">
        <f t="shared" ref="H373:I375" si="89">ROUND($F373*C373,0)</f>
        <v>32578</v>
      </c>
      <c r="I373" s="96">
        <f t="shared" si="89"/>
        <v>33342</v>
      </c>
      <c r="J373" s="92"/>
      <c r="K373" s="158">
        <f>K$355</f>
        <v>9.5299999999999994</v>
      </c>
      <c r="L373" s="95"/>
      <c r="M373" s="96">
        <f>ROUND($K373*D373,0)</f>
        <v>34918</v>
      </c>
    </row>
    <row r="374" spans="1:16">
      <c r="A374" s="157" t="s">
        <v>152</v>
      </c>
      <c r="C374" s="94">
        <v>2047.9641847313901</v>
      </c>
      <c r="D374" s="92">
        <f t="shared" ref="D374:D375" si="90">ROUND($C374*$D$377/($C$377-$C$376),0)</f>
        <v>2096</v>
      </c>
      <c r="E374" s="92"/>
      <c r="F374" s="158">
        <v>10.61</v>
      </c>
      <c r="H374" s="96">
        <f t="shared" si="89"/>
        <v>21729</v>
      </c>
      <c r="I374" s="96">
        <f t="shared" si="89"/>
        <v>22239</v>
      </c>
      <c r="J374" s="92"/>
      <c r="K374" s="158">
        <f>K$356</f>
        <v>11.11</v>
      </c>
      <c r="M374" s="96">
        <f>ROUND($K374*D374,0)</f>
        <v>23287</v>
      </c>
    </row>
    <row r="375" spans="1:16">
      <c r="A375" s="159" t="s">
        <v>153</v>
      </c>
      <c r="C375" s="92">
        <v>2601.1975308642</v>
      </c>
      <c r="D375" s="92">
        <f t="shared" si="90"/>
        <v>2662</v>
      </c>
      <c r="E375" s="92"/>
      <c r="F375" s="158">
        <v>12.96</v>
      </c>
      <c r="H375" s="96">
        <f t="shared" si="89"/>
        <v>33712</v>
      </c>
      <c r="I375" s="96">
        <f t="shared" si="89"/>
        <v>34500</v>
      </c>
      <c r="J375" s="92"/>
      <c r="K375" s="158">
        <f>K$357</f>
        <v>13.57</v>
      </c>
      <c r="M375" s="96">
        <f>ROUND($K375*D375,0)</f>
        <v>36123</v>
      </c>
    </row>
    <row r="376" spans="1:16">
      <c r="A376" s="129" t="s">
        <v>103</v>
      </c>
      <c r="B376" s="130"/>
      <c r="C376" s="92">
        <v>191</v>
      </c>
      <c r="D376" s="92"/>
      <c r="E376" s="92"/>
      <c r="F376" s="131"/>
      <c r="G376" s="9"/>
      <c r="H376" s="96">
        <v>199</v>
      </c>
      <c r="I376" s="96"/>
      <c r="J376" s="92"/>
      <c r="K376" s="131"/>
      <c r="L376" s="9"/>
      <c r="M376" s="96"/>
      <c r="N376" s="121"/>
      <c r="O376" s="121"/>
      <c r="P376" s="121"/>
    </row>
    <row r="377" spans="1:16" ht="16.5" thickBot="1">
      <c r="A377" s="133" t="s">
        <v>154</v>
      </c>
      <c r="B377" s="134"/>
      <c r="C377" s="160">
        <f>C372+C376</f>
        <v>790994.74883163697</v>
      </c>
      <c r="D377" s="160">
        <v>809331.09584229137</v>
      </c>
      <c r="E377" s="160"/>
      <c r="F377" s="134"/>
      <c r="G377" s="134"/>
      <c r="H377" s="136">
        <f>SUM(H373:H376)</f>
        <v>88218</v>
      </c>
      <c r="I377" s="136">
        <f>SUM(I373:I376)</f>
        <v>90081</v>
      </c>
      <c r="J377" s="160"/>
      <c r="K377" s="134"/>
      <c r="L377" s="134"/>
      <c r="M377" s="136">
        <f>SUM(M373:M376)</f>
        <v>94328</v>
      </c>
      <c r="O377" s="89" t="s">
        <v>86</v>
      </c>
      <c r="P377" s="88">
        <f>M377/I377-1</f>
        <v>4.7146457077519077E-2</v>
      </c>
    </row>
    <row r="378" spans="1:16" ht="16.5" thickTop="1"/>
    <row r="379" spans="1:16">
      <c r="A379" s="90" t="s">
        <v>443</v>
      </c>
      <c r="C379" s="92"/>
      <c r="D379" s="92"/>
      <c r="E379" s="92"/>
      <c r="J379" s="92"/>
    </row>
    <row r="380" spans="1:16">
      <c r="A380" s="93" t="s">
        <v>149</v>
      </c>
      <c r="C380" s="92">
        <v>2247</v>
      </c>
      <c r="D380" s="92">
        <v>2001.965744264912</v>
      </c>
      <c r="E380" s="92"/>
      <c r="F380" s="158"/>
      <c r="G380" s="95"/>
      <c r="H380" s="96"/>
      <c r="I380" s="96"/>
      <c r="J380" s="92"/>
      <c r="K380" s="158"/>
      <c r="L380" s="95"/>
      <c r="M380" s="96"/>
    </row>
    <row r="381" spans="1:16">
      <c r="A381" s="93" t="s">
        <v>150</v>
      </c>
      <c r="C381" s="92">
        <v>2037873.8764601301</v>
      </c>
      <c r="D381" s="92">
        <f>D386</f>
        <v>1929318.1032558689</v>
      </c>
      <c r="E381" s="92"/>
      <c r="F381" s="158"/>
      <c r="G381" s="95"/>
      <c r="H381" s="96"/>
      <c r="I381" s="96"/>
      <c r="J381" s="92"/>
      <c r="K381" s="158"/>
      <c r="L381" s="95"/>
      <c r="M381" s="96"/>
    </row>
    <row r="382" spans="1:16">
      <c r="A382" s="157" t="s">
        <v>151</v>
      </c>
      <c r="C382" s="92">
        <v>29561.963736263799</v>
      </c>
      <c r="D382" s="92">
        <f>ROUND($C382*$D$386/($C$386-$C$385),0)</f>
        <v>27987</v>
      </c>
      <c r="E382" s="92"/>
      <c r="F382" s="158">
        <v>9.1</v>
      </c>
      <c r="G382" s="95"/>
      <c r="H382" s="96">
        <f t="shared" ref="H382:I384" si="91">ROUND($F382*C382,0)</f>
        <v>269014</v>
      </c>
      <c r="I382" s="96">
        <f t="shared" si="91"/>
        <v>254682</v>
      </c>
      <c r="J382" s="92"/>
      <c r="K382" s="158">
        <f>K$355</f>
        <v>9.5299999999999994</v>
      </c>
      <c r="L382" s="95"/>
      <c r="M382" s="96">
        <f>ROUND($K382*D382,0)</f>
        <v>266716</v>
      </c>
    </row>
    <row r="383" spans="1:16">
      <c r="A383" s="157" t="s">
        <v>152</v>
      </c>
      <c r="C383" s="94">
        <v>3981.7992459943398</v>
      </c>
      <c r="D383" s="92">
        <f t="shared" ref="D383:D384" si="92">ROUND($C383*$D$386/($C$386-$C$385),0)</f>
        <v>3770</v>
      </c>
      <c r="E383" s="92"/>
      <c r="F383" s="158">
        <v>10.61</v>
      </c>
      <c r="H383" s="96">
        <f t="shared" si="91"/>
        <v>42247</v>
      </c>
      <c r="I383" s="96">
        <f t="shared" si="91"/>
        <v>40000</v>
      </c>
      <c r="J383" s="92"/>
      <c r="K383" s="158">
        <f>K$356</f>
        <v>11.11</v>
      </c>
      <c r="M383" s="96">
        <f>ROUND($K383*D383,0)</f>
        <v>41885</v>
      </c>
    </row>
    <row r="384" spans="1:16">
      <c r="A384" s="159" t="s">
        <v>153</v>
      </c>
      <c r="C384" s="92">
        <v>2828.6990740740698</v>
      </c>
      <c r="D384" s="92">
        <f t="shared" si="92"/>
        <v>2678</v>
      </c>
      <c r="E384" s="92"/>
      <c r="F384" s="158">
        <v>12.96</v>
      </c>
      <c r="H384" s="96">
        <f t="shared" si="91"/>
        <v>36660</v>
      </c>
      <c r="I384" s="96">
        <f t="shared" si="91"/>
        <v>34707</v>
      </c>
      <c r="J384" s="92"/>
      <c r="K384" s="158">
        <f>K$357</f>
        <v>13.57</v>
      </c>
      <c r="M384" s="96">
        <f>ROUND($K384*D384,0)</f>
        <v>36340</v>
      </c>
    </row>
    <row r="385" spans="1:17">
      <c r="A385" s="129" t="s">
        <v>103</v>
      </c>
      <c r="B385" s="130"/>
      <c r="C385" s="92">
        <v>5739</v>
      </c>
      <c r="D385" s="92"/>
      <c r="E385" s="92"/>
      <c r="F385" s="131"/>
      <c r="G385" s="9"/>
      <c r="H385" s="96">
        <v>1165</v>
      </c>
      <c r="I385" s="96"/>
      <c r="J385" s="92"/>
      <c r="K385" s="131"/>
      <c r="L385" s="9"/>
      <c r="M385" s="96"/>
      <c r="N385" s="121"/>
      <c r="O385" s="121"/>
      <c r="P385" s="121"/>
    </row>
    <row r="386" spans="1:17" ht="16.5" thickBot="1">
      <c r="A386" s="133" t="s">
        <v>154</v>
      </c>
      <c r="B386" s="134"/>
      <c r="C386" s="160">
        <f>C381+C385</f>
        <v>2043612.8764601301</v>
      </c>
      <c r="D386" s="160">
        <v>1929318.1032558689</v>
      </c>
      <c r="E386" s="160"/>
      <c r="F386" s="134"/>
      <c r="G386" s="134"/>
      <c r="H386" s="136">
        <f>SUM(H382:H385)</f>
        <v>349086</v>
      </c>
      <c r="I386" s="136">
        <f>SUM(I382:I385)</f>
        <v>329389</v>
      </c>
      <c r="J386" s="160"/>
      <c r="K386" s="134"/>
      <c r="L386" s="134"/>
      <c r="M386" s="136">
        <f>SUM(M382:M385)</f>
        <v>344941</v>
      </c>
      <c r="O386" s="89" t="s">
        <v>86</v>
      </c>
      <c r="P386" s="88">
        <f>M386/I386-1</f>
        <v>4.721469144385515E-2</v>
      </c>
    </row>
    <row r="387" spans="1:17" ht="16.5" thickTop="1">
      <c r="C387" s="92"/>
      <c r="D387" s="92"/>
      <c r="E387" s="92"/>
      <c r="J387" s="92"/>
    </row>
    <row r="388" spans="1:17">
      <c r="A388" s="90" t="s">
        <v>155</v>
      </c>
      <c r="C388" s="92"/>
      <c r="D388" s="92"/>
      <c r="E388" s="92"/>
      <c r="J388" s="92"/>
    </row>
    <row r="389" spans="1:17">
      <c r="A389" s="93" t="s">
        <v>121</v>
      </c>
      <c r="C389" s="92">
        <f t="shared" ref="C389:D400" si="93">C403+C417+C431</f>
        <v>2505.0667605633798</v>
      </c>
      <c r="D389" s="92">
        <f t="shared" si="93"/>
        <v>2506</v>
      </c>
      <c r="E389" s="92"/>
      <c r="F389" s="95">
        <v>71</v>
      </c>
      <c r="G389" s="95"/>
      <c r="H389" s="96">
        <f t="shared" ref="H389:I393" si="94">ROUND($F389*C389,0)</f>
        <v>177860</v>
      </c>
      <c r="I389" s="96">
        <f t="shared" si="94"/>
        <v>177926</v>
      </c>
      <c r="J389" s="92"/>
      <c r="K389" s="95">
        <f>ROUND(F389*(1+$P$394),0)</f>
        <v>76</v>
      </c>
      <c r="L389" s="95"/>
      <c r="M389" s="96">
        <f>ROUND($K389*D389,0)</f>
        <v>190456</v>
      </c>
      <c r="O389" s="103" t="s">
        <v>79</v>
      </c>
      <c r="P389" s="104">
        <f>M400+M456</f>
        <v>186985304</v>
      </c>
    </row>
    <row r="390" spans="1:17">
      <c r="A390" s="93" t="s">
        <v>87</v>
      </c>
      <c r="C390" s="92">
        <f t="shared" si="93"/>
        <v>1542</v>
      </c>
      <c r="D390" s="92">
        <f t="shared" si="93"/>
        <v>1741.9035995628117</v>
      </c>
      <c r="E390" s="92"/>
      <c r="F390" s="95">
        <v>-0.5</v>
      </c>
      <c r="G390" s="95"/>
      <c r="H390" s="96">
        <f t="shared" si="94"/>
        <v>-771</v>
      </c>
      <c r="I390" s="96">
        <f t="shared" si="94"/>
        <v>-871</v>
      </c>
      <c r="J390" s="92"/>
      <c r="K390" s="95">
        <f>F390</f>
        <v>-0.5</v>
      </c>
      <c r="L390" s="95"/>
      <c r="M390" s="96">
        <f>ROUND($K390*D390,0)</f>
        <v>-871</v>
      </c>
      <c r="O390" s="106" t="s">
        <v>81</v>
      </c>
      <c r="P390" s="107">
        <f>'Rate Spread'!M22*1000</f>
        <v>186984813.50638917</v>
      </c>
    </row>
    <row r="391" spans="1:17">
      <c r="A391" s="93" t="s">
        <v>122</v>
      </c>
      <c r="C391" s="92">
        <f t="shared" si="93"/>
        <v>4023655.16632016</v>
      </c>
      <c r="D391" s="92">
        <f t="shared" si="93"/>
        <v>5174074</v>
      </c>
      <c r="E391" s="92"/>
      <c r="F391" s="95">
        <v>4.8099999999999996</v>
      </c>
      <c r="G391" s="95"/>
      <c r="H391" s="96">
        <f t="shared" si="94"/>
        <v>19353781</v>
      </c>
      <c r="I391" s="96">
        <f t="shared" si="94"/>
        <v>24887296</v>
      </c>
      <c r="J391" s="92"/>
      <c r="K391" s="95">
        <f>ROUND(F391*(1+$P$394),2)</f>
        <v>5.15</v>
      </c>
      <c r="L391" s="95"/>
      <c r="M391" s="96">
        <f>ROUND($K391*D391,0)</f>
        <v>26646481</v>
      </c>
      <c r="O391" s="109" t="s">
        <v>83</v>
      </c>
      <c r="P391" s="110">
        <f>P390-P389</f>
        <v>-490.49361082911491</v>
      </c>
    </row>
    <row r="392" spans="1:17">
      <c r="A392" s="93" t="s">
        <v>156</v>
      </c>
      <c r="C392" s="92">
        <f t="shared" si="93"/>
        <v>1315838.2676414489</v>
      </c>
      <c r="D392" s="92">
        <f t="shared" si="93"/>
        <v>1689143</v>
      </c>
      <c r="E392" s="92"/>
      <c r="F392" s="95">
        <v>15.73</v>
      </c>
      <c r="G392" s="95"/>
      <c r="H392" s="96">
        <f t="shared" si="94"/>
        <v>20698136</v>
      </c>
      <c r="I392" s="96">
        <f t="shared" si="94"/>
        <v>26570219</v>
      </c>
      <c r="J392" s="92"/>
      <c r="K392" s="95">
        <f t="shared" ref="K392:K393" si="95">ROUND(F392*(1+$P$394),2)</f>
        <v>16.84</v>
      </c>
      <c r="L392" s="95"/>
      <c r="M392" s="96">
        <f>ROUND($K392*D392,0)</f>
        <v>28445168</v>
      </c>
      <c r="O392" s="103" t="s">
        <v>86</v>
      </c>
      <c r="P392" s="149">
        <f>P389/(I400+I456)-1</f>
        <v>7.173928602488111E-2</v>
      </c>
    </row>
    <row r="393" spans="1:17">
      <c r="A393" s="93" t="s">
        <v>157</v>
      </c>
      <c r="C393" s="92">
        <f t="shared" si="93"/>
        <v>2409012.73706896</v>
      </c>
      <c r="D393" s="92">
        <f t="shared" si="93"/>
        <v>3076633</v>
      </c>
      <c r="E393" s="92"/>
      <c r="F393" s="95">
        <v>13.92</v>
      </c>
      <c r="G393" s="95"/>
      <c r="H393" s="96">
        <f t="shared" si="94"/>
        <v>33533457</v>
      </c>
      <c r="I393" s="96">
        <f t="shared" si="94"/>
        <v>42826731</v>
      </c>
      <c r="J393" s="92"/>
      <c r="K393" s="95">
        <f t="shared" si="95"/>
        <v>14.9</v>
      </c>
      <c r="L393" s="95"/>
      <c r="M393" s="96">
        <f>ROUND($K393*D393,0)</f>
        <v>45841832</v>
      </c>
      <c r="O393" s="106" t="s">
        <v>88</v>
      </c>
      <c r="P393" s="148">
        <f>P390/(I400+I456)-1</f>
        <v>7.1736474674143791E-2</v>
      </c>
    </row>
    <row r="394" spans="1:17">
      <c r="A394" s="93" t="s">
        <v>89</v>
      </c>
      <c r="C394" s="92">
        <f t="shared" si="93"/>
        <v>140171429</v>
      </c>
      <c r="D394" s="92">
        <f t="shared" si="93"/>
        <v>181086619</v>
      </c>
      <c r="E394" s="92"/>
      <c r="F394" s="161">
        <v>5.8281999999999998</v>
      </c>
      <c r="G394" s="120" t="s">
        <v>90</v>
      </c>
      <c r="H394" s="96">
        <f t="shared" ref="H394:I397" si="96">ROUND($F394*C394/100,0)</f>
        <v>8169471</v>
      </c>
      <c r="I394" s="96">
        <f t="shared" si="96"/>
        <v>10554090</v>
      </c>
      <c r="J394" s="92"/>
      <c r="K394" s="161">
        <f>ROUND(F394*(1+$P$394),$P$9)</f>
        <v>6.2394999999999996</v>
      </c>
      <c r="L394" s="120" t="s">
        <v>90</v>
      </c>
      <c r="M394" s="96">
        <f>ROUND($K394*D394/100,0)</f>
        <v>11298900</v>
      </c>
      <c r="O394" s="106" t="s">
        <v>158</v>
      </c>
      <c r="P394" s="148">
        <f>(P390-SUM(M390,M398,M446,M454))/SUM(I389,I391:I397,I445,I447:I453)-1</f>
        <v>7.0566274856223243E-2</v>
      </c>
    </row>
    <row r="395" spans="1:17">
      <c r="A395" s="93" t="s">
        <v>92</v>
      </c>
      <c r="C395" s="92">
        <f t="shared" si="93"/>
        <v>501247661.31583476</v>
      </c>
      <c r="D395" s="92">
        <f t="shared" si="93"/>
        <v>648505531</v>
      </c>
      <c r="E395" s="92"/>
      <c r="F395" s="161">
        <v>2.9624000000000001</v>
      </c>
      <c r="G395" s="120" t="s">
        <v>90</v>
      </c>
      <c r="H395" s="96">
        <f t="shared" si="96"/>
        <v>14848961</v>
      </c>
      <c r="I395" s="96">
        <f t="shared" si="96"/>
        <v>19211328</v>
      </c>
      <c r="J395" s="92"/>
      <c r="K395" s="161">
        <f>ROUND(F395*(1+$P$394),$P$9)</f>
        <v>3.1714000000000002</v>
      </c>
      <c r="L395" s="120" t="s">
        <v>90</v>
      </c>
      <c r="M395" s="96">
        <f>ROUND($K395*D395/100,0)</f>
        <v>20566704</v>
      </c>
      <c r="O395" s="124"/>
      <c r="P395" s="162"/>
    </row>
    <row r="396" spans="1:17">
      <c r="A396" s="93" t="s">
        <v>159</v>
      </c>
      <c r="C396" s="92">
        <f t="shared" si="93"/>
        <v>256517897</v>
      </c>
      <c r="D396" s="92">
        <f t="shared" si="93"/>
        <v>330265802</v>
      </c>
      <c r="E396" s="92"/>
      <c r="F396" s="161">
        <v>5.1577000000000002</v>
      </c>
      <c r="G396" s="120" t="s">
        <v>90</v>
      </c>
      <c r="H396" s="96">
        <f t="shared" si="96"/>
        <v>13230424</v>
      </c>
      <c r="I396" s="96">
        <f t="shared" si="96"/>
        <v>17034119</v>
      </c>
      <c r="J396" s="92"/>
      <c r="K396" s="161">
        <f>ROUND(F396*(1+$P$394),$P$9)</f>
        <v>5.5217000000000001</v>
      </c>
      <c r="L396" s="120" t="s">
        <v>90</v>
      </c>
      <c r="M396" s="96">
        <f>ROUND($K396*D396/100,0)</f>
        <v>18236287</v>
      </c>
      <c r="O396" s="99" t="s">
        <v>160</v>
      </c>
      <c r="P396" s="152"/>
    </row>
    <row r="397" spans="1:17">
      <c r="A397" s="93" t="s">
        <v>161</v>
      </c>
      <c r="C397" s="92">
        <f t="shared" si="93"/>
        <v>900559368.86344838</v>
      </c>
      <c r="D397" s="92">
        <f t="shared" si="93"/>
        <v>1160729862</v>
      </c>
      <c r="E397" s="92"/>
      <c r="F397" s="161">
        <v>2.6215999999999999</v>
      </c>
      <c r="G397" s="120" t="s">
        <v>90</v>
      </c>
      <c r="H397" s="96">
        <f t="shared" si="96"/>
        <v>23609064</v>
      </c>
      <c r="I397" s="96">
        <f t="shared" si="96"/>
        <v>30429694</v>
      </c>
      <c r="J397" s="92"/>
      <c r="K397" s="161">
        <f>ROUND((P390-SUM(M389:M396,M398,M445:M452,M454))/SUM(D397,D453)*100,$P$9)</f>
        <v>2.8069999999999999</v>
      </c>
      <c r="L397" s="120" t="s">
        <v>90</v>
      </c>
      <c r="M397" s="96">
        <f>ROUND($K397*D397/100,0)</f>
        <v>32581687</v>
      </c>
      <c r="O397" s="99" t="s">
        <v>162</v>
      </c>
      <c r="P397" s="100">
        <v>1.1299999999999999</v>
      </c>
    </row>
    <row r="398" spans="1:17">
      <c r="A398" s="93" t="s">
        <v>128</v>
      </c>
      <c r="C398" s="92">
        <f t="shared" si="93"/>
        <v>1931307.03539823</v>
      </c>
      <c r="D398" s="92">
        <f>D412+D426+D440</f>
        <v>2499571</v>
      </c>
      <c r="E398" s="92"/>
      <c r="F398" s="95">
        <v>-1.1299999999999999</v>
      </c>
      <c r="G398" s="95"/>
      <c r="H398" s="96">
        <f>ROUND($F398*C398,0)</f>
        <v>-2182377</v>
      </c>
      <c r="I398" s="96">
        <f>ROUND($F398*D398,0)</f>
        <v>-2824515</v>
      </c>
      <c r="J398" s="92"/>
      <c r="K398" s="95">
        <f>F398</f>
        <v>-1.1299999999999999</v>
      </c>
      <c r="L398" s="95"/>
      <c r="M398" s="96">
        <f>ROUND($K398*D398,0)</f>
        <v>-2824515</v>
      </c>
      <c r="O398" s="72" t="s">
        <v>163</v>
      </c>
      <c r="P398" s="121">
        <f>P393</f>
        <v>7.1736474674143791E-2</v>
      </c>
      <c r="Q398" s="102"/>
    </row>
    <row r="399" spans="1:17">
      <c r="A399" s="129" t="s">
        <v>103</v>
      </c>
      <c r="B399" s="130"/>
      <c r="C399" s="92">
        <f t="shared" si="93"/>
        <v>6838476</v>
      </c>
      <c r="D399" s="92"/>
      <c r="E399" s="92"/>
      <c r="F399" s="131"/>
      <c r="G399" s="9"/>
      <c r="H399" s="96">
        <f>H413+H427+H441</f>
        <v>629973</v>
      </c>
      <c r="I399" s="96"/>
      <c r="J399" s="92"/>
      <c r="K399" s="131"/>
      <c r="L399" s="9"/>
      <c r="M399" s="96"/>
      <c r="N399" s="121"/>
      <c r="O399" s="72" t="s">
        <v>164</v>
      </c>
      <c r="P399" s="121">
        <f>P393</f>
        <v>7.1736474674143791E-2</v>
      </c>
      <c r="Q399" s="102"/>
    </row>
    <row r="400" spans="1:17" ht="16.5" thickBot="1">
      <c r="A400" s="133" t="s">
        <v>105</v>
      </c>
      <c r="B400" s="134"/>
      <c r="C400" s="135">
        <f t="shared" si="93"/>
        <v>1805334832.1792831</v>
      </c>
      <c r="D400" s="135">
        <f t="shared" si="93"/>
        <v>2320587813.1740799</v>
      </c>
      <c r="E400" s="135"/>
      <c r="F400" s="134"/>
      <c r="G400" s="134"/>
      <c r="H400" s="136">
        <f>SUM(H389:H399)</f>
        <v>132067979</v>
      </c>
      <c r="I400" s="136">
        <f>SUM(I389:I399)</f>
        <v>168866017</v>
      </c>
      <c r="J400" s="135"/>
      <c r="K400" s="134"/>
      <c r="L400" s="134"/>
      <c r="M400" s="136">
        <f>SUM(M389:M399)</f>
        <v>180982129</v>
      </c>
      <c r="O400" s="72" t="s">
        <v>86</v>
      </c>
      <c r="P400" s="121">
        <f>M400/I400-1</f>
        <v>7.1749853613234604E-2</v>
      </c>
    </row>
    <row r="401" spans="1:16" ht="16.5" thickTop="1"/>
    <row r="402" spans="1:16">
      <c r="A402" s="90" t="s">
        <v>444</v>
      </c>
    </row>
    <row r="403" spans="1:16">
      <c r="A403" s="93" t="s">
        <v>121</v>
      </c>
      <c r="C403" s="92">
        <v>1392.3333802816901</v>
      </c>
      <c r="D403" s="92">
        <v>1366</v>
      </c>
      <c r="E403" s="92"/>
      <c r="F403" s="95">
        <v>71</v>
      </c>
      <c r="G403" s="95"/>
      <c r="H403" s="96">
        <f t="shared" ref="H403:I407" si="97">ROUND($F403*C403,0)</f>
        <v>98856</v>
      </c>
      <c r="I403" s="96">
        <f t="shared" si="97"/>
        <v>96986</v>
      </c>
      <c r="J403" s="92"/>
      <c r="K403" s="95">
        <f>K$389</f>
        <v>76</v>
      </c>
      <c r="L403" s="95"/>
      <c r="M403" s="96">
        <f>ROUND($K403*D403,0)</f>
        <v>103816</v>
      </c>
    </row>
    <row r="404" spans="1:16">
      <c r="A404" s="93" t="s">
        <v>87</v>
      </c>
      <c r="C404" s="92">
        <v>858</v>
      </c>
      <c r="D404" s="92">
        <v>949.49733320143696</v>
      </c>
      <c r="E404" s="92"/>
      <c r="F404" s="95">
        <v>-0.5</v>
      </c>
      <c r="G404" s="95"/>
      <c r="H404" s="96">
        <f t="shared" si="97"/>
        <v>-429</v>
      </c>
      <c r="I404" s="96">
        <f t="shared" si="97"/>
        <v>-475</v>
      </c>
      <c r="J404" s="92"/>
      <c r="K404" s="95">
        <f>K$390</f>
        <v>-0.5</v>
      </c>
      <c r="L404" s="95"/>
      <c r="M404" s="96">
        <f>ROUND($K404*D404,0)</f>
        <v>-475</v>
      </c>
    </row>
    <row r="405" spans="1:16">
      <c r="A405" s="93" t="s">
        <v>122</v>
      </c>
      <c r="C405" s="92">
        <v>1940074.86486486</v>
      </c>
      <c r="D405" s="92">
        <f t="shared" ref="D405:D412" si="98">ROUND($C405*D$414/$C$414,0)</f>
        <v>2865871</v>
      </c>
      <c r="E405" s="92"/>
      <c r="F405" s="95">
        <v>4.8099999999999996</v>
      </c>
      <c r="G405" s="95"/>
      <c r="H405" s="96">
        <f t="shared" si="97"/>
        <v>9331760</v>
      </c>
      <c r="I405" s="96">
        <f t="shared" si="97"/>
        <v>13784840</v>
      </c>
      <c r="J405" s="92"/>
      <c r="K405" s="95">
        <f>K$391</f>
        <v>5.15</v>
      </c>
      <c r="L405" s="95"/>
      <c r="M405" s="96">
        <f>ROUND($K405*D405,0)</f>
        <v>14759236</v>
      </c>
    </row>
    <row r="406" spans="1:16">
      <c r="A406" s="93" t="s">
        <v>156</v>
      </c>
      <c r="C406" s="92">
        <v>626572.01335028606</v>
      </c>
      <c r="D406" s="92">
        <f t="shared" si="98"/>
        <v>925570</v>
      </c>
      <c r="E406" s="92"/>
      <c r="F406" s="95">
        <v>15.73</v>
      </c>
      <c r="G406" s="95"/>
      <c r="H406" s="96">
        <f t="shared" si="97"/>
        <v>9855978</v>
      </c>
      <c r="I406" s="96">
        <f t="shared" si="97"/>
        <v>14559216</v>
      </c>
      <c r="J406" s="92"/>
      <c r="K406" s="95">
        <f>K$392</f>
        <v>16.84</v>
      </c>
      <c r="L406" s="95"/>
      <c r="M406" s="96">
        <f>ROUND($K406*D406,0)</f>
        <v>15586599</v>
      </c>
    </row>
    <row r="407" spans="1:16">
      <c r="A407" s="93" t="s">
        <v>157</v>
      </c>
      <c r="C407" s="92">
        <v>1104294.1896551701</v>
      </c>
      <c r="D407" s="92">
        <f t="shared" si="98"/>
        <v>1631259</v>
      </c>
      <c r="E407" s="92"/>
      <c r="F407" s="95">
        <v>13.92</v>
      </c>
      <c r="G407" s="95"/>
      <c r="H407" s="96">
        <f t="shared" si="97"/>
        <v>15371775</v>
      </c>
      <c r="I407" s="96">
        <f t="shared" si="97"/>
        <v>22707125</v>
      </c>
      <c r="J407" s="92"/>
      <c r="K407" s="95">
        <f>K$393</f>
        <v>14.9</v>
      </c>
      <c r="L407" s="95"/>
      <c r="M407" s="96">
        <f>ROUND($K407*D407,0)</f>
        <v>24305759</v>
      </c>
    </row>
    <row r="408" spans="1:16">
      <c r="A408" s="93" t="s">
        <v>89</v>
      </c>
      <c r="C408" s="92">
        <v>67725035</v>
      </c>
      <c r="D408" s="92">
        <f>ROUND($C408*D$414/($C$414-$C$413),0)</f>
        <v>100810889</v>
      </c>
      <c r="E408" s="92"/>
      <c r="F408" s="161">
        <v>5.8281999999999998</v>
      </c>
      <c r="G408" s="120" t="s">
        <v>90</v>
      </c>
      <c r="H408" s="96">
        <f t="shared" ref="H408:I411" si="99">ROUND($F408*C408/100,0)</f>
        <v>3947150</v>
      </c>
      <c r="I408" s="96">
        <f t="shared" si="99"/>
        <v>5875460</v>
      </c>
      <c r="J408" s="92"/>
      <c r="K408" s="161">
        <f>K$394</f>
        <v>6.2394999999999996</v>
      </c>
      <c r="L408" s="120" t="s">
        <v>90</v>
      </c>
      <c r="M408" s="96">
        <f>ROUND($K408*D408/100,0)</f>
        <v>6290095</v>
      </c>
    </row>
    <row r="409" spans="1:16">
      <c r="A409" s="93" t="s">
        <v>92</v>
      </c>
      <c r="C409" s="92">
        <v>244671795.31583476</v>
      </c>
      <c r="D409" s="92">
        <f t="shared" ref="D409:D411" si="100">ROUND($C409*D$414/($C$414-$C$413),0)</f>
        <v>364201822</v>
      </c>
      <c r="E409" s="92"/>
      <c r="F409" s="161">
        <v>2.9624000000000001</v>
      </c>
      <c r="G409" s="120" t="s">
        <v>90</v>
      </c>
      <c r="H409" s="96">
        <f t="shared" si="99"/>
        <v>7248157</v>
      </c>
      <c r="I409" s="96">
        <f t="shared" si="99"/>
        <v>10789115</v>
      </c>
      <c r="J409" s="92"/>
      <c r="K409" s="161">
        <f>K$395</f>
        <v>3.1714000000000002</v>
      </c>
      <c r="L409" s="120" t="s">
        <v>90</v>
      </c>
      <c r="M409" s="96">
        <f>ROUND($K409*D409/100,0)</f>
        <v>11550297</v>
      </c>
    </row>
    <row r="410" spans="1:16">
      <c r="A410" s="93" t="s">
        <v>159</v>
      </c>
      <c r="C410" s="92">
        <v>120974122</v>
      </c>
      <c r="D410" s="92">
        <f t="shared" si="100"/>
        <v>180073864</v>
      </c>
      <c r="E410" s="92"/>
      <c r="F410" s="161">
        <v>5.1577000000000002</v>
      </c>
      <c r="G410" s="120" t="s">
        <v>90</v>
      </c>
      <c r="H410" s="96">
        <f t="shared" si="99"/>
        <v>6239482</v>
      </c>
      <c r="I410" s="96">
        <f t="shared" si="99"/>
        <v>9287670</v>
      </c>
      <c r="J410" s="92"/>
      <c r="K410" s="161">
        <f>K$396</f>
        <v>5.5217000000000001</v>
      </c>
      <c r="L410" s="120" t="s">
        <v>90</v>
      </c>
      <c r="M410" s="96">
        <f>ROUND($K410*D410/100,0)</f>
        <v>9943139</v>
      </c>
    </row>
    <row r="411" spans="1:16">
      <c r="A411" s="93" t="s">
        <v>161</v>
      </c>
      <c r="C411" s="92">
        <v>428030030.86344844</v>
      </c>
      <c r="D411" s="92">
        <f t="shared" si="100"/>
        <v>637136441</v>
      </c>
      <c r="E411" s="92"/>
      <c r="F411" s="161">
        <v>2.6215999999999999</v>
      </c>
      <c r="G411" s="120" t="s">
        <v>90</v>
      </c>
      <c r="H411" s="96">
        <f t="shared" si="99"/>
        <v>11221235</v>
      </c>
      <c r="I411" s="96">
        <f t="shared" si="99"/>
        <v>16703169</v>
      </c>
      <c r="J411" s="92"/>
      <c r="K411" s="161">
        <f>K$397</f>
        <v>2.8069999999999999</v>
      </c>
      <c r="L411" s="120" t="s">
        <v>90</v>
      </c>
      <c r="M411" s="96">
        <f>ROUND($K411*D411/100,0)</f>
        <v>17884420</v>
      </c>
    </row>
    <row r="412" spans="1:16">
      <c r="A412" s="93" t="s">
        <v>128</v>
      </c>
      <c r="C412" s="92">
        <v>974574.37168141606</v>
      </c>
      <c r="D412" s="92">
        <f t="shared" si="98"/>
        <v>1439638</v>
      </c>
      <c r="E412" s="92"/>
      <c r="F412" s="95">
        <v>-1.1299999999999999</v>
      </c>
      <c r="G412" s="95"/>
      <c r="H412" s="96">
        <f>ROUND($F412*C412,0)</f>
        <v>-1101269</v>
      </c>
      <c r="I412" s="96">
        <f>ROUND($F412*D412,0)</f>
        <v>-1626791</v>
      </c>
      <c r="J412" s="92"/>
      <c r="K412" s="95">
        <f>K$398</f>
        <v>-1.1299999999999999</v>
      </c>
      <c r="L412" s="95"/>
      <c r="M412" s="96">
        <f>ROUND($K412*D412,0)</f>
        <v>-1626791</v>
      </c>
    </row>
    <row r="413" spans="1:16">
      <c r="A413" s="129" t="s">
        <v>103</v>
      </c>
      <c r="B413" s="130"/>
      <c r="C413" s="92">
        <v>6610350</v>
      </c>
      <c r="D413" s="92"/>
      <c r="E413" s="92"/>
      <c r="F413" s="131"/>
      <c r="G413" s="9"/>
      <c r="H413" s="96">
        <v>473245</v>
      </c>
      <c r="I413" s="96"/>
      <c r="J413" s="92"/>
      <c r="K413" s="131"/>
      <c r="L413" s="9"/>
      <c r="M413" s="96"/>
      <c r="N413" s="121"/>
      <c r="O413" s="121"/>
      <c r="P413" s="121"/>
    </row>
    <row r="414" spans="1:16" ht="16.5" thickBot="1">
      <c r="A414" s="133" t="s">
        <v>105</v>
      </c>
      <c r="B414" s="134"/>
      <c r="C414" s="135">
        <f>SUM(C408:C411,C413)</f>
        <v>868011333.17928314</v>
      </c>
      <c r="D414" s="135">
        <v>1282223015.5365267</v>
      </c>
      <c r="E414" s="135"/>
      <c r="F414" s="134"/>
      <c r="G414" s="134"/>
      <c r="H414" s="136">
        <f>SUM(H403:H413)</f>
        <v>62685940</v>
      </c>
      <c r="I414" s="136">
        <f>SUM(I403:I413)</f>
        <v>92176315</v>
      </c>
      <c r="J414" s="135"/>
      <c r="K414" s="134"/>
      <c r="L414" s="134"/>
      <c r="M414" s="136">
        <f>SUM(M403:M413)</f>
        <v>98796095</v>
      </c>
      <c r="O414" s="72" t="s">
        <v>86</v>
      </c>
      <c r="P414" s="121">
        <f>M414/I414-1</f>
        <v>7.1816496461157175E-2</v>
      </c>
    </row>
    <row r="415" spans="1:16" ht="16.5" thickTop="1"/>
    <row r="416" spans="1:16">
      <c r="A416" s="90" t="s">
        <v>292</v>
      </c>
    </row>
    <row r="417" spans="1:16">
      <c r="A417" s="93" t="s">
        <v>121</v>
      </c>
      <c r="C417" s="92">
        <v>1100.73338028169</v>
      </c>
      <c r="D417" s="92">
        <v>1128</v>
      </c>
      <c r="E417" s="92"/>
      <c r="F417" s="95">
        <v>71</v>
      </c>
      <c r="G417" s="95"/>
      <c r="H417" s="96">
        <f t="shared" ref="H417:I421" si="101">ROUND($F417*C417,0)</f>
        <v>78152</v>
      </c>
      <c r="I417" s="96">
        <f t="shared" si="101"/>
        <v>80088</v>
      </c>
      <c r="J417" s="92"/>
      <c r="K417" s="95">
        <f>K$389</f>
        <v>76</v>
      </c>
      <c r="L417" s="95"/>
      <c r="M417" s="96">
        <f>ROUND($K417*D417,0)</f>
        <v>85728</v>
      </c>
    </row>
    <row r="418" spans="1:16">
      <c r="A418" s="93" t="s">
        <v>87</v>
      </c>
      <c r="C418" s="92">
        <v>672</v>
      </c>
      <c r="D418" s="92">
        <v>784.06514776809729</v>
      </c>
      <c r="E418" s="92"/>
      <c r="F418" s="95">
        <v>-0.5</v>
      </c>
      <c r="G418" s="95"/>
      <c r="H418" s="96">
        <f t="shared" si="101"/>
        <v>-336</v>
      </c>
      <c r="I418" s="96">
        <f t="shared" si="101"/>
        <v>-392</v>
      </c>
      <c r="J418" s="92"/>
      <c r="K418" s="95">
        <f>K$390</f>
        <v>-0.5</v>
      </c>
      <c r="L418" s="95"/>
      <c r="M418" s="96">
        <f>ROUND($K418*D418,0)</f>
        <v>-392</v>
      </c>
    </row>
    <row r="419" spans="1:16">
      <c r="A419" s="93" t="s">
        <v>122</v>
      </c>
      <c r="C419" s="92">
        <v>2082132.3014553001</v>
      </c>
      <c r="D419" s="92">
        <f t="shared" ref="D419:D426" si="102">ROUND($C419*D$428/$C$428,0)</f>
        <v>2306727</v>
      </c>
      <c r="E419" s="92"/>
      <c r="F419" s="95">
        <v>4.8099999999999996</v>
      </c>
      <c r="G419" s="95"/>
      <c r="H419" s="96">
        <f t="shared" si="101"/>
        <v>10015056</v>
      </c>
      <c r="I419" s="96">
        <f t="shared" si="101"/>
        <v>11095357</v>
      </c>
      <c r="J419" s="92"/>
      <c r="K419" s="95">
        <f>K$391</f>
        <v>5.15</v>
      </c>
      <c r="L419" s="95"/>
      <c r="M419" s="96">
        <f>ROUND($K419*D419,0)</f>
        <v>11879644</v>
      </c>
    </row>
    <row r="420" spans="1:16">
      <c r="A420" s="93" t="s">
        <v>156</v>
      </c>
      <c r="C420" s="92">
        <v>688789.25429116294</v>
      </c>
      <c r="D420" s="92">
        <f t="shared" si="102"/>
        <v>763087</v>
      </c>
      <c r="E420" s="92"/>
      <c r="F420" s="95">
        <v>15.73</v>
      </c>
      <c r="G420" s="95"/>
      <c r="H420" s="96">
        <f t="shared" si="101"/>
        <v>10834655</v>
      </c>
      <c r="I420" s="96">
        <f t="shared" si="101"/>
        <v>12003359</v>
      </c>
      <c r="J420" s="92"/>
      <c r="K420" s="95">
        <f>K$392</f>
        <v>16.84</v>
      </c>
      <c r="L420" s="95"/>
      <c r="M420" s="96">
        <f>ROUND($K420*D420,0)</f>
        <v>12850385</v>
      </c>
    </row>
    <row r="421" spans="1:16">
      <c r="A421" s="93" t="s">
        <v>157</v>
      </c>
      <c r="C421" s="92">
        <v>1303796.5474137899</v>
      </c>
      <c r="D421" s="92">
        <f t="shared" si="102"/>
        <v>1444434</v>
      </c>
      <c r="E421" s="92"/>
      <c r="F421" s="95">
        <v>13.92</v>
      </c>
      <c r="G421" s="95"/>
      <c r="H421" s="96">
        <f t="shared" si="101"/>
        <v>18148848</v>
      </c>
      <c r="I421" s="96">
        <f t="shared" si="101"/>
        <v>20106521</v>
      </c>
      <c r="J421" s="92"/>
      <c r="K421" s="95">
        <f>K$393</f>
        <v>14.9</v>
      </c>
      <c r="L421" s="95"/>
      <c r="M421" s="96">
        <f>ROUND($K421*D421,0)</f>
        <v>21522067</v>
      </c>
    </row>
    <row r="422" spans="1:16">
      <c r="A422" s="93" t="s">
        <v>89</v>
      </c>
      <c r="C422" s="92">
        <v>72392074</v>
      </c>
      <c r="D422" s="92">
        <f>ROUND($C422*D$428/($C$428-$C$427),0)</f>
        <v>80220206</v>
      </c>
      <c r="E422" s="92"/>
      <c r="F422" s="161">
        <v>5.8281999999999998</v>
      </c>
      <c r="G422" s="120" t="s">
        <v>90</v>
      </c>
      <c r="H422" s="96">
        <f t="shared" ref="H422:I425" si="103">ROUND($F422*C422/100,0)</f>
        <v>4219155</v>
      </c>
      <c r="I422" s="96">
        <f t="shared" si="103"/>
        <v>4675394</v>
      </c>
      <c r="J422" s="92"/>
      <c r="K422" s="161">
        <f>K$394</f>
        <v>6.2394999999999996</v>
      </c>
      <c r="L422" s="120" t="s">
        <v>90</v>
      </c>
      <c r="M422" s="96">
        <f>ROUND($K422*D422/100,0)</f>
        <v>5005340</v>
      </c>
    </row>
    <row r="423" spans="1:16">
      <c r="A423" s="93" t="s">
        <v>92</v>
      </c>
      <c r="C423" s="92">
        <v>256377626</v>
      </c>
      <c r="D423" s="92">
        <f t="shared" ref="D423:D425" si="104">ROUND($C423*D$428/($C$428-$C$427),0)</f>
        <v>284101073</v>
      </c>
      <c r="E423" s="92"/>
      <c r="F423" s="161">
        <v>2.9624000000000001</v>
      </c>
      <c r="G423" s="120" t="s">
        <v>90</v>
      </c>
      <c r="H423" s="96">
        <f t="shared" si="103"/>
        <v>7594931</v>
      </c>
      <c r="I423" s="96">
        <f t="shared" si="103"/>
        <v>8416210</v>
      </c>
      <c r="J423" s="92"/>
      <c r="K423" s="161">
        <f>K$395</f>
        <v>3.1714000000000002</v>
      </c>
      <c r="L423" s="120" t="s">
        <v>90</v>
      </c>
      <c r="M423" s="96">
        <f>ROUND($K423*D423/100,0)</f>
        <v>9009981</v>
      </c>
    </row>
    <row r="424" spans="1:16">
      <c r="A424" s="93" t="s">
        <v>159</v>
      </c>
      <c r="C424" s="92">
        <v>135440335</v>
      </c>
      <c r="D424" s="92">
        <f t="shared" si="104"/>
        <v>150086204</v>
      </c>
      <c r="E424" s="92"/>
      <c r="F424" s="161">
        <v>5.1577000000000002</v>
      </c>
      <c r="G424" s="120" t="s">
        <v>90</v>
      </c>
      <c r="H424" s="96">
        <f t="shared" si="103"/>
        <v>6985606</v>
      </c>
      <c r="I424" s="96">
        <f t="shared" si="103"/>
        <v>7740996</v>
      </c>
      <c r="J424" s="92"/>
      <c r="K424" s="161">
        <f>K$396</f>
        <v>5.5217000000000001</v>
      </c>
      <c r="L424" s="120" t="s">
        <v>90</v>
      </c>
      <c r="M424" s="96">
        <f>ROUND($K424*D424/100,0)</f>
        <v>8287310</v>
      </c>
    </row>
    <row r="425" spans="1:16">
      <c r="A425" s="93" t="s">
        <v>161</v>
      </c>
      <c r="C425" s="92">
        <v>472145738</v>
      </c>
      <c r="D425" s="92">
        <f t="shared" si="104"/>
        <v>523201315</v>
      </c>
      <c r="E425" s="92"/>
      <c r="F425" s="161">
        <v>2.6215999999999999</v>
      </c>
      <c r="G425" s="120" t="s">
        <v>90</v>
      </c>
      <c r="H425" s="96">
        <f t="shared" si="103"/>
        <v>12377773</v>
      </c>
      <c r="I425" s="96">
        <f t="shared" si="103"/>
        <v>13716246</v>
      </c>
      <c r="J425" s="92"/>
      <c r="K425" s="161">
        <f>K$397</f>
        <v>2.8069999999999999</v>
      </c>
      <c r="L425" s="120" t="s">
        <v>90</v>
      </c>
      <c r="M425" s="96">
        <f>ROUND($K425*D425/100,0)</f>
        <v>14686261</v>
      </c>
    </row>
    <row r="426" spans="1:16">
      <c r="A426" s="93" t="s">
        <v>128</v>
      </c>
      <c r="C426" s="92">
        <v>956732.66371681402</v>
      </c>
      <c r="D426" s="92">
        <f t="shared" si="102"/>
        <v>1059933</v>
      </c>
      <c r="E426" s="92"/>
      <c r="F426" s="95">
        <v>-1.1299999999999999</v>
      </c>
      <c r="G426" s="95"/>
      <c r="H426" s="96">
        <f>ROUND($F426*C426,0)</f>
        <v>-1081108</v>
      </c>
      <c r="I426" s="96">
        <f>ROUND($F426*D426,0)</f>
        <v>-1197724</v>
      </c>
      <c r="J426" s="92"/>
      <c r="K426" s="95">
        <f>K$398</f>
        <v>-1.1299999999999999</v>
      </c>
      <c r="L426" s="95"/>
      <c r="M426" s="96">
        <f>ROUND($K426*D426,0)</f>
        <v>-1197724</v>
      </c>
    </row>
    <row r="427" spans="1:16">
      <c r="A427" s="129" t="s">
        <v>103</v>
      </c>
      <c r="B427" s="130"/>
      <c r="C427" s="92">
        <v>226043</v>
      </c>
      <c r="D427" s="92"/>
      <c r="E427" s="92"/>
      <c r="F427" s="131"/>
      <c r="G427" s="9"/>
      <c r="H427" s="96">
        <v>156552</v>
      </c>
      <c r="I427" s="96"/>
      <c r="J427" s="92"/>
      <c r="K427" s="131"/>
      <c r="L427" s="9"/>
      <c r="M427" s="96"/>
      <c r="N427" s="121"/>
      <c r="O427" s="121"/>
      <c r="P427" s="121"/>
    </row>
    <row r="428" spans="1:16" ht="16.5" thickBot="1">
      <c r="A428" s="133" t="s">
        <v>105</v>
      </c>
      <c r="B428" s="134"/>
      <c r="C428" s="135">
        <f>SUM(C422:C425,C427)</f>
        <v>936581816</v>
      </c>
      <c r="D428" s="135">
        <v>1037608797.6375532</v>
      </c>
      <c r="E428" s="135"/>
      <c r="F428" s="134"/>
      <c r="G428" s="134"/>
      <c r="H428" s="136">
        <f>SUM(H417:H427)</f>
        <v>69329284</v>
      </c>
      <c r="I428" s="136">
        <f>SUM(I417:I427)</f>
        <v>76636055</v>
      </c>
      <c r="J428" s="135"/>
      <c r="K428" s="134"/>
      <c r="L428" s="134"/>
      <c r="M428" s="136">
        <f>SUM(M417:M427)</f>
        <v>82128600</v>
      </c>
      <c r="O428" s="72" t="s">
        <v>86</v>
      </c>
      <c r="P428" s="121">
        <f>M428/I428-1</f>
        <v>7.1670508091785212E-2</v>
      </c>
    </row>
    <row r="429" spans="1:16" ht="16.5" thickTop="1"/>
    <row r="430" spans="1:16">
      <c r="A430" s="90" t="s">
        <v>445</v>
      </c>
    </row>
    <row r="431" spans="1:16">
      <c r="A431" s="93" t="s">
        <v>121</v>
      </c>
      <c r="C431" s="92">
        <v>12</v>
      </c>
      <c r="D431" s="92">
        <v>12</v>
      </c>
      <c r="E431" s="92"/>
      <c r="F431" s="95">
        <v>71</v>
      </c>
      <c r="G431" s="95"/>
      <c r="H431" s="96">
        <f t="shared" ref="H431:I435" si="105">ROUND($F431*C431,0)</f>
        <v>852</v>
      </c>
      <c r="I431" s="96">
        <f t="shared" si="105"/>
        <v>852</v>
      </c>
      <c r="J431" s="92"/>
      <c r="K431" s="95">
        <f>K$389</f>
        <v>76</v>
      </c>
      <c r="L431" s="95"/>
      <c r="M431" s="96">
        <f>ROUND($K431*D431,0)</f>
        <v>912</v>
      </c>
    </row>
    <row r="432" spans="1:16">
      <c r="A432" s="93" t="s">
        <v>87</v>
      </c>
      <c r="C432" s="92">
        <v>12</v>
      </c>
      <c r="D432" s="92">
        <v>8.3411185932776313</v>
      </c>
      <c r="E432" s="92"/>
      <c r="F432" s="95">
        <v>-0.5</v>
      </c>
      <c r="G432" s="95"/>
      <c r="H432" s="96">
        <f t="shared" si="105"/>
        <v>-6</v>
      </c>
      <c r="I432" s="96">
        <f t="shared" si="105"/>
        <v>-4</v>
      </c>
      <c r="J432" s="92"/>
      <c r="K432" s="95">
        <f>K$390</f>
        <v>-0.5</v>
      </c>
      <c r="L432" s="95"/>
      <c r="M432" s="96">
        <f>ROUND($K432*D432,0)</f>
        <v>-4</v>
      </c>
    </row>
    <row r="433" spans="1:16">
      <c r="A433" s="93" t="s">
        <v>122</v>
      </c>
      <c r="C433" s="92">
        <v>1448</v>
      </c>
      <c r="D433" s="92">
        <f t="shared" ref="D433:D440" si="106">ROUND($C433*D$442/$C$442,0)</f>
        <v>1476</v>
      </c>
      <c r="E433" s="92"/>
      <c r="F433" s="95">
        <v>4.8099999999999996</v>
      </c>
      <c r="G433" s="95"/>
      <c r="H433" s="96">
        <f t="shared" si="105"/>
        <v>6965</v>
      </c>
      <c r="I433" s="96">
        <f t="shared" si="105"/>
        <v>7100</v>
      </c>
      <c r="J433" s="92"/>
      <c r="K433" s="95">
        <f>K$391</f>
        <v>5.15</v>
      </c>
      <c r="L433" s="95"/>
      <c r="M433" s="96">
        <f>ROUND($K433*D433,0)</f>
        <v>7601</v>
      </c>
    </row>
    <row r="434" spans="1:16">
      <c r="A434" s="93" t="s">
        <v>156</v>
      </c>
      <c r="C434" s="92">
        <v>477</v>
      </c>
      <c r="D434" s="92">
        <f t="shared" si="106"/>
        <v>486</v>
      </c>
      <c r="E434" s="92"/>
      <c r="F434" s="95">
        <v>15.73</v>
      </c>
      <c r="G434" s="95"/>
      <c r="H434" s="96">
        <f t="shared" si="105"/>
        <v>7503</v>
      </c>
      <c r="I434" s="96">
        <f t="shared" si="105"/>
        <v>7645</v>
      </c>
      <c r="J434" s="92"/>
      <c r="K434" s="95">
        <f>K$392</f>
        <v>16.84</v>
      </c>
      <c r="L434" s="95"/>
      <c r="M434" s="96">
        <f>ROUND($K434*D434,0)</f>
        <v>8184</v>
      </c>
    </row>
    <row r="435" spans="1:16">
      <c r="A435" s="93" t="s">
        <v>157</v>
      </c>
      <c r="C435" s="92">
        <v>922</v>
      </c>
      <c r="D435" s="92">
        <f t="shared" si="106"/>
        <v>940</v>
      </c>
      <c r="E435" s="92"/>
      <c r="F435" s="95">
        <v>13.92</v>
      </c>
      <c r="G435" s="95"/>
      <c r="H435" s="96">
        <f t="shared" si="105"/>
        <v>12834</v>
      </c>
      <c r="I435" s="96">
        <f t="shared" si="105"/>
        <v>13085</v>
      </c>
      <c r="J435" s="92"/>
      <c r="K435" s="95">
        <f>K$393</f>
        <v>14.9</v>
      </c>
      <c r="L435" s="95"/>
      <c r="M435" s="96">
        <f>ROUND($K435*D435,0)</f>
        <v>14006</v>
      </c>
    </row>
    <row r="436" spans="1:16">
      <c r="A436" s="93" t="s">
        <v>89</v>
      </c>
      <c r="C436" s="92">
        <v>54320</v>
      </c>
      <c r="D436" s="92">
        <f>ROUND($C436*D$442/($C$442-$C$441),0)</f>
        <v>55524</v>
      </c>
      <c r="E436" s="92"/>
      <c r="F436" s="161">
        <v>5.8281999999999998</v>
      </c>
      <c r="G436" s="120" t="s">
        <v>90</v>
      </c>
      <c r="H436" s="96">
        <f t="shared" ref="H436:I439" si="107">ROUND($F436*C436/100,0)</f>
        <v>3166</v>
      </c>
      <c r="I436" s="96">
        <f t="shared" si="107"/>
        <v>3236</v>
      </c>
      <c r="J436" s="92"/>
      <c r="K436" s="161">
        <f>K$394</f>
        <v>6.2394999999999996</v>
      </c>
      <c r="L436" s="120" t="s">
        <v>90</v>
      </c>
      <c r="M436" s="96">
        <f>ROUND($K436*D436/100,0)</f>
        <v>3464</v>
      </c>
    </row>
    <row r="437" spans="1:16">
      <c r="A437" s="93" t="s">
        <v>92</v>
      </c>
      <c r="C437" s="92">
        <v>198240</v>
      </c>
      <c r="D437" s="92">
        <f t="shared" ref="D437:D439" si="108">ROUND($C437*D$442/($C$442-$C$441),0)</f>
        <v>202636</v>
      </c>
      <c r="E437" s="92"/>
      <c r="F437" s="161">
        <v>2.9624000000000001</v>
      </c>
      <c r="G437" s="120" t="s">
        <v>90</v>
      </c>
      <c r="H437" s="96">
        <f t="shared" si="107"/>
        <v>5873</v>
      </c>
      <c r="I437" s="96">
        <f t="shared" si="107"/>
        <v>6003</v>
      </c>
      <c r="J437" s="92"/>
      <c r="K437" s="161">
        <f>K$395</f>
        <v>3.1714000000000002</v>
      </c>
      <c r="L437" s="120" t="s">
        <v>90</v>
      </c>
      <c r="M437" s="96">
        <f>ROUND($K437*D437/100,0)</f>
        <v>6426</v>
      </c>
    </row>
    <row r="438" spans="1:16">
      <c r="A438" s="93" t="s">
        <v>159</v>
      </c>
      <c r="C438" s="92">
        <v>103440</v>
      </c>
      <c r="D438" s="92">
        <f t="shared" si="108"/>
        <v>105734</v>
      </c>
      <c r="E438" s="92"/>
      <c r="F438" s="161">
        <v>5.1577000000000002</v>
      </c>
      <c r="G438" s="120" t="s">
        <v>90</v>
      </c>
      <c r="H438" s="96">
        <f t="shared" si="107"/>
        <v>5335</v>
      </c>
      <c r="I438" s="96">
        <f t="shared" si="107"/>
        <v>5453</v>
      </c>
      <c r="J438" s="92"/>
      <c r="K438" s="161">
        <f>K$396</f>
        <v>5.5217000000000001</v>
      </c>
      <c r="L438" s="120" t="s">
        <v>90</v>
      </c>
      <c r="M438" s="96">
        <f>ROUND($K438*D438/100,0)</f>
        <v>5838</v>
      </c>
    </row>
    <row r="439" spans="1:16">
      <c r="A439" s="93" t="s">
        <v>161</v>
      </c>
      <c r="C439" s="92">
        <v>383600</v>
      </c>
      <c r="D439" s="92">
        <f t="shared" si="108"/>
        <v>392106</v>
      </c>
      <c r="E439" s="92"/>
      <c r="F439" s="161">
        <v>2.6215999999999999</v>
      </c>
      <c r="G439" s="120" t="s">
        <v>90</v>
      </c>
      <c r="H439" s="96">
        <f t="shared" si="107"/>
        <v>10056</v>
      </c>
      <c r="I439" s="96">
        <f t="shared" si="107"/>
        <v>10279</v>
      </c>
      <c r="J439" s="92"/>
      <c r="K439" s="161">
        <f>K$397</f>
        <v>2.8069999999999999</v>
      </c>
      <c r="L439" s="120" t="s">
        <v>90</v>
      </c>
      <c r="M439" s="96">
        <f>ROUND($K439*D439/100,0)</f>
        <v>11006</v>
      </c>
    </row>
    <row r="440" spans="1:16">
      <c r="A440" s="93" t="s">
        <v>128</v>
      </c>
      <c r="C440" s="92">
        <v>0</v>
      </c>
      <c r="D440" s="92">
        <f t="shared" si="106"/>
        <v>0</v>
      </c>
      <c r="E440" s="92"/>
      <c r="F440" s="95">
        <v>-1.1299999999999999</v>
      </c>
      <c r="G440" s="95"/>
      <c r="H440" s="96">
        <f>ROUND($F440*C440,0)</f>
        <v>0</v>
      </c>
      <c r="I440" s="96">
        <f>ROUND($F440*D440,0)</f>
        <v>0</v>
      </c>
      <c r="J440" s="92"/>
      <c r="K440" s="95">
        <f>K$398</f>
        <v>-1.1299999999999999</v>
      </c>
      <c r="L440" s="95"/>
      <c r="M440" s="96">
        <f>ROUND($K440*D440,0)</f>
        <v>0</v>
      </c>
    </row>
    <row r="441" spans="1:16">
      <c r="A441" s="129" t="s">
        <v>103</v>
      </c>
      <c r="B441" s="130"/>
      <c r="C441" s="92">
        <v>2083</v>
      </c>
      <c r="D441" s="92"/>
      <c r="E441" s="92"/>
      <c r="F441" s="131"/>
      <c r="G441" s="9"/>
      <c r="H441" s="96">
        <v>176</v>
      </c>
      <c r="I441" s="96"/>
      <c r="J441" s="92"/>
      <c r="K441" s="131"/>
      <c r="L441" s="9"/>
      <c r="M441" s="96"/>
      <c r="N441" s="121"/>
      <c r="O441" s="121"/>
      <c r="P441" s="121"/>
    </row>
    <row r="442" spans="1:16" ht="16.5" thickBot="1">
      <c r="A442" s="133" t="s">
        <v>105</v>
      </c>
      <c r="B442" s="134"/>
      <c r="C442" s="135">
        <f>SUM(C436:C439,C441)</f>
        <v>741683</v>
      </c>
      <c r="D442" s="135">
        <v>756000</v>
      </c>
      <c r="E442" s="135"/>
      <c r="F442" s="134"/>
      <c r="G442" s="134"/>
      <c r="H442" s="136">
        <f>SUM(H431:H441)</f>
        <v>52754</v>
      </c>
      <c r="I442" s="136">
        <f>SUM(I431:I441)</f>
        <v>53649</v>
      </c>
      <c r="J442" s="135"/>
      <c r="K442" s="134"/>
      <c r="L442" s="134"/>
      <c r="M442" s="136">
        <f>SUM(M431:M441)</f>
        <v>57433</v>
      </c>
      <c r="O442" s="72" t="s">
        <v>86</v>
      </c>
      <c r="P442" s="121">
        <f>M442/I442-1</f>
        <v>7.0532535555182685E-2</v>
      </c>
    </row>
    <row r="443" spans="1:16" ht="16.5" thickTop="1"/>
    <row r="444" spans="1:16">
      <c r="A444" s="90" t="s">
        <v>446</v>
      </c>
    </row>
    <row r="445" spans="1:16">
      <c r="A445" s="93" t="s">
        <v>121</v>
      </c>
      <c r="C445" s="92">
        <v>185.16661971830999</v>
      </c>
      <c r="D445" s="92">
        <v>168</v>
      </c>
      <c r="E445" s="92"/>
      <c r="F445" s="95">
        <v>71</v>
      </c>
      <c r="G445" s="95"/>
      <c r="H445" s="96">
        <f t="shared" ref="H445:I449" si="109">ROUND($F445*C445,0)</f>
        <v>13147</v>
      </c>
      <c r="I445" s="96">
        <f t="shared" si="109"/>
        <v>11928</v>
      </c>
      <c r="J445" s="92"/>
      <c r="K445" s="95">
        <f>K$389</f>
        <v>76</v>
      </c>
      <c r="L445" s="95"/>
      <c r="M445" s="96">
        <f>ROUND($K445*D445,0)</f>
        <v>12768</v>
      </c>
    </row>
    <row r="446" spans="1:16">
      <c r="A446" s="93" t="s">
        <v>87</v>
      </c>
      <c r="C446" s="92">
        <v>71</v>
      </c>
      <c r="D446" s="92">
        <v>116.77566030588683</v>
      </c>
      <c r="E446" s="92"/>
      <c r="F446" s="95">
        <v>-0.5</v>
      </c>
      <c r="G446" s="95"/>
      <c r="H446" s="96">
        <f t="shared" si="109"/>
        <v>-36</v>
      </c>
      <c r="I446" s="96">
        <f t="shared" si="109"/>
        <v>-58</v>
      </c>
      <c r="J446" s="92"/>
      <c r="K446" s="95">
        <f>K$390</f>
        <v>-0.5</v>
      </c>
      <c r="L446" s="95"/>
      <c r="M446" s="96">
        <f>ROUND($K446*D446,0)</f>
        <v>-58</v>
      </c>
    </row>
    <row r="447" spans="1:16">
      <c r="A447" s="93" t="s">
        <v>122</v>
      </c>
      <c r="C447" s="92">
        <v>182962.19750519699</v>
      </c>
      <c r="D447" s="92">
        <f t="shared" ref="D447:D454" si="110">ROUND($C447*D$456/$C$456,0)</f>
        <v>174942</v>
      </c>
      <c r="E447" s="92"/>
      <c r="F447" s="95">
        <v>4.8099999999999996</v>
      </c>
      <c r="G447" s="95"/>
      <c r="H447" s="96">
        <f t="shared" si="109"/>
        <v>880048</v>
      </c>
      <c r="I447" s="96">
        <f t="shared" si="109"/>
        <v>841471</v>
      </c>
      <c r="J447" s="92"/>
      <c r="K447" s="95">
        <f>K$391</f>
        <v>5.15</v>
      </c>
      <c r="L447" s="95"/>
      <c r="M447" s="96">
        <f>ROUND($K447*D447,0)</f>
        <v>900951</v>
      </c>
    </row>
    <row r="448" spans="1:16">
      <c r="A448" s="93" t="s">
        <v>156</v>
      </c>
      <c r="C448" s="92">
        <v>61963.671964399196</v>
      </c>
      <c r="D448" s="92">
        <f t="shared" si="110"/>
        <v>59248</v>
      </c>
      <c r="E448" s="92"/>
      <c r="F448" s="95">
        <v>15.73</v>
      </c>
      <c r="G448" s="95"/>
      <c r="H448" s="96">
        <f t="shared" si="109"/>
        <v>974689</v>
      </c>
      <c r="I448" s="96">
        <f t="shared" si="109"/>
        <v>931971</v>
      </c>
      <c r="J448" s="92"/>
      <c r="K448" s="95">
        <f>K$392</f>
        <v>16.84</v>
      </c>
      <c r="L448" s="95"/>
      <c r="M448" s="96">
        <f>ROUND($K448*D448,0)</f>
        <v>997736</v>
      </c>
    </row>
    <row r="449" spans="1:16">
      <c r="A449" s="93" t="s">
        <v>157</v>
      </c>
      <c r="C449" s="92">
        <v>110273.32902298799</v>
      </c>
      <c r="D449" s="92">
        <f t="shared" si="110"/>
        <v>105440</v>
      </c>
      <c r="E449" s="92"/>
      <c r="F449" s="95">
        <v>13.92</v>
      </c>
      <c r="G449" s="95"/>
      <c r="H449" s="96">
        <f t="shared" si="109"/>
        <v>1535005</v>
      </c>
      <c r="I449" s="96">
        <f t="shared" si="109"/>
        <v>1467725</v>
      </c>
      <c r="J449" s="92"/>
      <c r="K449" s="95">
        <f>K$393</f>
        <v>14.9</v>
      </c>
      <c r="L449" s="95"/>
      <c r="M449" s="96">
        <f>ROUND($K449*D449,0)</f>
        <v>1571056</v>
      </c>
    </row>
    <row r="450" spans="1:16">
      <c r="A450" s="93" t="s">
        <v>89</v>
      </c>
      <c r="C450" s="92">
        <v>5909249</v>
      </c>
      <c r="D450" s="92">
        <f>ROUND($C450*D$456/($C$456-$C$455),0)</f>
        <v>5693310</v>
      </c>
      <c r="E450" s="92"/>
      <c r="F450" s="161">
        <v>5.8281999999999998</v>
      </c>
      <c r="G450" s="120" t="s">
        <v>90</v>
      </c>
      <c r="H450" s="96">
        <f t="shared" ref="H450:I453" si="111">ROUND($F450*C450/100,0)</f>
        <v>344403</v>
      </c>
      <c r="I450" s="96">
        <f t="shared" si="111"/>
        <v>331817</v>
      </c>
      <c r="J450" s="92"/>
      <c r="K450" s="161">
        <f>K$394</f>
        <v>6.2394999999999996</v>
      </c>
      <c r="L450" s="120" t="s">
        <v>90</v>
      </c>
      <c r="M450" s="96">
        <f>ROUND($K450*D450/100,0)</f>
        <v>355234</v>
      </c>
    </row>
    <row r="451" spans="1:16">
      <c r="A451" s="93" t="s">
        <v>92</v>
      </c>
      <c r="C451" s="92">
        <v>20432968</v>
      </c>
      <c r="D451" s="92">
        <f t="shared" ref="D451:D453" si="112">ROUND($C451*D$456/($C$456-$C$455),0)</f>
        <v>19686295</v>
      </c>
      <c r="E451" s="92"/>
      <c r="F451" s="161">
        <v>2.9624000000000001</v>
      </c>
      <c r="G451" s="120" t="s">
        <v>90</v>
      </c>
      <c r="H451" s="96">
        <f t="shared" si="111"/>
        <v>605306</v>
      </c>
      <c r="I451" s="96">
        <f t="shared" si="111"/>
        <v>583187</v>
      </c>
      <c r="J451" s="92"/>
      <c r="K451" s="161">
        <f>K$395</f>
        <v>3.1714000000000002</v>
      </c>
      <c r="L451" s="120" t="s">
        <v>90</v>
      </c>
      <c r="M451" s="96">
        <f>ROUND($K451*D451/100,0)</f>
        <v>624331</v>
      </c>
    </row>
    <row r="452" spans="1:16">
      <c r="A452" s="93" t="s">
        <v>159</v>
      </c>
      <c r="C452" s="92">
        <v>11023699</v>
      </c>
      <c r="D452" s="92">
        <f t="shared" si="112"/>
        <v>10620865</v>
      </c>
      <c r="E452" s="92"/>
      <c r="F452" s="161">
        <v>5.1577000000000002</v>
      </c>
      <c r="G452" s="120" t="s">
        <v>90</v>
      </c>
      <c r="H452" s="96">
        <f t="shared" si="111"/>
        <v>568569</v>
      </c>
      <c r="I452" s="96">
        <f t="shared" si="111"/>
        <v>547792</v>
      </c>
      <c r="J452" s="92"/>
      <c r="K452" s="161">
        <f>K$396</f>
        <v>5.5217000000000001</v>
      </c>
      <c r="L452" s="120" t="s">
        <v>90</v>
      </c>
      <c r="M452" s="96">
        <f>ROUND($K452*D452/100,0)</f>
        <v>586452</v>
      </c>
    </row>
    <row r="453" spans="1:16">
      <c r="A453" s="93" t="s">
        <v>161</v>
      </c>
      <c r="C453" s="92">
        <v>37807624</v>
      </c>
      <c r="D453" s="92">
        <f t="shared" si="112"/>
        <v>36426036</v>
      </c>
      <c r="E453" s="92"/>
      <c r="F453" s="161">
        <v>2.6215999999999999</v>
      </c>
      <c r="G453" s="120" t="s">
        <v>90</v>
      </c>
      <c r="H453" s="96">
        <f t="shared" si="111"/>
        <v>991165</v>
      </c>
      <c r="I453" s="96">
        <f t="shared" si="111"/>
        <v>954945</v>
      </c>
      <c r="J453" s="92"/>
      <c r="K453" s="161">
        <f>K$397</f>
        <v>2.8069999999999999</v>
      </c>
      <c r="L453" s="120" t="s">
        <v>90</v>
      </c>
      <c r="M453" s="96">
        <f>ROUND($K453*D453/100,0)</f>
        <v>1022479</v>
      </c>
    </row>
    <row r="454" spans="1:16">
      <c r="A454" s="93" t="s">
        <v>128</v>
      </c>
      <c r="C454" s="92">
        <v>62727</v>
      </c>
      <c r="D454" s="92">
        <f t="shared" si="110"/>
        <v>59977</v>
      </c>
      <c r="E454" s="92"/>
      <c r="F454" s="95">
        <v>-1.1299999999999999</v>
      </c>
      <c r="G454" s="95"/>
      <c r="H454" s="96">
        <f>ROUND($F454*C454,0)</f>
        <v>-70882</v>
      </c>
      <c r="I454" s="96">
        <f>ROUND($F454*D454,0)</f>
        <v>-67774</v>
      </c>
      <c r="J454" s="92"/>
      <c r="K454" s="95">
        <f>K$398</f>
        <v>-1.1299999999999999</v>
      </c>
      <c r="L454" s="95"/>
      <c r="M454" s="96">
        <f>ROUND($K454*D454,0)</f>
        <v>-67774</v>
      </c>
    </row>
    <row r="455" spans="1:16">
      <c r="A455" s="129" t="s">
        <v>103</v>
      </c>
      <c r="B455" s="130"/>
      <c r="C455" s="92">
        <v>573217</v>
      </c>
      <c r="D455" s="92"/>
      <c r="E455" s="92"/>
      <c r="F455" s="131"/>
      <c r="G455" s="9"/>
      <c r="H455" s="96">
        <v>44274</v>
      </c>
      <c r="I455" s="96"/>
      <c r="J455" s="92"/>
      <c r="K455" s="131"/>
      <c r="L455" s="9"/>
      <c r="M455" s="96"/>
      <c r="N455" s="121"/>
      <c r="O455" s="121"/>
      <c r="P455" s="121"/>
    </row>
    <row r="456" spans="1:16" ht="16.5" thickBot="1">
      <c r="A456" s="133" t="s">
        <v>105</v>
      </c>
      <c r="B456" s="134"/>
      <c r="C456" s="135">
        <f>SUM(C450:C453,C455)</f>
        <v>75746757</v>
      </c>
      <c r="D456" s="135">
        <v>72426505</v>
      </c>
      <c r="E456" s="135"/>
      <c r="F456" s="134"/>
      <c r="G456" s="134"/>
      <c r="H456" s="136">
        <f>SUM(H445:H455)</f>
        <v>5885688</v>
      </c>
      <c r="I456" s="136">
        <f>SUM(I445:I455)</f>
        <v>5603004</v>
      </c>
      <c r="J456" s="135"/>
      <c r="K456" s="134"/>
      <c r="L456" s="134"/>
      <c r="M456" s="136">
        <f>SUM(M445:M455)</f>
        <v>6003175</v>
      </c>
      <c r="O456" s="72" t="s">
        <v>86</v>
      </c>
      <c r="P456" s="121">
        <f>M456/I456-1</f>
        <v>7.1420794987831604E-2</v>
      </c>
    </row>
    <row r="457" spans="1:16" ht="16.5" thickTop="1">
      <c r="A457" s="163"/>
      <c r="B457" s="163"/>
      <c r="C457" s="163"/>
      <c r="D457" s="163"/>
      <c r="E457" s="163"/>
      <c r="F457" s="163"/>
      <c r="G457" s="163"/>
      <c r="H457" s="163"/>
      <c r="I457" s="163"/>
      <c r="J457" s="163"/>
      <c r="K457" s="163"/>
      <c r="L457" s="163"/>
      <c r="M457" s="163"/>
    </row>
    <row r="458" spans="1:16">
      <c r="A458" s="90" t="s">
        <v>165</v>
      </c>
      <c r="C458" s="92"/>
      <c r="D458" s="92"/>
      <c r="E458" s="92"/>
      <c r="J458" s="92"/>
    </row>
    <row r="459" spans="1:16">
      <c r="A459" s="93" t="s">
        <v>121</v>
      </c>
      <c r="C459" s="92">
        <f>C473+C487</f>
        <v>1924.5112406015069</v>
      </c>
      <c r="D459" s="92">
        <f>D473+D487</f>
        <v>1971</v>
      </c>
      <c r="E459" s="92"/>
      <c r="F459" s="95">
        <v>266</v>
      </c>
      <c r="G459" s="95"/>
      <c r="H459" s="96">
        <f t="shared" ref="H459:I464" si="113">ROUND($F459*C459,0)</f>
        <v>511920</v>
      </c>
      <c r="I459" s="96">
        <f t="shared" si="113"/>
        <v>524286</v>
      </c>
      <c r="J459" s="92"/>
      <c r="K459" s="95">
        <f>ROUND(F459*(1+$P$465),0)</f>
        <v>399</v>
      </c>
      <c r="L459" s="95"/>
      <c r="M459" s="96">
        <f t="shared" ref="M459:M464" si="114">ROUND($K459*D459,0)</f>
        <v>786429</v>
      </c>
      <c r="O459" s="89" t="s">
        <v>166</v>
      </c>
      <c r="P459" s="89"/>
    </row>
    <row r="460" spans="1:16">
      <c r="A460" s="93" t="s">
        <v>87</v>
      </c>
      <c r="C460" s="92">
        <f t="shared" ref="C460:D470" si="115">C474+C488</f>
        <v>1100.3600000000001</v>
      </c>
      <c r="D460" s="92">
        <f t="shared" si="115"/>
        <v>1370.0287289458508</v>
      </c>
      <c r="E460" s="92"/>
      <c r="F460" s="95">
        <v>-0.5</v>
      </c>
      <c r="G460" s="95"/>
      <c r="H460" s="96">
        <f t="shared" si="113"/>
        <v>-550</v>
      </c>
      <c r="I460" s="96">
        <f t="shared" si="113"/>
        <v>-685</v>
      </c>
      <c r="J460" s="92"/>
      <c r="K460" s="95">
        <f>F460</f>
        <v>-0.5</v>
      </c>
      <c r="L460" s="95"/>
      <c r="M460" s="96">
        <f t="shared" si="114"/>
        <v>-685</v>
      </c>
      <c r="O460" s="103" t="s">
        <v>79</v>
      </c>
      <c r="P460" s="104">
        <f>M470+M511+M945+M1124+M1170+M1217+M1242</f>
        <v>358117393</v>
      </c>
    </row>
    <row r="461" spans="1:16">
      <c r="A461" s="93" t="s">
        <v>167</v>
      </c>
      <c r="C461" s="92">
        <f t="shared" si="115"/>
        <v>96</v>
      </c>
      <c r="D461" s="92">
        <f t="shared" si="115"/>
        <v>96</v>
      </c>
      <c r="E461" s="92"/>
      <c r="F461" s="95">
        <v>-150</v>
      </c>
      <c r="G461" s="95"/>
      <c r="H461" s="96">
        <f t="shared" si="113"/>
        <v>-14400</v>
      </c>
      <c r="I461" s="96">
        <f t="shared" si="113"/>
        <v>-14400</v>
      </c>
      <c r="J461" s="92"/>
      <c r="K461" s="95">
        <f>F461</f>
        <v>-150</v>
      </c>
      <c r="L461" s="95"/>
      <c r="M461" s="96">
        <f t="shared" si="114"/>
        <v>-14400</v>
      </c>
      <c r="O461" s="106" t="s">
        <v>81</v>
      </c>
      <c r="P461" s="107">
        <f>SUM('Rate Spread'!M26,'Rate Spread'!M29:M32)*1000</f>
        <v>358173850.92513269</v>
      </c>
    </row>
    <row r="462" spans="1:16">
      <c r="A462" s="93" t="s">
        <v>122</v>
      </c>
      <c r="C462" s="92">
        <f t="shared" si="115"/>
        <v>8308196.10087719</v>
      </c>
      <c r="D462" s="92">
        <f t="shared" si="115"/>
        <v>9024652</v>
      </c>
      <c r="E462" s="92"/>
      <c r="F462" s="95">
        <v>2.2799999999999998</v>
      </c>
      <c r="G462" s="95"/>
      <c r="H462" s="96">
        <f t="shared" si="113"/>
        <v>18942687</v>
      </c>
      <c r="I462" s="96">
        <f t="shared" si="113"/>
        <v>20576207</v>
      </c>
      <c r="J462" s="92"/>
      <c r="K462" s="95">
        <f>ROUND(F462*(1+$P$467),2)</f>
        <v>2.4700000000000002</v>
      </c>
      <c r="L462" s="95"/>
      <c r="M462" s="96">
        <f t="shared" si="114"/>
        <v>22290890</v>
      </c>
      <c r="O462" s="164" t="s">
        <v>83</v>
      </c>
      <c r="P462" s="107">
        <f>P461-P460</f>
        <v>56457.92513269186</v>
      </c>
    </row>
    <row r="463" spans="1:16">
      <c r="A463" s="93" t="s">
        <v>156</v>
      </c>
      <c r="C463" s="92">
        <f t="shared" si="115"/>
        <v>2686882.441730632</v>
      </c>
      <c r="D463" s="92">
        <f t="shared" si="115"/>
        <v>2920309</v>
      </c>
      <c r="E463" s="92"/>
      <c r="F463" s="95">
        <v>14.33</v>
      </c>
      <c r="G463" s="95"/>
      <c r="H463" s="96">
        <f t="shared" si="113"/>
        <v>38503025</v>
      </c>
      <c r="I463" s="96">
        <f t="shared" si="113"/>
        <v>41848028</v>
      </c>
      <c r="J463" s="92"/>
      <c r="K463" s="95">
        <f t="shared" ref="K463:K464" si="116">ROUND(F463*(1+$P$467),2)</f>
        <v>15.54</v>
      </c>
      <c r="L463" s="95"/>
      <c r="M463" s="96">
        <f t="shared" si="114"/>
        <v>45381602</v>
      </c>
      <c r="O463" s="106" t="s">
        <v>86</v>
      </c>
      <c r="P463" s="148">
        <f>P460/(I470+I511+I945+I1124+I1170+I1217+I1242)-1</f>
        <v>9.0734406611173046E-2</v>
      </c>
    </row>
    <row r="464" spans="1:16">
      <c r="A464" s="93" t="s">
        <v>157</v>
      </c>
      <c r="C464" s="92">
        <f t="shared" si="115"/>
        <v>5246261.2326498497</v>
      </c>
      <c r="D464" s="92">
        <f t="shared" si="115"/>
        <v>5697768</v>
      </c>
      <c r="E464" s="92"/>
      <c r="F464" s="95">
        <v>12.68</v>
      </c>
      <c r="G464" s="95"/>
      <c r="H464" s="96">
        <f t="shared" si="113"/>
        <v>66522592</v>
      </c>
      <c r="I464" s="96">
        <f t="shared" si="113"/>
        <v>72247698</v>
      </c>
      <c r="J464" s="92"/>
      <c r="K464" s="95">
        <f t="shared" si="116"/>
        <v>13.75</v>
      </c>
      <c r="L464" s="95"/>
      <c r="M464" s="96">
        <f t="shared" si="114"/>
        <v>78344310</v>
      </c>
      <c r="O464" s="106" t="s">
        <v>88</v>
      </c>
      <c r="P464" s="148">
        <f>P461/(I470+I511+I945+I1124+I1170+I1217+I1242)-1</f>
        <v>9.0906363077605024E-2</v>
      </c>
    </row>
    <row r="465" spans="1:17">
      <c r="A465" s="93" t="s">
        <v>89</v>
      </c>
      <c r="C465" s="92">
        <f t="shared" si="115"/>
        <v>321453510</v>
      </c>
      <c r="D465" s="92">
        <f t="shared" si="115"/>
        <v>349878336</v>
      </c>
      <c r="E465" s="92"/>
      <c r="F465" s="165">
        <v>5.1477000000000004</v>
      </c>
      <c r="G465" s="120" t="s">
        <v>90</v>
      </c>
      <c r="H465" s="96">
        <f t="shared" ref="H465:I468" si="117">ROUND($F465*C465/100,0)</f>
        <v>16547462</v>
      </c>
      <c r="I465" s="96">
        <f t="shared" si="117"/>
        <v>18010687</v>
      </c>
      <c r="J465" s="92"/>
      <c r="K465" s="166">
        <f>ROUND(F465*(1+$P$467),$P$9)</f>
        <v>5.5841000000000003</v>
      </c>
      <c r="L465" s="120" t="s">
        <v>90</v>
      </c>
      <c r="M465" s="96">
        <f>ROUND($K465*D465/100,0)</f>
        <v>19537556</v>
      </c>
      <c r="O465" s="106" t="s">
        <v>97</v>
      </c>
      <c r="P465" s="148">
        <v>0.5</v>
      </c>
    </row>
    <row r="466" spans="1:17">
      <c r="A466" s="93" t="s">
        <v>92</v>
      </c>
      <c r="C466" s="92">
        <f t="shared" si="115"/>
        <v>1257182680</v>
      </c>
      <c r="D466" s="92">
        <f t="shared" si="115"/>
        <v>1367431769</v>
      </c>
      <c r="E466" s="92"/>
      <c r="F466" s="165">
        <v>2.6164999999999998</v>
      </c>
      <c r="G466" s="120" t="s">
        <v>90</v>
      </c>
      <c r="H466" s="96">
        <f t="shared" si="117"/>
        <v>32894185</v>
      </c>
      <c r="I466" s="96">
        <f t="shared" si="117"/>
        <v>35778852</v>
      </c>
      <c r="J466" s="92"/>
      <c r="K466" s="166">
        <f>ROUND(F466*(1+$P$467),$P$9)</f>
        <v>2.8382999999999998</v>
      </c>
      <c r="L466" s="120" t="s">
        <v>90</v>
      </c>
      <c r="M466" s="96">
        <f>ROUND($K466*D466/100,0)</f>
        <v>38811816</v>
      </c>
      <c r="O466" s="106" t="s">
        <v>168</v>
      </c>
      <c r="P466" s="148">
        <f>(P460-SUM(M927:M934,M1110,M1111,M1157,M1168,M1203,M1215))/SUM(I470,I511,I924,I936:I942,I1081:I1109,I1122,I1128:I1156,I1174:I1202,I1242)-1</f>
        <v>9.1022485359468774E-2</v>
      </c>
    </row>
    <row r="467" spans="1:17">
      <c r="A467" s="93" t="s">
        <v>159</v>
      </c>
      <c r="C467" s="92">
        <f t="shared" si="115"/>
        <v>630314641</v>
      </c>
      <c r="D467" s="92">
        <f t="shared" si="115"/>
        <v>685783120</v>
      </c>
      <c r="E467" s="92"/>
      <c r="F467" s="165">
        <v>4.5555000000000003</v>
      </c>
      <c r="G467" s="120" t="s">
        <v>90</v>
      </c>
      <c r="H467" s="96">
        <f t="shared" si="117"/>
        <v>28713983</v>
      </c>
      <c r="I467" s="96">
        <f t="shared" si="117"/>
        <v>31240850</v>
      </c>
      <c r="J467" s="92"/>
      <c r="K467" s="166">
        <f>ROUND(F467*(1+$P$467),$P$9)</f>
        <v>4.9417</v>
      </c>
      <c r="L467" s="120" t="s">
        <v>90</v>
      </c>
      <c r="M467" s="96">
        <f>ROUND($K467*D467/100,0)</f>
        <v>33889344</v>
      </c>
      <c r="O467" s="106" t="s">
        <v>169</v>
      </c>
      <c r="P467" s="148">
        <f>P468+P469</f>
        <v>8.4779151195054483E-2</v>
      </c>
    </row>
    <row r="468" spans="1:17">
      <c r="A468" s="93" t="s">
        <v>161</v>
      </c>
      <c r="C468" s="92">
        <f t="shared" si="115"/>
        <v>2443300051</v>
      </c>
      <c r="D468" s="92">
        <f t="shared" si="115"/>
        <v>2657431148</v>
      </c>
      <c r="E468" s="92"/>
      <c r="F468" s="166">
        <v>2.3155000000000001</v>
      </c>
      <c r="G468" s="120" t="s">
        <v>90</v>
      </c>
      <c r="H468" s="96">
        <f t="shared" si="117"/>
        <v>56574613</v>
      </c>
      <c r="I468" s="96">
        <f t="shared" si="117"/>
        <v>61532818</v>
      </c>
      <c r="J468" s="92"/>
      <c r="K468" s="166">
        <f>ROUND(F468*(1+$P$467),$P$9)</f>
        <v>2.5118</v>
      </c>
      <c r="L468" s="120" t="s">
        <v>90</v>
      </c>
      <c r="M468" s="96">
        <f>ROUND($K468*D468/100,0)</f>
        <v>66749356</v>
      </c>
      <c r="O468" s="106" t="s">
        <v>169</v>
      </c>
      <c r="P468" s="148">
        <f>(P461-SUM(M459:M461,M501:M502,M883:M884,M897:M898,M911:M912,M1081:M1083,M1087,M1128:M1130,M1134,M1174:M1176,M1180,M927:M934,M1110,M1111,M1157,M1168,M1203,M1215,M1234))/SUM(I462:I468,I503:I509,I885:I895,I899:I909,I913:I923,I936:I942,I1085:I1086,I1089:I1109,I1115:I1121,I1132:I1133,I1136:I1156,I1178:I1179,I1182:I1202,I1235:I1241)-1</f>
        <v>9.050165579115399E-2</v>
      </c>
      <c r="Q468" s="102"/>
    </row>
    <row r="469" spans="1:17">
      <c r="A469" s="129" t="s">
        <v>103</v>
      </c>
      <c r="B469" s="130"/>
      <c r="C469" s="92">
        <f t="shared" si="115"/>
        <v>9779848</v>
      </c>
      <c r="D469" s="92"/>
      <c r="E469" s="92"/>
      <c r="F469" s="131"/>
      <c r="G469" s="9"/>
      <c r="H469" s="96">
        <f>H483+H497</f>
        <v>941225</v>
      </c>
      <c r="I469" s="96"/>
      <c r="J469" s="92"/>
      <c r="K469" s="131"/>
      <c r="L469" s="9"/>
      <c r="M469" s="96"/>
      <c r="N469" s="121"/>
      <c r="O469" s="106" t="s">
        <v>170</v>
      </c>
      <c r="P469" s="279">
        <v>-5.7225045960995098E-3</v>
      </c>
      <c r="Q469" s="102"/>
    </row>
    <row r="470" spans="1:17" ht="16.5" thickBot="1">
      <c r="A470" s="133" t="s">
        <v>105</v>
      </c>
      <c r="B470" s="134"/>
      <c r="C470" s="135">
        <f t="shared" si="115"/>
        <v>4662030730</v>
      </c>
      <c r="D470" s="135">
        <f t="shared" si="115"/>
        <v>5060524373.6956453</v>
      </c>
      <c r="E470" s="135"/>
      <c r="F470" s="134"/>
      <c r="G470" s="134"/>
      <c r="H470" s="136">
        <f>SUM(H459:H469)</f>
        <v>260136742</v>
      </c>
      <c r="I470" s="136">
        <f>SUM(I459:I469)</f>
        <v>281744341</v>
      </c>
      <c r="J470" s="135"/>
      <c r="K470" s="134"/>
      <c r="L470" s="134"/>
      <c r="M470" s="136">
        <f>SUM(M459:M469)</f>
        <v>305776218</v>
      </c>
      <c r="O470" s="124" t="s">
        <v>171</v>
      </c>
      <c r="P470" s="167">
        <v>1.1299999999999999</v>
      </c>
      <c r="Q470" s="72" t="s">
        <v>500</v>
      </c>
    </row>
    <row r="471" spans="1:17" ht="16.5" thickTop="1">
      <c r="C471" s="92"/>
      <c r="D471" s="92"/>
      <c r="E471" s="92"/>
      <c r="J471" s="92"/>
      <c r="O471" s="89" t="s">
        <v>172</v>
      </c>
      <c r="P471" s="88">
        <f>M470/I470-1</f>
        <v>8.5296751355158573E-2</v>
      </c>
      <c r="Q471" s="319">
        <f>(M470-SUM(M465:M468))/(I470-SUM(I465:I468))</f>
        <v>1.0858626618711453</v>
      </c>
    </row>
    <row r="472" spans="1:17">
      <c r="A472" s="90" t="s">
        <v>447</v>
      </c>
      <c r="C472" s="92"/>
      <c r="D472" s="92"/>
      <c r="E472" s="92"/>
      <c r="J472" s="92"/>
    </row>
    <row r="473" spans="1:17">
      <c r="A473" s="93" t="s">
        <v>121</v>
      </c>
      <c r="C473" s="92">
        <v>644.33338345864695</v>
      </c>
      <c r="D473" s="92">
        <v>639</v>
      </c>
      <c r="E473" s="92"/>
      <c r="F473" s="147">
        <v>266</v>
      </c>
      <c r="G473" s="147"/>
      <c r="H473" s="96">
        <f t="shared" ref="H473:I478" si="118">ROUND($F473*C473,0)</f>
        <v>171393</v>
      </c>
      <c r="I473" s="96">
        <f t="shared" si="118"/>
        <v>169974</v>
      </c>
      <c r="J473" s="92"/>
      <c r="K473" s="147">
        <f>K$459</f>
        <v>399</v>
      </c>
      <c r="L473" s="147"/>
      <c r="M473" s="96">
        <f t="shared" ref="M473:M478" si="119">ROUND($K473*D473,0)</f>
        <v>254961</v>
      </c>
      <c r="O473" s="106" t="s">
        <v>168</v>
      </c>
      <c r="P473" s="148">
        <f>(P460-SUM(M927:M934,M1110,M1111,M1157,M1168,M1203,M1215))/SUM(I470,I511,I924,I936:I942,I1081:I1109,I1122,I1128:I1156,I1174:I1202,I1242)-1</f>
        <v>9.1022485359468774E-2</v>
      </c>
    </row>
    <row r="474" spans="1:17">
      <c r="A474" s="93" t="s">
        <v>87</v>
      </c>
      <c r="C474" s="92">
        <v>357</v>
      </c>
      <c r="D474" s="92">
        <v>444.16456509203385</v>
      </c>
      <c r="E474" s="92"/>
      <c r="F474" s="95">
        <v>-0.5</v>
      </c>
      <c r="G474" s="95"/>
      <c r="H474" s="96">
        <f t="shared" si="118"/>
        <v>-179</v>
      </c>
      <c r="I474" s="96">
        <f t="shared" si="118"/>
        <v>-222</v>
      </c>
      <c r="J474" s="92"/>
      <c r="K474" s="95">
        <f>K$460</f>
        <v>-0.5</v>
      </c>
      <c r="L474" s="95"/>
      <c r="M474" s="96">
        <f t="shared" si="119"/>
        <v>-222</v>
      </c>
      <c r="O474" s="106" t="s">
        <v>169</v>
      </c>
      <c r="P474" s="148">
        <f>(P461-SUM(M927:M934,M1110,M1111,M1157,M1168,M1203,M1215))/SUM(I470,I511,I924,I936:I942,I1081:I1109,I1122,I1128:I1156,I1174:I1202,I1242)-1</f>
        <v>9.1196911209189935E-2</v>
      </c>
    </row>
    <row r="475" spans="1:17">
      <c r="A475" s="93" t="s">
        <v>167</v>
      </c>
      <c r="C475" s="92">
        <v>0</v>
      </c>
      <c r="D475" s="92">
        <f>$C475</f>
        <v>0</v>
      </c>
      <c r="E475" s="92"/>
      <c r="F475" s="95">
        <v>-150</v>
      </c>
      <c r="G475" s="95"/>
      <c r="H475" s="96">
        <f t="shared" si="118"/>
        <v>0</v>
      </c>
      <c r="I475" s="96">
        <f t="shared" si="118"/>
        <v>0</v>
      </c>
      <c r="J475" s="92"/>
      <c r="K475" s="95">
        <f>K$461</f>
        <v>-150</v>
      </c>
      <c r="L475" s="95"/>
      <c r="M475" s="96">
        <f t="shared" si="119"/>
        <v>0</v>
      </c>
    </row>
    <row r="476" spans="1:17">
      <c r="A476" s="93" t="s">
        <v>122</v>
      </c>
      <c r="C476" s="92">
        <v>2170537.1973684202</v>
      </c>
      <c r="D476" s="92">
        <f t="shared" ref="D476:D478" si="120">ROUND($C476*D$484/$C$484,0)</f>
        <v>2512471</v>
      </c>
      <c r="E476" s="92"/>
      <c r="F476" s="147">
        <v>2.2799999999999998</v>
      </c>
      <c r="G476" s="147"/>
      <c r="H476" s="96">
        <f t="shared" si="118"/>
        <v>4948825</v>
      </c>
      <c r="I476" s="96">
        <f t="shared" si="118"/>
        <v>5728434</v>
      </c>
      <c r="J476" s="92"/>
      <c r="K476" s="147">
        <f>K$462</f>
        <v>2.4700000000000002</v>
      </c>
      <c r="L476" s="147"/>
      <c r="M476" s="96">
        <f t="shared" si="119"/>
        <v>6205803</v>
      </c>
    </row>
    <row r="477" spans="1:17">
      <c r="A477" s="93" t="s">
        <v>156</v>
      </c>
      <c r="C477" s="92">
        <v>719806.49755757197</v>
      </c>
      <c r="D477" s="92">
        <f t="shared" si="120"/>
        <v>833201</v>
      </c>
      <c r="E477" s="92"/>
      <c r="F477" s="147">
        <v>14.33</v>
      </c>
      <c r="G477" s="147"/>
      <c r="H477" s="96">
        <f t="shared" si="118"/>
        <v>10314827</v>
      </c>
      <c r="I477" s="96">
        <f t="shared" si="118"/>
        <v>11939770</v>
      </c>
      <c r="J477" s="92"/>
      <c r="K477" s="147">
        <f>K$463</f>
        <v>15.54</v>
      </c>
      <c r="L477" s="147"/>
      <c r="M477" s="96">
        <f t="shared" si="119"/>
        <v>12947944</v>
      </c>
    </row>
    <row r="478" spans="1:17">
      <c r="A478" s="93" t="s">
        <v>157</v>
      </c>
      <c r="C478" s="92">
        <v>1361236.2042586801</v>
      </c>
      <c r="D478" s="92">
        <f t="shared" si="120"/>
        <v>1575678</v>
      </c>
      <c r="E478" s="92"/>
      <c r="F478" s="147">
        <v>12.68</v>
      </c>
      <c r="G478" s="147"/>
      <c r="H478" s="96">
        <f t="shared" si="118"/>
        <v>17260475</v>
      </c>
      <c r="I478" s="96">
        <f t="shared" si="118"/>
        <v>19979597</v>
      </c>
      <c r="J478" s="92"/>
      <c r="K478" s="147">
        <f>K$464</f>
        <v>13.75</v>
      </c>
      <c r="L478" s="147"/>
      <c r="M478" s="96">
        <f t="shared" si="119"/>
        <v>21665573</v>
      </c>
    </row>
    <row r="479" spans="1:17">
      <c r="A479" s="93" t="s">
        <v>89</v>
      </c>
      <c r="C479" s="92">
        <v>83050407</v>
      </c>
      <c r="D479" s="92">
        <f>ROUND($C479*D$484/($C$484-$C$483),0)</f>
        <v>96866736</v>
      </c>
      <c r="E479" s="92"/>
      <c r="F479" s="155">
        <v>5.1477000000000004</v>
      </c>
      <c r="G479" s="120" t="s">
        <v>90</v>
      </c>
      <c r="H479" s="96">
        <f t="shared" ref="H479:I482" si="121">ROUND($F479*C479/100,0)</f>
        <v>4275186</v>
      </c>
      <c r="I479" s="96">
        <f t="shared" si="121"/>
        <v>4986409</v>
      </c>
      <c r="J479" s="92"/>
      <c r="K479" s="155">
        <f>K$465</f>
        <v>5.5841000000000003</v>
      </c>
      <c r="L479" s="120" t="s">
        <v>90</v>
      </c>
      <c r="M479" s="96">
        <f>ROUND($K479*D479/100,0)</f>
        <v>5409135</v>
      </c>
    </row>
    <row r="480" spans="1:17">
      <c r="A480" s="93" t="s">
        <v>92</v>
      </c>
      <c r="C480" s="92">
        <v>316064211</v>
      </c>
      <c r="D480" s="92">
        <f t="shared" ref="D480:D482" si="122">ROUND($C480*D$484/($C$484-$C$483),0)</f>
        <v>368644895</v>
      </c>
      <c r="E480" s="92"/>
      <c r="F480" s="155">
        <v>2.6164999999999998</v>
      </c>
      <c r="G480" s="120" t="s">
        <v>90</v>
      </c>
      <c r="H480" s="96">
        <f t="shared" si="121"/>
        <v>8269820</v>
      </c>
      <c r="I480" s="96">
        <f t="shared" si="121"/>
        <v>9645594</v>
      </c>
      <c r="J480" s="92"/>
      <c r="K480" s="155">
        <f>K$466</f>
        <v>2.8382999999999998</v>
      </c>
      <c r="L480" s="120" t="s">
        <v>90</v>
      </c>
      <c r="M480" s="96">
        <f>ROUND($K480*D480/100,0)</f>
        <v>10463248</v>
      </c>
    </row>
    <row r="481" spans="1:16">
      <c r="A481" s="93" t="s">
        <v>159</v>
      </c>
      <c r="C481" s="92">
        <v>160300155</v>
      </c>
      <c r="D481" s="92">
        <f t="shared" si="122"/>
        <v>186967812</v>
      </c>
      <c r="E481" s="92"/>
      <c r="F481" s="155">
        <v>4.5555000000000003</v>
      </c>
      <c r="G481" s="120" t="s">
        <v>90</v>
      </c>
      <c r="H481" s="96">
        <f t="shared" si="121"/>
        <v>7302474</v>
      </c>
      <c r="I481" s="96">
        <f t="shared" si="121"/>
        <v>8517319</v>
      </c>
      <c r="J481" s="92"/>
      <c r="K481" s="155">
        <f>K$467</f>
        <v>4.9417</v>
      </c>
      <c r="L481" s="120" t="s">
        <v>90</v>
      </c>
      <c r="M481" s="96">
        <f>ROUND($K481*D481/100,0)</f>
        <v>9239388</v>
      </c>
    </row>
    <row r="482" spans="1:16">
      <c r="A482" s="93" t="s">
        <v>161</v>
      </c>
      <c r="C482" s="92">
        <v>612977587</v>
      </c>
      <c r="D482" s="92">
        <f t="shared" si="122"/>
        <v>714953008</v>
      </c>
      <c r="E482" s="92"/>
      <c r="F482" s="155">
        <v>2.3155000000000001</v>
      </c>
      <c r="G482" s="120" t="s">
        <v>90</v>
      </c>
      <c r="H482" s="96">
        <f t="shared" si="121"/>
        <v>14193496</v>
      </c>
      <c r="I482" s="96">
        <f t="shared" si="121"/>
        <v>16554737</v>
      </c>
      <c r="J482" s="92"/>
      <c r="K482" s="155">
        <f>K$468</f>
        <v>2.5118</v>
      </c>
      <c r="L482" s="120" t="s">
        <v>90</v>
      </c>
      <c r="M482" s="96">
        <f>ROUND($K482*D482/100,0)</f>
        <v>17958190</v>
      </c>
    </row>
    <row r="483" spans="1:16">
      <c r="A483" s="129" t="s">
        <v>103</v>
      </c>
      <c r="B483" s="130"/>
      <c r="C483" s="92">
        <v>8939785</v>
      </c>
      <c r="D483" s="92"/>
      <c r="E483" s="92"/>
      <c r="F483" s="131"/>
      <c r="G483" s="9"/>
      <c r="H483" s="96">
        <v>505707</v>
      </c>
      <c r="I483" s="96"/>
      <c r="J483" s="92"/>
      <c r="K483" s="131"/>
      <c r="L483" s="9"/>
      <c r="M483" s="96"/>
      <c r="N483" s="121"/>
      <c r="O483" s="121"/>
      <c r="P483" s="121"/>
    </row>
    <row r="484" spans="1:16" ht="16.5" thickBot="1">
      <c r="A484" s="133" t="s">
        <v>105</v>
      </c>
      <c r="B484" s="134"/>
      <c r="C484" s="135">
        <f>SUM(C479:C483)</f>
        <v>1181332145</v>
      </c>
      <c r="D484" s="135">
        <v>1367432450.784467</v>
      </c>
      <c r="E484" s="135"/>
      <c r="F484" s="134"/>
      <c r="G484" s="134"/>
      <c r="H484" s="136">
        <f>SUM(H473:H483)</f>
        <v>67242024</v>
      </c>
      <c r="I484" s="136">
        <f>SUM(I473:I483)</f>
        <v>77521612</v>
      </c>
      <c r="J484" s="135"/>
      <c r="K484" s="134"/>
      <c r="L484" s="134"/>
      <c r="M484" s="136">
        <f>SUM(M473:M483)</f>
        <v>84144020</v>
      </c>
      <c r="O484" s="72" t="s">
        <v>86</v>
      </c>
      <c r="P484" s="121">
        <f>M484/I484-1</f>
        <v>8.5426603358041531E-2</v>
      </c>
    </row>
    <row r="485" spans="1:16" ht="16.5" thickTop="1">
      <c r="C485" s="92"/>
      <c r="D485" s="92"/>
      <c r="E485" s="92"/>
      <c r="J485" s="92"/>
    </row>
    <row r="486" spans="1:16">
      <c r="A486" s="90" t="s">
        <v>448</v>
      </c>
      <c r="C486" s="92"/>
      <c r="D486" s="92"/>
      <c r="E486" s="92"/>
      <c r="J486" s="92"/>
    </row>
    <row r="487" spans="1:16">
      <c r="A487" s="93" t="s">
        <v>121</v>
      </c>
      <c r="C487" s="92">
        <v>1280.1778571428599</v>
      </c>
      <c r="D487" s="92">
        <v>1332</v>
      </c>
      <c r="E487" s="92"/>
      <c r="F487" s="147">
        <v>266</v>
      </c>
      <c r="G487" s="147"/>
      <c r="H487" s="96">
        <f t="shared" ref="H487:I492" si="123">ROUND($F487*C487,0)</f>
        <v>340527</v>
      </c>
      <c r="I487" s="96">
        <f t="shared" si="123"/>
        <v>354312</v>
      </c>
      <c r="J487" s="92"/>
      <c r="K487" s="147">
        <f>K$459</f>
        <v>399</v>
      </c>
      <c r="L487" s="147"/>
      <c r="M487" s="96">
        <f t="shared" ref="M487:M492" si="124">ROUND($K487*D487,0)</f>
        <v>531468</v>
      </c>
    </row>
    <row r="488" spans="1:16">
      <c r="A488" s="93" t="s">
        <v>87</v>
      </c>
      <c r="C488" s="92">
        <v>743.36</v>
      </c>
      <c r="D488" s="92">
        <v>925.86416385381699</v>
      </c>
      <c r="E488" s="92"/>
      <c r="F488" s="95">
        <v>-0.5</v>
      </c>
      <c r="G488" s="95"/>
      <c r="H488" s="96">
        <f t="shared" si="123"/>
        <v>-372</v>
      </c>
      <c r="I488" s="96">
        <f t="shared" si="123"/>
        <v>-463</v>
      </c>
      <c r="J488" s="92"/>
      <c r="K488" s="95">
        <f>K$460</f>
        <v>-0.5</v>
      </c>
      <c r="L488" s="95"/>
      <c r="M488" s="96">
        <f t="shared" si="124"/>
        <v>-463</v>
      </c>
    </row>
    <row r="489" spans="1:16">
      <c r="A489" s="93" t="s">
        <v>167</v>
      </c>
      <c r="C489" s="92">
        <v>96</v>
      </c>
      <c r="D489" s="92">
        <f>$C489</f>
        <v>96</v>
      </c>
      <c r="E489" s="92"/>
      <c r="F489" s="95">
        <v>-150</v>
      </c>
      <c r="G489" s="95"/>
      <c r="H489" s="96">
        <f>ROUND($F489*C489,0)</f>
        <v>-14400</v>
      </c>
      <c r="I489" s="96">
        <f t="shared" si="123"/>
        <v>-14400</v>
      </c>
      <c r="J489" s="92"/>
      <c r="K489" s="95">
        <f>K$461</f>
        <v>-150</v>
      </c>
      <c r="L489" s="95"/>
      <c r="M489" s="96">
        <f t="shared" si="124"/>
        <v>-14400</v>
      </c>
    </row>
    <row r="490" spans="1:16">
      <c r="A490" s="93" t="s">
        <v>122</v>
      </c>
      <c r="C490" s="92">
        <v>6137658.9035087703</v>
      </c>
      <c r="D490" s="92">
        <f t="shared" ref="D490:D492" si="125">ROUND($C490*D$498/$C$498,0)</f>
        <v>6512181</v>
      </c>
      <c r="E490" s="92"/>
      <c r="F490" s="147">
        <v>2.2799999999999998</v>
      </c>
      <c r="G490" s="147"/>
      <c r="H490" s="96">
        <f t="shared" si="123"/>
        <v>13993862</v>
      </c>
      <c r="I490" s="96">
        <f t="shared" si="123"/>
        <v>14847773</v>
      </c>
      <c r="J490" s="92"/>
      <c r="K490" s="147">
        <f>K$462</f>
        <v>2.4700000000000002</v>
      </c>
      <c r="L490" s="147"/>
      <c r="M490" s="96">
        <f t="shared" si="124"/>
        <v>16085087</v>
      </c>
    </row>
    <row r="491" spans="1:16">
      <c r="A491" s="93" t="s">
        <v>156</v>
      </c>
      <c r="C491" s="92">
        <v>1967075.9441730599</v>
      </c>
      <c r="D491" s="92">
        <f t="shared" si="125"/>
        <v>2087108</v>
      </c>
      <c r="E491" s="92"/>
      <c r="F491" s="147">
        <v>14.33</v>
      </c>
      <c r="G491" s="147"/>
      <c r="H491" s="96">
        <f t="shared" si="123"/>
        <v>28188198</v>
      </c>
      <c r="I491" s="96">
        <f t="shared" si="123"/>
        <v>29908258</v>
      </c>
      <c r="J491" s="92"/>
      <c r="K491" s="147">
        <f>K$463</f>
        <v>15.54</v>
      </c>
      <c r="L491" s="147"/>
      <c r="M491" s="96">
        <f t="shared" si="124"/>
        <v>32433658</v>
      </c>
    </row>
    <row r="492" spans="1:16">
      <c r="A492" s="93" t="s">
        <v>157</v>
      </c>
      <c r="C492" s="92">
        <v>3885025.0283911698</v>
      </c>
      <c r="D492" s="92">
        <f t="shared" si="125"/>
        <v>4122090</v>
      </c>
      <c r="E492" s="92"/>
      <c r="F492" s="147">
        <v>12.68</v>
      </c>
      <c r="G492" s="147"/>
      <c r="H492" s="96">
        <f t="shared" si="123"/>
        <v>49262117</v>
      </c>
      <c r="I492" s="96">
        <f t="shared" si="123"/>
        <v>52268101</v>
      </c>
      <c r="J492" s="92"/>
      <c r="K492" s="147">
        <f>K$464</f>
        <v>13.75</v>
      </c>
      <c r="L492" s="147"/>
      <c r="M492" s="96">
        <f t="shared" si="124"/>
        <v>56678738</v>
      </c>
    </row>
    <row r="493" spans="1:16">
      <c r="A493" s="93" t="s">
        <v>89</v>
      </c>
      <c r="C493" s="92">
        <v>238403103</v>
      </c>
      <c r="D493" s="92">
        <f>ROUND($C493*D$498/($C$498-$C$497),0)</f>
        <v>253011600</v>
      </c>
      <c r="E493" s="92"/>
      <c r="F493" s="155">
        <v>5.1477000000000004</v>
      </c>
      <c r="G493" s="120" t="s">
        <v>90</v>
      </c>
      <c r="H493" s="96">
        <f t="shared" ref="H493:I496" si="126">ROUND($F493*C493/100,0)</f>
        <v>12272277</v>
      </c>
      <c r="I493" s="96">
        <f t="shared" si="126"/>
        <v>13024278</v>
      </c>
      <c r="J493" s="92"/>
      <c r="K493" s="155">
        <f>K$465</f>
        <v>5.5841000000000003</v>
      </c>
      <c r="L493" s="120" t="s">
        <v>90</v>
      </c>
      <c r="M493" s="96">
        <f>ROUND($K493*D493/100,0)</f>
        <v>14128421</v>
      </c>
    </row>
    <row r="494" spans="1:16">
      <c r="A494" s="93" t="s">
        <v>92</v>
      </c>
      <c r="C494" s="92">
        <v>941118469</v>
      </c>
      <c r="D494" s="92">
        <f t="shared" ref="D494:D496" si="127">ROUND($C494*D$498/($C$498-$C$497),0)</f>
        <v>998786874</v>
      </c>
      <c r="E494" s="92"/>
      <c r="F494" s="155">
        <v>2.6164999999999998</v>
      </c>
      <c r="G494" s="120" t="s">
        <v>90</v>
      </c>
      <c r="H494" s="96">
        <f t="shared" si="126"/>
        <v>24624365</v>
      </c>
      <c r="I494" s="96">
        <f t="shared" si="126"/>
        <v>26133259</v>
      </c>
      <c r="J494" s="92"/>
      <c r="K494" s="155">
        <f>K$466</f>
        <v>2.8382999999999998</v>
      </c>
      <c r="L494" s="120" t="s">
        <v>90</v>
      </c>
      <c r="M494" s="96">
        <f>ROUND($K494*D494/100,0)</f>
        <v>28348568</v>
      </c>
    </row>
    <row r="495" spans="1:16">
      <c r="A495" s="93" t="s">
        <v>159</v>
      </c>
      <c r="C495" s="92">
        <v>470014486</v>
      </c>
      <c r="D495" s="92">
        <f t="shared" si="127"/>
        <v>498815308</v>
      </c>
      <c r="E495" s="92"/>
      <c r="F495" s="155">
        <v>4.5555000000000003</v>
      </c>
      <c r="G495" s="120" t="s">
        <v>90</v>
      </c>
      <c r="H495" s="96">
        <f t="shared" si="126"/>
        <v>21411510</v>
      </c>
      <c r="I495" s="96">
        <f t="shared" si="126"/>
        <v>22723531</v>
      </c>
      <c r="J495" s="92"/>
      <c r="K495" s="155">
        <f>K$467</f>
        <v>4.9417</v>
      </c>
      <c r="L495" s="120" t="s">
        <v>90</v>
      </c>
      <c r="M495" s="96">
        <f>ROUND($K495*D495/100,0)</f>
        <v>24649956</v>
      </c>
    </row>
    <row r="496" spans="1:16">
      <c r="A496" s="93" t="s">
        <v>161</v>
      </c>
      <c r="C496" s="92">
        <v>1830322464</v>
      </c>
      <c r="D496" s="92">
        <f t="shared" si="127"/>
        <v>1942478140</v>
      </c>
      <c r="E496" s="92"/>
      <c r="F496" s="155">
        <v>2.3155000000000001</v>
      </c>
      <c r="G496" s="120" t="s">
        <v>90</v>
      </c>
      <c r="H496" s="96">
        <f t="shared" si="126"/>
        <v>42381117</v>
      </c>
      <c r="I496" s="96">
        <f t="shared" si="126"/>
        <v>44978081</v>
      </c>
      <c r="J496" s="92"/>
      <c r="K496" s="155">
        <f>K$468</f>
        <v>2.5118</v>
      </c>
      <c r="L496" s="120" t="s">
        <v>90</v>
      </c>
      <c r="M496" s="96">
        <f>ROUND($K496*D496/100,0)</f>
        <v>48791166</v>
      </c>
    </row>
    <row r="497" spans="1:16">
      <c r="A497" s="129" t="s">
        <v>103</v>
      </c>
      <c r="B497" s="130"/>
      <c r="C497" s="92">
        <v>840063</v>
      </c>
      <c r="D497" s="92"/>
      <c r="E497" s="92"/>
      <c r="F497" s="131"/>
      <c r="G497" s="9"/>
      <c r="H497" s="96">
        <v>435518</v>
      </c>
      <c r="I497" s="96"/>
      <c r="J497" s="92"/>
      <c r="K497" s="131"/>
      <c r="L497" s="9"/>
      <c r="M497" s="96"/>
      <c r="N497" s="121"/>
      <c r="O497" s="121"/>
      <c r="P497" s="121"/>
    </row>
    <row r="498" spans="1:16" ht="16.5" thickBot="1">
      <c r="A498" s="133" t="s">
        <v>105</v>
      </c>
      <c r="B498" s="134"/>
      <c r="C498" s="135">
        <f>SUM(C493:C497)</f>
        <v>3480698585</v>
      </c>
      <c r="D498" s="135">
        <v>3693091922.9111786</v>
      </c>
      <c r="E498" s="135"/>
      <c r="F498" s="134"/>
      <c r="G498" s="134"/>
      <c r="H498" s="136">
        <f>SUM(H487:H497)</f>
        <v>192894719</v>
      </c>
      <c r="I498" s="136">
        <f>SUM(I487:I497)</f>
        <v>204222730</v>
      </c>
      <c r="J498" s="135"/>
      <c r="K498" s="134"/>
      <c r="L498" s="134"/>
      <c r="M498" s="136">
        <f>SUM(M487:M497)</f>
        <v>221632199</v>
      </c>
      <c r="O498" s="72" t="s">
        <v>86</v>
      </c>
      <c r="P498" s="121">
        <f>M498/I498-1</f>
        <v>8.5247459966870442E-2</v>
      </c>
    </row>
    <row r="499" spans="1:16" ht="16.5" thickTop="1">
      <c r="C499" s="92"/>
      <c r="D499" s="92"/>
      <c r="E499" s="92"/>
      <c r="J499" s="92"/>
    </row>
    <row r="500" spans="1:16">
      <c r="A500" s="90" t="s">
        <v>173</v>
      </c>
      <c r="C500" s="92"/>
      <c r="D500" s="92"/>
      <c r="E500" s="92"/>
      <c r="F500" s="150"/>
      <c r="G500" s="150"/>
      <c r="J500" s="92"/>
      <c r="K500" s="150"/>
      <c r="L500" s="150"/>
      <c r="P500" s="72">
        <v>-5.6174700000000003E-3</v>
      </c>
    </row>
    <row r="501" spans="1:16">
      <c r="A501" s="93" t="s">
        <v>121</v>
      </c>
      <c r="C501" s="92">
        <f>C514+C527</f>
        <v>96</v>
      </c>
      <c r="D501" s="92">
        <f>D514+D527</f>
        <v>96</v>
      </c>
      <c r="E501" s="92"/>
      <c r="F501" s="95">
        <v>266</v>
      </c>
      <c r="G501" s="95"/>
      <c r="H501" s="96">
        <f t="shared" ref="H501:I505" si="128">ROUND($F501*C501,0)</f>
        <v>25536</v>
      </c>
      <c r="I501" s="96">
        <f t="shared" si="128"/>
        <v>25536</v>
      </c>
      <c r="J501" s="92"/>
      <c r="K501" s="147">
        <f>K$459</f>
        <v>399</v>
      </c>
      <c r="L501" s="95"/>
      <c r="M501" s="96">
        <f>ROUND($K501*D501,0)</f>
        <v>38304</v>
      </c>
    </row>
    <row r="502" spans="1:16">
      <c r="A502" s="93" t="s">
        <v>87</v>
      </c>
      <c r="C502" s="92">
        <f t="shared" ref="C502:D511" si="129">C515+C528</f>
        <v>68</v>
      </c>
      <c r="D502" s="92">
        <f t="shared" si="129"/>
        <v>66.72894874622105</v>
      </c>
      <c r="E502" s="92"/>
      <c r="F502" s="95">
        <v>-0.5</v>
      </c>
      <c r="G502" s="95"/>
      <c r="H502" s="96">
        <f t="shared" si="128"/>
        <v>-34</v>
      </c>
      <c r="I502" s="96">
        <f t="shared" si="128"/>
        <v>-33</v>
      </c>
      <c r="J502" s="92"/>
      <c r="K502" s="95">
        <f>K$460</f>
        <v>-0.5</v>
      </c>
      <c r="L502" s="95"/>
      <c r="M502" s="96">
        <f>ROUND($K502*D502,0)</f>
        <v>-33</v>
      </c>
    </row>
    <row r="503" spans="1:16">
      <c r="A503" s="93" t="s">
        <v>122</v>
      </c>
      <c r="C503" s="92">
        <f t="shared" si="129"/>
        <v>239817</v>
      </c>
      <c r="D503" s="92">
        <f t="shared" si="129"/>
        <v>242076</v>
      </c>
      <c r="E503" s="92"/>
      <c r="F503" s="95">
        <v>2.2799999999999998</v>
      </c>
      <c r="G503" s="95"/>
      <c r="H503" s="96">
        <f t="shared" si="128"/>
        <v>546783</v>
      </c>
      <c r="I503" s="96">
        <f t="shared" si="128"/>
        <v>551933</v>
      </c>
      <c r="J503" s="92"/>
      <c r="K503" s="147">
        <f>K$462</f>
        <v>2.4700000000000002</v>
      </c>
      <c r="L503" s="95"/>
      <c r="M503" s="96">
        <f>ROUND($K503*D503,0)</f>
        <v>597928</v>
      </c>
      <c r="O503" s="121"/>
    </row>
    <row r="504" spans="1:16">
      <c r="A504" s="93" t="s">
        <v>156</v>
      </c>
      <c r="C504" s="92">
        <f t="shared" si="129"/>
        <v>64724.492600422796</v>
      </c>
      <c r="D504" s="92">
        <f t="shared" si="129"/>
        <v>64871</v>
      </c>
      <c r="E504" s="92"/>
      <c r="F504" s="168">
        <v>4.7300000000000004</v>
      </c>
      <c r="G504" s="120"/>
      <c r="H504" s="96">
        <f t="shared" si="128"/>
        <v>306147</v>
      </c>
      <c r="I504" s="96">
        <f t="shared" si="128"/>
        <v>306840</v>
      </c>
      <c r="J504" s="92"/>
      <c r="K504" s="147">
        <f>ROUND(K$463*O504,2)</f>
        <v>7.77</v>
      </c>
      <c r="L504" s="120"/>
      <c r="M504" s="96">
        <f>ROUND($K504*D504,0)</f>
        <v>504048</v>
      </c>
      <c r="O504" s="121">
        <v>0.5</v>
      </c>
    </row>
    <row r="505" spans="1:16">
      <c r="A505" s="93" t="s">
        <v>157</v>
      </c>
      <c r="C505" s="92">
        <f t="shared" si="129"/>
        <v>148023.50478468891</v>
      </c>
      <c r="D505" s="92">
        <f t="shared" si="129"/>
        <v>149808</v>
      </c>
      <c r="E505" s="92"/>
      <c r="F505" s="168">
        <v>4.18</v>
      </c>
      <c r="G505" s="120"/>
      <c r="H505" s="96">
        <f t="shared" si="128"/>
        <v>618738</v>
      </c>
      <c r="I505" s="96">
        <f t="shared" si="128"/>
        <v>626197</v>
      </c>
      <c r="J505" s="92"/>
      <c r="K505" s="147">
        <f>ROUND(K$464*O505,2)</f>
        <v>6.88</v>
      </c>
      <c r="L505" s="120"/>
      <c r="M505" s="96">
        <f>ROUND($K505*D505,0)</f>
        <v>1030679</v>
      </c>
      <c r="O505" s="121">
        <v>0.5</v>
      </c>
    </row>
    <row r="506" spans="1:16">
      <c r="A506" s="93" t="s">
        <v>89</v>
      </c>
      <c r="C506" s="92">
        <f t="shared" si="129"/>
        <v>2933690</v>
      </c>
      <c r="D506" s="92">
        <f t="shared" si="129"/>
        <v>3215599</v>
      </c>
      <c r="E506" s="92"/>
      <c r="F506" s="168">
        <v>5.1477000000000004</v>
      </c>
      <c r="G506" s="120" t="s">
        <v>90</v>
      </c>
      <c r="H506" s="96">
        <f t="shared" ref="H506:I509" si="130">ROUND($F506*C506/100,0)</f>
        <v>151018</v>
      </c>
      <c r="I506" s="96">
        <f t="shared" si="130"/>
        <v>165529</v>
      </c>
      <c r="J506" s="92"/>
      <c r="K506" s="155">
        <f>K$465</f>
        <v>5.5841000000000003</v>
      </c>
      <c r="L506" s="120" t="s">
        <v>90</v>
      </c>
      <c r="M506" s="96">
        <f>ROUND($K506*D506/100,0)</f>
        <v>179562</v>
      </c>
    </row>
    <row r="507" spans="1:16">
      <c r="A507" s="93" t="s">
        <v>92</v>
      </c>
      <c r="C507" s="92">
        <f t="shared" si="129"/>
        <v>10499144</v>
      </c>
      <c r="D507" s="92">
        <f t="shared" si="129"/>
        <v>11286493</v>
      </c>
      <c r="E507" s="92"/>
      <c r="F507" s="168">
        <v>2.6164999999999998</v>
      </c>
      <c r="G507" s="120" t="s">
        <v>90</v>
      </c>
      <c r="H507" s="96">
        <f t="shared" si="130"/>
        <v>274710</v>
      </c>
      <c r="I507" s="96">
        <f t="shared" si="130"/>
        <v>295311</v>
      </c>
      <c r="J507" s="92"/>
      <c r="K507" s="155">
        <f>K$466</f>
        <v>2.8382999999999998</v>
      </c>
      <c r="L507" s="120" t="s">
        <v>90</v>
      </c>
      <c r="M507" s="96">
        <f>ROUND($K507*D507/100,0)</f>
        <v>320345</v>
      </c>
    </row>
    <row r="508" spans="1:16">
      <c r="A508" s="93" t="s">
        <v>159</v>
      </c>
      <c r="C508" s="92">
        <f t="shared" si="129"/>
        <v>5250295</v>
      </c>
      <c r="D508" s="92">
        <f t="shared" si="129"/>
        <v>5801457</v>
      </c>
      <c r="E508" s="92"/>
      <c r="F508" s="168">
        <v>4.5555000000000003</v>
      </c>
      <c r="G508" s="120" t="s">
        <v>90</v>
      </c>
      <c r="H508" s="96">
        <f t="shared" si="130"/>
        <v>239177</v>
      </c>
      <c r="I508" s="96">
        <f t="shared" si="130"/>
        <v>264285</v>
      </c>
      <c r="J508" s="92"/>
      <c r="K508" s="155">
        <f>K$467</f>
        <v>4.9417</v>
      </c>
      <c r="L508" s="120" t="s">
        <v>90</v>
      </c>
      <c r="M508" s="96">
        <f>ROUND($K508*D508/100,0)</f>
        <v>286691</v>
      </c>
    </row>
    <row r="509" spans="1:16">
      <c r="A509" s="93" t="s">
        <v>161</v>
      </c>
      <c r="C509" s="92">
        <f t="shared" si="129"/>
        <v>22609899</v>
      </c>
      <c r="D509" s="92">
        <f t="shared" si="129"/>
        <v>25145182</v>
      </c>
      <c r="E509" s="92"/>
      <c r="F509" s="168">
        <v>2.3155000000000001</v>
      </c>
      <c r="G509" s="120" t="s">
        <v>90</v>
      </c>
      <c r="H509" s="96">
        <f t="shared" si="130"/>
        <v>523532</v>
      </c>
      <c r="I509" s="96">
        <f t="shared" si="130"/>
        <v>582237</v>
      </c>
      <c r="J509" s="92"/>
      <c r="K509" s="155">
        <f>K$468</f>
        <v>2.5118</v>
      </c>
      <c r="L509" s="120" t="s">
        <v>90</v>
      </c>
      <c r="M509" s="96">
        <f>ROUND($K509*D509/100,0)</f>
        <v>631597</v>
      </c>
    </row>
    <row r="510" spans="1:16">
      <c r="A510" s="129" t="s">
        <v>103</v>
      </c>
      <c r="B510" s="130"/>
      <c r="C510" s="92">
        <f t="shared" si="129"/>
        <v>188253</v>
      </c>
      <c r="D510" s="92">
        <f t="shared" si="129"/>
        <v>0</v>
      </c>
      <c r="E510" s="92"/>
      <c r="F510" s="131"/>
      <c r="G510" s="9"/>
      <c r="H510" s="96">
        <f>H523+H536</f>
        <v>12266</v>
      </c>
      <c r="I510" s="96"/>
      <c r="J510" s="92"/>
      <c r="K510" s="131"/>
      <c r="L510" s="9"/>
      <c r="M510" s="96"/>
      <c r="N510" s="121"/>
      <c r="O510" s="121"/>
      <c r="P510" s="121"/>
    </row>
    <row r="511" spans="1:16" ht="16.5" thickBot="1">
      <c r="A511" s="133" t="s">
        <v>105</v>
      </c>
      <c r="B511" s="134"/>
      <c r="C511" s="135">
        <f t="shared" si="129"/>
        <v>41481281</v>
      </c>
      <c r="D511" s="135">
        <f t="shared" si="129"/>
        <v>45448731.5</v>
      </c>
      <c r="E511" s="135"/>
      <c r="F511" s="134"/>
      <c r="G511" s="134"/>
      <c r="H511" s="136">
        <f>SUM(H501:H510)</f>
        <v>2697873</v>
      </c>
      <c r="I511" s="136">
        <f>SUM(I501:I510)</f>
        <v>2817835</v>
      </c>
      <c r="J511" s="135"/>
      <c r="K511" s="134"/>
      <c r="L511" s="134"/>
      <c r="M511" s="136">
        <f>SUM(M501:M510)</f>
        <v>3589121</v>
      </c>
      <c r="O511" s="72" t="s">
        <v>86</v>
      </c>
      <c r="P511" s="121">
        <f>M511/I511-1</f>
        <v>0.27371581373643239</v>
      </c>
    </row>
    <row r="512" spans="1:16" ht="16.5" thickTop="1">
      <c r="C512" s="92"/>
      <c r="D512" s="92"/>
      <c r="E512" s="92"/>
      <c r="J512" s="92"/>
    </row>
    <row r="513" spans="1:16">
      <c r="A513" s="90" t="s">
        <v>449</v>
      </c>
      <c r="C513" s="92"/>
      <c r="D513" s="92"/>
      <c r="E513" s="92"/>
      <c r="F513" s="150"/>
      <c r="G513" s="150"/>
      <c r="J513" s="92"/>
      <c r="K513" s="150"/>
      <c r="L513" s="150"/>
    </row>
    <row r="514" spans="1:16">
      <c r="A514" s="93" t="s">
        <v>121</v>
      </c>
      <c r="C514" s="92">
        <v>24</v>
      </c>
      <c r="D514" s="92">
        <v>24</v>
      </c>
      <c r="E514" s="92"/>
      <c r="F514" s="95">
        <v>266</v>
      </c>
      <c r="G514" s="95"/>
      <c r="H514" s="96">
        <f t="shared" ref="H514:I518" si="131">ROUND($F514*C514,0)</f>
        <v>6384</v>
      </c>
      <c r="I514" s="96">
        <f t="shared" si="131"/>
        <v>6384</v>
      </c>
      <c r="J514" s="92"/>
      <c r="K514" s="95">
        <f>K$501</f>
        <v>399</v>
      </c>
      <c r="L514" s="95"/>
      <c r="M514" s="96">
        <f>ROUND($K514*D514,0)</f>
        <v>9576</v>
      </c>
    </row>
    <row r="515" spans="1:16">
      <c r="A515" s="93" t="s">
        <v>87</v>
      </c>
      <c r="C515" s="92">
        <v>12</v>
      </c>
      <c r="D515" s="92">
        <v>16.682237186555263</v>
      </c>
      <c r="E515" s="92"/>
      <c r="F515" s="95">
        <v>-0.5</v>
      </c>
      <c r="G515" s="95"/>
      <c r="H515" s="96">
        <f t="shared" si="131"/>
        <v>-6</v>
      </c>
      <c r="I515" s="96">
        <f t="shared" si="131"/>
        <v>-8</v>
      </c>
      <c r="J515" s="92"/>
      <c r="K515" s="95">
        <f>K$502</f>
        <v>-0.5</v>
      </c>
      <c r="L515" s="95"/>
      <c r="M515" s="96">
        <f>ROUND($K515*D515,0)</f>
        <v>-8</v>
      </c>
    </row>
    <row r="516" spans="1:16">
      <c r="A516" s="93" t="s">
        <v>122</v>
      </c>
      <c r="C516" s="92">
        <v>75938</v>
      </c>
      <c r="D516" s="92">
        <f t="shared" ref="D516:D518" si="132">ROUND($C516*D$524/$C$524,0)</f>
        <v>93233</v>
      </c>
      <c r="E516" s="92"/>
      <c r="F516" s="95">
        <v>2.2799999999999998</v>
      </c>
      <c r="G516" s="95"/>
      <c r="H516" s="96">
        <f t="shared" si="131"/>
        <v>173139</v>
      </c>
      <c r="I516" s="96">
        <f t="shared" si="131"/>
        <v>212571</v>
      </c>
      <c r="J516" s="92"/>
      <c r="K516" s="95">
        <f>K$503</f>
        <v>2.4700000000000002</v>
      </c>
      <c r="L516" s="95"/>
      <c r="M516" s="96">
        <f>ROUND($K516*D516,0)</f>
        <v>230286</v>
      </c>
    </row>
    <row r="517" spans="1:16">
      <c r="A517" s="93" t="s">
        <v>156</v>
      </c>
      <c r="C517" s="92">
        <v>19047.137420718798</v>
      </c>
      <c r="D517" s="92">
        <f t="shared" si="132"/>
        <v>23385</v>
      </c>
      <c r="E517" s="92"/>
      <c r="F517" s="168">
        <v>4.7300000000000004</v>
      </c>
      <c r="G517" s="120"/>
      <c r="H517" s="96">
        <f t="shared" si="131"/>
        <v>90093</v>
      </c>
      <c r="I517" s="96">
        <f t="shared" si="131"/>
        <v>110611</v>
      </c>
      <c r="J517" s="92"/>
      <c r="K517" s="168">
        <f>K$504</f>
        <v>7.77</v>
      </c>
      <c r="L517" s="120"/>
      <c r="M517" s="96">
        <f>ROUND($K517*D517,0)</f>
        <v>181701</v>
      </c>
    </row>
    <row r="518" spans="1:16">
      <c r="A518" s="93" t="s">
        <v>157</v>
      </c>
      <c r="C518" s="92">
        <v>48092.861244019099</v>
      </c>
      <c r="D518" s="92">
        <f t="shared" si="132"/>
        <v>59046</v>
      </c>
      <c r="E518" s="92"/>
      <c r="F518" s="168">
        <v>4.18</v>
      </c>
      <c r="G518" s="120"/>
      <c r="H518" s="96">
        <f t="shared" si="131"/>
        <v>201028</v>
      </c>
      <c r="I518" s="96">
        <f t="shared" si="131"/>
        <v>246812</v>
      </c>
      <c r="J518" s="92"/>
      <c r="K518" s="168">
        <f>K$505</f>
        <v>6.88</v>
      </c>
      <c r="L518" s="120"/>
      <c r="M518" s="96">
        <f>ROUND($K518*D518,0)</f>
        <v>406236</v>
      </c>
    </row>
    <row r="519" spans="1:16">
      <c r="A519" s="93" t="s">
        <v>89</v>
      </c>
      <c r="C519" s="92">
        <v>1674832</v>
      </c>
      <c r="D519" s="92">
        <f>ROUND($C519*D$524/($C$524-$C$523),0)</f>
        <v>2071968</v>
      </c>
      <c r="E519" s="92"/>
      <c r="F519" s="168">
        <v>5.1477000000000004</v>
      </c>
      <c r="G519" s="120" t="s">
        <v>90</v>
      </c>
      <c r="H519" s="96">
        <f t="shared" ref="H519:I522" si="133">ROUND($F519*C519/100,0)</f>
        <v>86215</v>
      </c>
      <c r="I519" s="96">
        <f t="shared" si="133"/>
        <v>106659</v>
      </c>
      <c r="J519" s="92"/>
      <c r="K519" s="168">
        <f>K$506</f>
        <v>5.5841000000000003</v>
      </c>
      <c r="L519" s="120" t="s">
        <v>90</v>
      </c>
      <c r="M519" s="96">
        <f>ROUND($K519*D519/100,0)</f>
        <v>115701</v>
      </c>
    </row>
    <row r="520" spans="1:16">
      <c r="A520" s="93" t="s">
        <v>92</v>
      </c>
      <c r="C520" s="92">
        <v>5319801</v>
      </c>
      <c r="D520" s="92">
        <f t="shared" ref="D520:D522" si="134">ROUND($C520*D$524/($C$524-$C$523),0)</f>
        <v>6581233</v>
      </c>
      <c r="E520" s="92"/>
      <c r="F520" s="168">
        <v>2.6164999999999998</v>
      </c>
      <c r="G520" s="120" t="s">
        <v>90</v>
      </c>
      <c r="H520" s="96">
        <f t="shared" si="133"/>
        <v>139193</v>
      </c>
      <c r="I520" s="96">
        <f t="shared" si="133"/>
        <v>172198</v>
      </c>
      <c r="J520" s="92"/>
      <c r="K520" s="168">
        <f>K$507</f>
        <v>2.8382999999999998</v>
      </c>
      <c r="L520" s="120" t="s">
        <v>90</v>
      </c>
      <c r="M520" s="96">
        <f>ROUND($K520*D520/100,0)</f>
        <v>186795</v>
      </c>
    </row>
    <row r="521" spans="1:16">
      <c r="A521" s="93" t="s">
        <v>159</v>
      </c>
      <c r="C521" s="92">
        <v>3139292</v>
      </c>
      <c r="D521" s="92">
        <f t="shared" si="134"/>
        <v>3883681</v>
      </c>
      <c r="E521" s="92"/>
      <c r="F521" s="168">
        <v>4.5555000000000003</v>
      </c>
      <c r="G521" s="120" t="s">
        <v>90</v>
      </c>
      <c r="H521" s="96">
        <f t="shared" si="133"/>
        <v>143010</v>
      </c>
      <c r="I521" s="96">
        <f t="shared" si="133"/>
        <v>176921</v>
      </c>
      <c r="J521" s="92"/>
      <c r="K521" s="168">
        <f>K$508</f>
        <v>4.9417</v>
      </c>
      <c r="L521" s="120" t="s">
        <v>90</v>
      </c>
      <c r="M521" s="96">
        <f>ROUND($K521*D521/100,0)</f>
        <v>191920</v>
      </c>
    </row>
    <row r="522" spans="1:16">
      <c r="A522" s="93" t="s">
        <v>161</v>
      </c>
      <c r="C522" s="92">
        <v>14011241</v>
      </c>
      <c r="D522" s="92">
        <f t="shared" si="134"/>
        <v>17333588</v>
      </c>
      <c r="E522" s="92"/>
      <c r="F522" s="168">
        <v>2.3155000000000001</v>
      </c>
      <c r="G522" s="120" t="s">
        <v>90</v>
      </c>
      <c r="H522" s="96">
        <f t="shared" si="133"/>
        <v>324430</v>
      </c>
      <c r="I522" s="96">
        <f t="shared" si="133"/>
        <v>401359</v>
      </c>
      <c r="J522" s="92"/>
      <c r="K522" s="168">
        <f>K$509</f>
        <v>2.5118</v>
      </c>
      <c r="L522" s="120" t="s">
        <v>90</v>
      </c>
      <c r="M522" s="96">
        <f>ROUND($K522*D522/100,0)</f>
        <v>435385</v>
      </c>
    </row>
    <row r="523" spans="1:16">
      <c r="A523" s="129" t="s">
        <v>103</v>
      </c>
      <c r="B523" s="130"/>
      <c r="C523" s="92">
        <v>184113</v>
      </c>
      <c r="D523" s="92"/>
      <c r="E523" s="92"/>
      <c r="F523" s="131"/>
      <c r="G523" s="9"/>
      <c r="H523" s="96">
        <v>8821</v>
      </c>
      <c r="I523" s="96"/>
      <c r="J523" s="92"/>
      <c r="K523" s="131"/>
      <c r="L523" s="9"/>
      <c r="M523" s="96"/>
      <c r="N523" s="121"/>
      <c r="O523" s="121"/>
      <c r="P523" s="121"/>
    </row>
    <row r="524" spans="1:16" ht="16.5" thickBot="1">
      <c r="A524" s="133" t="s">
        <v>105</v>
      </c>
      <c r="B524" s="134"/>
      <c r="C524" s="135">
        <f>SUM(C519:C523)</f>
        <v>24329279</v>
      </c>
      <c r="D524" s="135">
        <v>29870470.5</v>
      </c>
      <c r="E524" s="135"/>
      <c r="F524" s="134"/>
      <c r="G524" s="134"/>
      <c r="H524" s="136">
        <f>SUM(H514:H523)</f>
        <v>1172307</v>
      </c>
      <c r="I524" s="136">
        <f>SUM(I514:I523)</f>
        <v>1433507</v>
      </c>
      <c r="J524" s="135"/>
      <c r="K524" s="134"/>
      <c r="L524" s="134"/>
      <c r="M524" s="136">
        <f>SUM(M514:M523)</f>
        <v>1757592</v>
      </c>
      <c r="O524" s="72" t="s">
        <v>86</v>
      </c>
      <c r="P524" s="121">
        <f>M524/I524-1</f>
        <v>0.22607842166100345</v>
      </c>
    </row>
    <row r="525" spans="1:16" ht="16.5" thickTop="1">
      <c r="C525" s="92"/>
      <c r="D525" s="92"/>
      <c r="E525" s="92"/>
      <c r="J525" s="92"/>
    </row>
    <row r="526" spans="1:16">
      <c r="A526" s="90" t="s">
        <v>450</v>
      </c>
      <c r="C526" s="92"/>
      <c r="D526" s="92"/>
      <c r="E526" s="92"/>
      <c r="F526" s="150"/>
      <c r="G526" s="150"/>
      <c r="J526" s="92"/>
      <c r="K526" s="150"/>
      <c r="L526" s="150"/>
    </row>
    <row r="527" spans="1:16">
      <c r="A527" s="93" t="s">
        <v>121</v>
      </c>
      <c r="C527" s="92">
        <v>72</v>
      </c>
      <c r="D527" s="92">
        <v>72</v>
      </c>
      <c r="E527" s="92"/>
      <c r="F527" s="95">
        <v>266</v>
      </c>
      <c r="G527" s="147"/>
      <c r="H527" s="96">
        <f t="shared" ref="H527:I531" si="135">ROUND($F527*C527,0)</f>
        <v>19152</v>
      </c>
      <c r="I527" s="96">
        <f t="shared" si="135"/>
        <v>19152</v>
      </c>
      <c r="J527" s="92"/>
      <c r="K527" s="95">
        <f>K$501</f>
        <v>399</v>
      </c>
      <c r="L527" s="147"/>
      <c r="M527" s="96">
        <f>ROUND($K527*D527,0)</f>
        <v>28728</v>
      </c>
    </row>
    <row r="528" spans="1:16">
      <c r="A528" s="93" t="s">
        <v>87</v>
      </c>
      <c r="C528" s="92">
        <v>56</v>
      </c>
      <c r="D528" s="92">
        <v>50.046711559665788</v>
      </c>
      <c r="E528" s="92"/>
      <c r="F528" s="95">
        <v>-0.5</v>
      </c>
      <c r="G528" s="95"/>
      <c r="H528" s="96">
        <f t="shared" si="135"/>
        <v>-28</v>
      </c>
      <c r="I528" s="96">
        <f t="shared" si="135"/>
        <v>-25</v>
      </c>
      <c r="J528" s="92"/>
      <c r="K528" s="95">
        <f>K$502</f>
        <v>-0.5</v>
      </c>
      <c r="L528" s="95"/>
      <c r="M528" s="96">
        <f>ROUND($K528*D528,0)</f>
        <v>-25</v>
      </c>
    </row>
    <row r="529" spans="1:16">
      <c r="A529" s="93" t="s">
        <v>122</v>
      </c>
      <c r="C529" s="92">
        <v>163879</v>
      </c>
      <c r="D529" s="92">
        <f t="shared" ref="D529:D531" si="136">ROUND($C529*D$537/$C$537,0)</f>
        <v>148843</v>
      </c>
      <c r="E529" s="92"/>
      <c r="F529" s="95">
        <v>2.2799999999999998</v>
      </c>
      <c r="G529" s="147"/>
      <c r="H529" s="96">
        <f t="shared" si="135"/>
        <v>373644</v>
      </c>
      <c r="I529" s="96">
        <f t="shared" si="135"/>
        <v>339362</v>
      </c>
      <c r="J529" s="92"/>
      <c r="K529" s="95">
        <f>K$503</f>
        <v>2.4700000000000002</v>
      </c>
      <c r="L529" s="147"/>
      <c r="M529" s="96">
        <f>ROUND($K529*D529,0)</f>
        <v>367642</v>
      </c>
    </row>
    <row r="530" spans="1:16">
      <c r="A530" s="93" t="s">
        <v>156</v>
      </c>
      <c r="C530" s="92">
        <v>45677.355179703998</v>
      </c>
      <c r="D530" s="92">
        <f t="shared" si="136"/>
        <v>41486</v>
      </c>
      <c r="E530" s="92"/>
      <c r="F530" s="168">
        <v>4.7300000000000004</v>
      </c>
      <c r="G530" s="120"/>
      <c r="H530" s="96">
        <f t="shared" si="135"/>
        <v>216054</v>
      </c>
      <c r="I530" s="96">
        <f t="shared" si="135"/>
        <v>196229</v>
      </c>
      <c r="J530" s="92"/>
      <c r="K530" s="168">
        <f>K$504</f>
        <v>7.77</v>
      </c>
      <c r="L530" s="120"/>
      <c r="M530" s="96">
        <f>ROUND($K530*D530,0)</f>
        <v>322346</v>
      </c>
    </row>
    <row r="531" spans="1:16">
      <c r="A531" s="93" t="s">
        <v>157</v>
      </c>
      <c r="C531" s="92">
        <v>99930.6435406698</v>
      </c>
      <c r="D531" s="92">
        <f t="shared" si="136"/>
        <v>90762</v>
      </c>
      <c r="E531" s="92"/>
      <c r="F531" s="168">
        <v>4.18</v>
      </c>
      <c r="G531" s="120"/>
      <c r="H531" s="96">
        <f t="shared" si="135"/>
        <v>417710</v>
      </c>
      <c r="I531" s="96">
        <f t="shared" si="135"/>
        <v>379385</v>
      </c>
      <c r="J531" s="92"/>
      <c r="K531" s="168">
        <f>K$505</f>
        <v>6.88</v>
      </c>
      <c r="L531" s="120"/>
      <c r="M531" s="96">
        <f>ROUND($K531*D531,0)</f>
        <v>624443</v>
      </c>
    </row>
    <row r="532" spans="1:16">
      <c r="A532" s="93" t="s">
        <v>89</v>
      </c>
      <c r="C532" s="92">
        <v>1258858</v>
      </c>
      <c r="D532" s="92">
        <f>ROUND($C532*D$537/($C$537-$C$536),0)</f>
        <v>1143631</v>
      </c>
      <c r="E532" s="92"/>
      <c r="F532" s="168">
        <v>5.1477000000000004</v>
      </c>
      <c r="G532" s="120" t="s">
        <v>90</v>
      </c>
      <c r="H532" s="96">
        <f t="shared" ref="H532:I535" si="137">ROUND($F532*C532/100,0)</f>
        <v>64802</v>
      </c>
      <c r="I532" s="96">
        <f t="shared" si="137"/>
        <v>58871</v>
      </c>
      <c r="J532" s="92"/>
      <c r="K532" s="168">
        <f>K$506</f>
        <v>5.5841000000000003</v>
      </c>
      <c r="L532" s="120" t="s">
        <v>90</v>
      </c>
      <c r="M532" s="96">
        <f>ROUND($K532*D532/100,0)</f>
        <v>63861</v>
      </c>
    </row>
    <row r="533" spans="1:16">
      <c r="A533" s="93" t="s">
        <v>92</v>
      </c>
      <c r="C533" s="92">
        <v>5179343</v>
      </c>
      <c r="D533" s="92">
        <f t="shared" ref="D533:D535" si="138">ROUND($C533*D$537/($C$537-$C$536),0)</f>
        <v>4705260</v>
      </c>
      <c r="E533" s="92"/>
      <c r="F533" s="168">
        <v>2.6164999999999998</v>
      </c>
      <c r="G533" s="120" t="s">
        <v>90</v>
      </c>
      <c r="H533" s="96">
        <f t="shared" si="137"/>
        <v>135518</v>
      </c>
      <c r="I533" s="96">
        <f t="shared" si="137"/>
        <v>123113</v>
      </c>
      <c r="J533" s="92"/>
      <c r="K533" s="168">
        <f>K$507</f>
        <v>2.8382999999999998</v>
      </c>
      <c r="L533" s="120" t="s">
        <v>90</v>
      </c>
      <c r="M533" s="96">
        <f>ROUND($K533*D533/100,0)</f>
        <v>133549</v>
      </c>
    </row>
    <row r="534" spans="1:16">
      <c r="A534" s="93" t="s">
        <v>159</v>
      </c>
      <c r="C534" s="92">
        <v>2111003</v>
      </c>
      <c r="D534" s="92">
        <f t="shared" si="138"/>
        <v>1917776</v>
      </c>
      <c r="E534" s="92"/>
      <c r="F534" s="168">
        <v>4.5555000000000003</v>
      </c>
      <c r="G534" s="120" t="s">
        <v>90</v>
      </c>
      <c r="H534" s="96">
        <f t="shared" si="137"/>
        <v>96167</v>
      </c>
      <c r="I534" s="96">
        <f t="shared" si="137"/>
        <v>87364</v>
      </c>
      <c r="J534" s="92"/>
      <c r="K534" s="168">
        <f>K$508</f>
        <v>4.9417</v>
      </c>
      <c r="L534" s="120" t="s">
        <v>90</v>
      </c>
      <c r="M534" s="96">
        <f>ROUND($K534*D534/100,0)</f>
        <v>94771</v>
      </c>
    </row>
    <row r="535" spans="1:16">
      <c r="A535" s="93" t="s">
        <v>161</v>
      </c>
      <c r="C535" s="92">
        <v>8598658</v>
      </c>
      <c r="D535" s="92">
        <f t="shared" si="138"/>
        <v>7811594</v>
      </c>
      <c r="E535" s="92"/>
      <c r="F535" s="168">
        <v>2.3155000000000001</v>
      </c>
      <c r="G535" s="120" t="s">
        <v>90</v>
      </c>
      <c r="H535" s="96">
        <f t="shared" si="137"/>
        <v>199102</v>
      </c>
      <c r="I535" s="96">
        <f t="shared" si="137"/>
        <v>180877</v>
      </c>
      <c r="J535" s="92"/>
      <c r="K535" s="168">
        <f>K$509</f>
        <v>2.5118</v>
      </c>
      <c r="L535" s="120" t="s">
        <v>90</v>
      </c>
      <c r="M535" s="96">
        <f>ROUND($K535*D535/100,0)</f>
        <v>196212</v>
      </c>
    </row>
    <row r="536" spans="1:16">
      <c r="A536" s="129" t="s">
        <v>103</v>
      </c>
      <c r="B536" s="130"/>
      <c r="C536" s="92">
        <v>4140</v>
      </c>
      <c r="D536" s="92"/>
      <c r="E536" s="92"/>
      <c r="F536" s="131"/>
      <c r="G536" s="9"/>
      <c r="H536" s="96">
        <v>3445</v>
      </c>
      <c r="I536" s="96"/>
      <c r="J536" s="92"/>
      <c r="K536" s="131"/>
      <c r="L536" s="9"/>
      <c r="M536" s="96"/>
      <c r="N536" s="121"/>
      <c r="O536" s="121"/>
      <c r="P536" s="121"/>
    </row>
    <row r="537" spans="1:16" ht="16.5" thickBot="1">
      <c r="A537" s="133" t="s">
        <v>105</v>
      </c>
      <c r="B537" s="134"/>
      <c r="C537" s="135">
        <f>SUM(C532:C536)</f>
        <v>17152002</v>
      </c>
      <c r="D537" s="135">
        <v>15578261</v>
      </c>
      <c r="E537" s="135"/>
      <c r="F537" s="134"/>
      <c r="G537" s="134"/>
      <c r="H537" s="136">
        <f>SUM(H527:H536)</f>
        <v>1525566</v>
      </c>
      <c r="I537" s="136">
        <f>SUM(I527:I536)</f>
        <v>1384328</v>
      </c>
      <c r="J537" s="135"/>
      <c r="K537" s="134"/>
      <c r="L537" s="134"/>
      <c r="M537" s="136">
        <f>SUM(M527:M536)</f>
        <v>1831527</v>
      </c>
      <c r="O537" s="72" t="s">
        <v>86</v>
      </c>
      <c r="P537" s="121">
        <f>M537/I537-1</f>
        <v>0.32304410515426984</v>
      </c>
    </row>
    <row r="538" spans="1:16" ht="16.5" thickTop="1">
      <c r="C538" s="92"/>
      <c r="D538" s="92"/>
      <c r="E538" s="92"/>
      <c r="J538" s="92"/>
    </row>
    <row r="539" spans="1:16">
      <c r="A539" s="90" t="s">
        <v>451</v>
      </c>
    </row>
    <row r="540" spans="1:16">
      <c r="A540" s="93" t="s">
        <v>174</v>
      </c>
      <c r="C540" s="92">
        <v>3455.6275675675702</v>
      </c>
      <c r="D540" s="92">
        <v>3429.4209820080723</v>
      </c>
      <c r="E540" s="92"/>
      <c r="F540" s="147">
        <v>37</v>
      </c>
      <c r="G540" s="147"/>
      <c r="H540" s="96">
        <f t="shared" ref="H540:I546" si="139">ROUND($F540*C540,0)</f>
        <v>127858</v>
      </c>
      <c r="I540" s="96">
        <f t="shared" si="139"/>
        <v>126889</v>
      </c>
      <c r="J540" s="92"/>
      <c r="K540" s="147">
        <f>ROUND(F540*(1+$P$545),0)</f>
        <v>40</v>
      </c>
      <c r="L540" s="147"/>
      <c r="M540" s="96">
        <f t="shared" ref="M540:M546" si="140">ROUND($K540*D540,0)</f>
        <v>137177</v>
      </c>
      <c r="O540" s="89" t="s">
        <v>175</v>
      </c>
      <c r="P540" s="89"/>
    </row>
    <row r="541" spans="1:16">
      <c r="A541" s="93" t="s">
        <v>176</v>
      </c>
      <c r="C541" s="92">
        <v>15.079508196721299</v>
      </c>
      <c r="D541" s="92">
        <v>15</v>
      </c>
      <c r="E541" s="92"/>
      <c r="F541" s="147">
        <v>122</v>
      </c>
      <c r="G541" s="147"/>
      <c r="H541" s="96">
        <f>ROUND($F541*C541,0)</f>
        <v>1840</v>
      </c>
      <c r="I541" s="96">
        <f>ROUND($F541*D541,0)</f>
        <v>1830</v>
      </c>
      <c r="J541" s="92"/>
      <c r="K541" s="147">
        <f>ROUND(F541*(1+$P$545),0)</f>
        <v>131</v>
      </c>
      <c r="L541" s="147"/>
      <c r="M541" s="96">
        <f t="shared" si="140"/>
        <v>1965</v>
      </c>
      <c r="O541" s="103" t="s">
        <v>79</v>
      </c>
      <c r="P541" s="104">
        <f>M559+M581</f>
        <v>20455028</v>
      </c>
    </row>
    <row r="542" spans="1:16">
      <c r="A542" s="93" t="s">
        <v>177</v>
      </c>
      <c r="C542" s="92">
        <v>13900.7314285714</v>
      </c>
      <c r="D542" s="92">
        <f>ROUND($C542*(D$541+D$540)/($C$541+$C$540),0)</f>
        <v>13795</v>
      </c>
      <c r="E542" s="92"/>
      <c r="F542" s="147">
        <v>14</v>
      </c>
      <c r="G542" s="147"/>
      <c r="H542" s="96">
        <f t="shared" si="139"/>
        <v>194610</v>
      </c>
      <c r="I542" s="96">
        <f t="shared" si="139"/>
        <v>193130</v>
      </c>
      <c r="J542" s="92"/>
      <c r="K542" s="147">
        <f>ROUND(F542*(1+$P$545),0)</f>
        <v>15</v>
      </c>
      <c r="L542" s="147"/>
      <c r="M542" s="96">
        <f t="shared" si="140"/>
        <v>206925</v>
      </c>
      <c r="O542" s="106" t="s">
        <v>81</v>
      </c>
      <c r="P542" s="107">
        <f>'Rate Spread'!M27*1000</f>
        <v>20455008.826957427</v>
      </c>
    </row>
    <row r="543" spans="1:16">
      <c r="A543" s="93" t="s">
        <v>178</v>
      </c>
      <c r="C543" s="92">
        <v>0</v>
      </c>
      <c r="D543" s="92">
        <f>ROUND($C543*(D$541+D$540)/($C$541+$C$540),0)</f>
        <v>0</v>
      </c>
      <c r="E543" s="92"/>
      <c r="F543" s="147">
        <v>2</v>
      </c>
      <c r="G543" s="147"/>
      <c r="H543" s="96">
        <f t="shared" si="139"/>
        <v>0</v>
      </c>
      <c r="I543" s="96">
        <f t="shared" si="139"/>
        <v>0</v>
      </c>
      <c r="J543" s="92"/>
      <c r="K543" s="147">
        <f>F543</f>
        <v>2</v>
      </c>
      <c r="L543" s="147"/>
      <c r="M543" s="96">
        <f t="shared" si="140"/>
        <v>0</v>
      </c>
      <c r="O543" s="109" t="s">
        <v>83</v>
      </c>
      <c r="P543" s="169">
        <f>P542-P541</f>
        <v>-19.173042573034763</v>
      </c>
    </row>
    <row r="544" spans="1:16">
      <c r="A544" s="93" t="s">
        <v>179</v>
      </c>
      <c r="C544" s="92">
        <v>3893</v>
      </c>
      <c r="D544" s="92">
        <v>9588.8109161887423</v>
      </c>
      <c r="E544" s="92"/>
      <c r="F544" s="95">
        <v>-0.5</v>
      </c>
      <c r="G544" s="95"/>
      <c r="H544" s="96">
        <f t="shared" si="139"/>
        <v>-1947</v>
      </c>
      <c r="I544" s="96">
        <f t="shared" si="139"/>
        <v>-4794</v>
      </c>
      <c r="J544" s="92"/>
      <c r="K544" s="95">
        <f>F544</f>
        <v>-0.5</v>
      </c>
      <c r="L544" s="95"/>
      <c r="M544" s="96">
        <f t="shared" si="140"/>
        <v>-4794</v>
      </c>
      <c r="O544" s="103" t="s">
        <v>86</v>
      </c>
      <c r="P544" s="149">
        <f>P541/(I559+I581)-1</f>
        <v>7.2737480179556835E-2</v>
      </c>
    </row>
    <row r="545" spans="1:16">
      <c r="A545" s="93" t="s">
        <v>180</v>
      </c>
      <c r="C545" s="92">
        <v>414903.948179272</v>
      </c>
      <c r="D545" s="92">
        <f t="shared" ref="D545:D546" si="141">ROUND($C545*D$559/$C$559,0)</f>
        <v>528097</v>
      </c>
      <c r="E545" s="92"/>
      <c r="F545" s="147">
        <v>7.14</v>
      </c>
      <c r="G545" s="147"/>
      <c r="H545" s="96">
        <f t="shared" si="139"/>
        <v>2962414</v>
      </c>
      <c r="I545" s="96">
        <f t="shared" si="139"/>
        <v>3770613</v>
      </c>
      <c r="J545" s="92"/>
      <c r="K545" s="147">
        <f>ROUND(F545*(1+$P$545),2)</f>
        <v>7.66</v>
      </c>
      <c r="L545" s="147"/>
      <c r="M545" s="96">
        <f t="shared" si="140"/>
        <v>4045223</v>
      </c>
      <c r="O545" s="124" t="s">
        <v>88</v>
      </c>
      <c r="P545" s="151">
        <f>P542/(I559+I581)-1</f>
        <v>7.2736474674143681E-2</v>
      </c>
    </row>
    <row r="546" spans="1:16">
      <c r="A546" s="93" t="s">
        <v>128</v>
      </c>
      <c r="C546" s="92">
        <v>6928.53170731707</v>
      </c>
      <c r="D546" s="92">
        <f t="shared" si="141"/>
        <v>8819</v>
      </c>
      <c r="E546" s="92"/>
      <c r="F546" s="147">
        <v>-2.0499999999999998</v>
      </c>
      <c r="G546" s="147"/>
      <c r="H546" s="96">
        <f t="shared" si="139"/>
        <v>-14203</v>
      </c>
      <c r="I546" s="96">
        <f t="shared" si="139"/>
        <v>-18079</v>
      </c>
      <c r="J546" s="92"/>
      <c r="K546" s="147">
        <f>F546</f>
        <v>-2.0499999999999998</v>
      </c>
      <c r="L546" s="147"/>
      <c r="M546" s="96">
        <f t="shared" si="140"/>
        <v>-18079</v>
      </c>
      <c r="O546" s="106" t="s">
        <v>140</v>
      </c>
      <c r="P546" s="148">
        <f>(P542-SUM(M540:M544,M553:M555,M562:M566,M575:M577))/SUM(I545:I550,I556,I567:I572,I578)-1</f>
        <v>7.2669254253711291E-2</v>
      </c>
    </row>
    <row r="547" spans="1:16">
      <c r="A547" s="93" t="s">
        <v>181</v>
      </c>
      <c r="C547" s="92">
        <v>77760989</v>
      </c>
      <c r="D547" s="92">
        <f>ROUND($C547*D$559/($C$559-$C$558),0)</f>
        <v>98980209</v>
      </c>
      <c r="E547" s="92"/>
      <c r="F547" s="168">
        <v>7.1125999999999996</v>
      </c>
      <c r="G547" s="120" t="s">
        <v>90</v>
      </c>
      <c r="H547" s="96">
        <f t="shared" ref="H547:I550" si="142">ROUND($F547*C547/100,0)</f>
        <v>5530828</v>
      </c>
      <c r="I547" s="96">
        <f t="shared" si="142"/>
        <v>7040066</v>
      </c>
      <c r="J547" s="92"/>
      <c r="K547" s="168">
        <f>ROUND((P542-SUM(M540:M544,M545:M546,M548:M550,M553:M556,M562:M566,M567:M568,M570:M572,M575:M578))/SUM(D547,D569)*100,P9)</f>
        <v>7.6271000000000004</v>
      </c>
      <c r="L547" s="120" t="s">
        <v>90</v>
      </c>
      <c r="M547" s="96">
        <f>ROUND($K547*D547/100,0)</f>
        <v>7549320</v>
      </c>
      <c r="O547" s="124"/>
      <c r="P547" s="151"/>
    </row>
    <row r="548" spans="1:16">
      <c r="A548" s="93" t="s">
        <v>182</v>
      </c>
      <c r="C548" s="92">
        <v>43643555.050662391</v>
      </c>
      <c r="D548" s="92">
        <f t="shared" ref="D548:D550" si="143">ROUND($C548*D$559/($C$559-$C$558),0)</f>
        <v>55552897</v>
      </c>
      <c r="E548" s="92"/>
      <c r="F548" s="168">
        <v>5.2572999999999999</v>
      </c>
      <c r="G548" s="120" t="s">
        <v>90</v>
      </c>
      <c r="H548" s="96">
        <f t="shared" si="142"/>
        <v>2294473</v>
      </c>
      <c r="I548" s="96">
        <f t="shared" si="142"/>
        <v>2920582</v>
      </c>
      <c r="J548" s="92"/>
      <c r="K548" s="168">
        <f>ROUND(F548*(1+$P$545),$P$9)</f>
        <v>5.6397000000000004</v>
      </c>
      <c r="L548" s="120" t="s">
        <v>90</v>
      </c>
      <c r="M548" s="96">
        <f>ROUND($K548*D548/100,0)</f>
        <v>3133017</v>
      </c>
      <c r="O548" s="72" t="s">
        <v>114</v>
      </c>
      <c r="P548" s="170">
        <f>ROUND(K549/K550,1)</f>
        <v>3.5</v>
      </c>
    </row>
    <row r="549" spans="1:16">
      <c r="A549" s="93" t="s">
        <v>183</v>
      </c>
      <c r="C549" s="92">
        <v>3302561</v>
      </c>
      <c r="D549" s="92">
        <f t="shared" si="143"/>
        <v>4203755</v>
      </c>
      <c r="E549" s="92"/>
      <c r="F549" s="168">
        <v>14.052</v>
      </c>
      <c r="G549" s="120" t="s">
        <v>90</v>
      </c>
      <c r="H549" s="96">
        <f t="shared" si="142"/>
        <v>464076</v>
      </c>
      <c r="I549" s="96">
        <f t="shared" si="142"/>
        <v>590712</v>
      </c>
      <c r="J549" s="92"/>
      <c r="K549" s="168">
        <f>ROUND(F549*(1+$P$545),$P$9)</f>
        <v>15.0741</v>
      </c>
      <c r="L549" s="120" t="s">
        <v>90</v>
      </c>
      <c r="M549" s="96">
        <f>ROUND($K549*D549/100,0)</f>
        <v>633678</v>
      </c>
    </row>
    <row r="550" spans="1:16">
      <c r="A550" s="93" t="s">
        <v>184</v>
      </c>
      <c r="C550" s="171">
        <v>10240417.487837609</v>
      </c>
      <c r="D550" s="171">
        <f t="shared" si="143"/>
        <v>13034796</v>
      </c>
      <c r="E550" s="171"/>
      <c r="F550" s="172">
        <v>4.0491999999999999</v>
      </c>
      <c r="G550" s="173" t="s">
        <v>90</v>
      </c>
      <c r="H550" s="174">
        <f t="shared" si="142"/>
        <v>414655</v>
      </c>
      <c r="I550" s="174">
        <f t="shared" si="142"/>
        <v>527805</v>
      </c>
      <c r="J550" s="171"/>
      <c r="K550" s="172">
        <f>ROUND(F550*(1+$P$545),$P$9)</f>
        <v>4.3437000000000001</v>
      </c>
      <c r="L550" s="173" t="s">
        <v>90</v>
      </c>
      <c r="M550" s="174">
        <f>ROUND($K550*D550/100,0)</f>
        <v>566192</v>
      </c>
    </row>
    <row r="551" spans="1:16">
      <c r="A551" s="93" t="s">
        <v>185</v>
      </c>
      <c r="C551" s="92">
        <f>SUM(C547:C550)</f>
        <v>134947522.53850001</v>
      </c>
      <c r="D551" s="92">
        <f>SUM(D547:D550)</f>
        <v>171771657</v>
      </c>
      <c r="E551" s="92"/>
      <c r="F551" s="150"/>
      <c r="G551" s="120"/>
      <c r="H551" s="96">
        <f>SUM(H540:H550)</f>
        <v>11974604</v>
      </c>
      <c r="I551" s="96">
        <f>SUM(I540:I550)</f>
        <v>15148754</v>
      </c>
      <c r="J551" s="92"/>
      <c r="K551" s="150"/>
      <c r="L551" s="120"/>
      <c r="M551" s="96">
        <f>SUM(M540:M544,M545:M550)</f>
        <v>16250624</v>
      </c>
    </row>
    <row r="552" spans="1:16">
      <c r="A552" s="93" t="s">
        <v>186</v>
      </c>
      <c r="C552" s="92"/>
      <c r="D552" s="92"/>
      <c r="E552" s="92"/>
      <c r="F552" s="150"/>
      <c r="G552" s="120"/>
      <c r="H552" s="96"/>
      <c r="I552" s="96"/>
      <c r="J552" s="92"/>
      <c r="K552" s="150"/>
      <c r="L552" s="120"/>
      <c r="M552" s="96"/>
    </row>
    <row r="553" spans="1:16">
      <c r="A553" s="93" t="s">
        <v>187</v>
      </c>
      <c r="C553" s="92">
        <v>9421.7821428572988</v>
      </c>
      <c r="D553" s="92">
        <f>ROUND($C553*(D$541+D$540)/($C$541+$C$540),0)</f>
        <v>9350</v>
      </c>
      <c r="E553" s="92"/>
      <c r="F553" s="147">
        <v>14</v>
      </c>
      <c r="G553" s="147"/>
      <c r="H553" s="96">
        <f t="shared" ref="H553:I555" si="144">ROUND($F553*C553,0)</f>
        <v>131905</v>
      </c>
      <c r="I553" s="96">
        <f t="shared" si="144"/>
        <v>130900</v>
      </c>
      <c r="J553" s="92"/>
      <c r="K553" s="147">
        <f>K542</f>
        <v>15</v>
      </c>
      <c r="L553" s="147"/>
      <c r="M553" s="96">
        <f>ROUND($K553*D553,0)</f>
        <v>140250</v>
      </c>
    </row>
    <row r="554" spans="1:16">
      <c r="A554" s="93" t="s">
        <v>188</v>
      </c>
      <c r="C554" s="92">
        <v>0</v>
      </c>
      <c r="D554" s="92">
        <f>ROUND($C554*(D$541+D$540)/($C$541+$C$540),0)</f>
        <v>0</v>
      </c>
      <c r="E554" s="92"/>
      <c r="F554" s="147">
        <v>2</v>
      </c>
      <c r="G554" s="147"/>
      <c r="H554" s="96">
        <f t="shared" si="144"/>
        <v>0</v>
      </c>
      <c r="I554" s="96">
        <f t="shared" si="144"/>
        <v>0</v>
      </c>
      <c r="J554" s="92"/>
      <c r="K554" s="147">
        <f>K543</f>
        <v>2</v>
      </c>
      <c r="L554" s="147"/>
      <c r="M554" s="96">
        <f>ROUND($K554*D554,0)</f>
        <v>0</v>
      </c>
    </row>
    <row r="555" spans="1:16">
      <c r="A555" s="93" t="s">
        <v>189</v>
      </c>
      <c r="C555" s="92">
        <v>3601</v>
      </c>
      <c r="D555" s="92">
        <v>6499.1215705954874</v>
      </c>
      <c r="E555" s="92"/>
      <c r="F555" s="95">
        <v>-0.5</v>
      </c>
      <c r="G555" s="95"/>
      <c r="H555" s="96">
        <f t="shared" si="144"/>
        <v>-1801</v>
      </c>
      <c r="I555" s="96">
        <f t="shared" si="144"/>
        <v>-3250</v>
      </c>
      <c r="J555" s="92"/>
      <c r="K555" s="95">
        <f>K544</f>
        <v>-0.5</v>
      </c>
      <c r="L555" s="95"/>
      <c r="M555" s="96">
        <f>ROUND($K555*D555,0)</f>
        <v>-3250</v>
      </c>
    </row>
    <row r="556" spans="1:16">
      <c r="A556" s="93" t="s">
        <v>190</v>
      </c>
      <c r="C556" s="171">
        <v>48117051.795699999</v>
      </c>
      <c r="D556" s="171">
        <f>ROUND($C556*D$559/($C$559-$C$558),0)</f>
        <v>61247110</v>
      </c>
      <c r="E556" s="171"/>
      <c r="F556" s="172">
        <v>4.8788999999999998</v>
      </c>
      <c r="G556" s="173" t="s">
        <v>90</v>
      </c>
      <c r="H556" s="174">
        <f>ROUND($F556*C556/100,0)</f>
        <v>2347583</v>
      </c>
      <c r="I556" s="174">
        <f>ROUND($F556*D556/100,0)</f>
        <v>2988185</v>
      </c>
      <c r="J556" s="171"/>
      <c r="K556" s="172">
        <f>ROUND(F556*(1+$P$545),$P$9)</f>
        <v>5.2337999999999996</v>
      </c>
      <c r="L556" s="173" t="s">
        <v>90</v>
      </c>
      <c r="M556" s="174">
        <f>ROUND($K556*D556/100,0)</f>
        <v>3205551</v>
      </c>
    </row>
    <row r="557" spans="1:16">
      <c r="A557" s="93" t="s">
        <v>191</v>
      </c>
      <c r="C557" s="92">
        <f>SUM(C556)</f>
        <v>48117051.795699999</v>
      </c>
      <c r="D557" s="92">
        <f>SUM(D556)</f>
        <v>61247110</v>
      </c>
      <c r="E557" s="92"/>
      <c r="F557" s="95"/>
      <c r="G557" s="95"/>
      <c r="H557" s="96">
        <f>SUM(H553:H556)</f>
        <v>2477687</v>
      </c>
      <c r="I557" s="96">
        <f>SUM(I553:I556)</f>
        <v>3115835</v>
      </c>
      <c r="J557" s="92"/>
      <c r="K557" s="95"/>
      <c r="L557" s="95"/>
      <c r="M557" s="96">
        <f>SUM(M553:M556)</f>
        <v>3342551</v>
      </c>
    </row>
    <row r="558" spans="1:16">
      <c r="A558" s="129" t="s">
        <v>103</v>
      </c>
      <c r="B558" s="130"/>
      <c r="C558" s="92">
        <v>8678</v>
      </c>
      <c r="D558" s="92"/>
      <c r="E558" s="92"/>
      <c r="F558" s="131"/>
      <c r="G558" s="9"/>
      <c r="H558" s="96">
        <v>-960</v>
      </c>
      <c r="I558" s="96"/>
      <c r="J558" s="92"/>
      <c r="K558" s="131"/>
      <c r="L558" s="9"/>
      <c r="M558" s="96"/>
      <c r="N558" s="121"/>
      <c r="O558" s="121"/>
      <c r="P558" s="121"/>
    </row>
    <row r="559" spans="1:16" ht="16.5" thickBot="1">
      <c r="A559" s="133" t="s">
        <v>105</v>
      </c>
      <c r="B559" s="134"/>
      <c r="C559" s="135">
        <f>SUM(C551,C557:C558)</f>
        <v>183073252.33420002</v>
      </c>
      <c r="D559" s="135">
        <v>233018766.75156945</v>
      </c>
      <c r="E559" s="135"/>
      <c r="F559" s="134"/>
      <c r="G559" s="134"/>
      <c r="H559" s="136">
        <f>SUM(H551,H557:H558)</f>
        <v>14451331</v>
      </c>
      <c r="I559" s="136">
        <f>SUM(I551,I557:I558)</f>
        <v>18264589</v>
      </c>
      <c r="J559" s="135"/>
      <c r="K559" s="134"/>
      <c r="L559" s="134"/>
      <c r="M559" s="136">
        <f>SUM(M551,M557:M558)</f>
        <v>19593175</v>
      </c>
      <c r="O559" s="72" t="s">
        <v>86</v>
      </c>
      <c r="P559" s="121">
        <f>M559/I559-1</f>
        <v>7.2741083853570476E-2</v>
      </c>
    </row>
    <row r="560" spans="1:16" ht="16.5" thickTop="1">
      <c r="C560" s="92"/>
      <c r="D560" s="92"/>
      <c r="E560" s="92"/>
      <c r="J560" s="92"/>
    </row>
    <row r="561" spans="1:13">
      <c r="A561" s="90" t="s">
        <v>452</v>
      </c>
    </row>
    <row r="562" spans="1:13">
      <c r="A562" s="93" t="s">
        <v>174</v>
      </c>
      <c r="C562" s="92">
        <v>80.238648648648606</v>
      </c>
      <c r="D562" s="92">
        <v>95.833333333333329</v>
      </c>
      <c r="E562" s="92"/>
      <c r="F562" s="147">
        <v>37</v>
      </c>
      <c r="G562" s="147"/>
      <c r="H562" s="96">
        <f t="shared" ref="H562:I568" si="145">ROUND($F562*C562,0)</f>
        <v>2969</v>
      </c>
      <c r="I562" s="96">
        <f t="shared" si="145"/>
        <v>3546</v>
      </c>
      <c r="J562" s="92"/>
      <c r="K562" s="147">
        <f t="shared" ref="K562:K572" si="146">K540</f>
        <v>40</v>
      </c>
      <c r="L562" s="147"/>
      <c r="M562" s="96">
        <f t="shared" ref="M562:M568" si="147">ROUND($K562*D562,0)</f>
        <v>3833</v>
      </c>
    </row>
    <row r="563" spans="1:13">
      <c r="A563" s="93" t="s">
        <v>176</v>
      </c>
      <c r="C563" s="92">
        <v>0</v>
      </c>
      <c r="D563" s="92">
        <v>0</v>
      </c>
      <c r="E563" s="92"/>
      <c r="F563" s="147">
        <v>122</v>
      </c>
      <c r="G563" s="147"/>
      <c r="H563" s="96">
        <f>ROUND($F563*C563,0)</f>
        <v>0</v>
      </c>
      <c r="I563" s="96">
        <f>ROUND($F563*D563,0)</f>
        <v>0</v>
      </c>
      <c r="J563" s="92"/>
      <c r="K563" s="147">
        <f t="shared" si="146"/>
        <v>131</v>
      </c>
      <c r="L563" s="147"/>
      <c r="M563" s="96">
        <f t="shared" si="147"/>
        <v>0</v>
      </c>
    </row>
    <row r="564" spans="1:13">
      <c r="A564" s="93" t="s">
        <v>177</v>
      </c>
      <c r="C564" s="92">
        <v>327.7</v>
      </c>
      <c r="D564" s="92">
        <f>ROUND($C564*(D$563+D$562)/($C$563+$C$562),0)</f>
        <v>391</v>
      </c>
      <c r="E564" s="92"/>
      <c r="F564" s="147">
        <v>14</v>
      </c>
      <c r="G564" s="147"/>
      <c r="H564" s="96">
        <f t="shared" si="145"/>
        <v>4588</v>
      </c>
      <c r="I564" s="96">
        <f t="shared" si="145"/>
        <v>5474</v>
      </c>
      <c r="J564" s="92"/>
      <c r="K564" s="147">
        <f t="shared" si="146"/>
        <v>15</v>
      </c>
      <c r="L564" s="147"/>
      <c r="M564" s="96">
        <f t="shared" si="147"/>
        <v>5865</v>
      </c>
    </row>
    <row r="565" spans="1:13">
      <c r="A565" s="93" t="s">
        <v>178</v>
      </c>
      <c r="C565" s="92">
        <v>8</v>
      </c>
      <c r="D565" s="92">
        <f>ROUND($C565*(D$563+D$562)/($C$563+$C$562),0)</f>
        <v>10</v>
      </c>
      <c r="E565" s="92"/>
      <c r="F565" s="147">
        <v>2</v>
      </c>
      <c r="G565" s="147"/>
      <c r="H565" s="96">
        <f t="shared" si="145"/>
        <v>16</v>
      </c>
      <c r="I565" s="96">
        <f t="shared" si="145"/>
        <v>20</v>
      </c>
      <c r="J565" s="92"/>
      <c r="K565" s="147">
        <f t="shared" si="146"/>
        <v>2</v>
      </c>
      <c r="L565" s="147"/>
      <c r="M565" s="96">
        <f t="shared" si="147"/>
        <v>20</v>
      </c>
    </row>
    <row r="566" spans="1:13">
      <c r="A566" s="93" t="s">
        <v>179</v>
      </c>
      <c r="C566" s="92">
        <v>100</v>
      </c>
      <c r="D566" s="92">
        <v>271.78144749762947</v>
      </c>
      <c r="E566" s="92"/>
      <c r="F566" s="95">
        <v>-0.5</v>
      </c>
      <c r="G566" s="95"/>
      <c r="H566" s="96">
        <f t="shared" si="145"/>
        <v>-50</v>
      </c>
      <c r="I566" s="96">
        <f t="shared" si="145"/>
        <v>-136</v>
      </c>
      <c r="J566" s="92"/>
      <c r="K566" s="95">
        <f t="shared" si="146"/>
        <v>-0.5</v>
      </c>
      <c r="L566" s="95"/>
      <c r="M566" s="96">
        <f t="shared" si="147"/>
        <v>-136</v>
      </c>
    </row>
    <row r="567" spans="1:13">
      <c r="A567" s="93" t="s">
        <v>180</v>
      </c>
      <c r="C567" s="92">
        <v>25559.948179271702</v>
      </c>
      <c r="D567" s="92">
        <f t="shared" ref="D567:D568" si="148">ROUND($C567*D$581/$C$581,0)</f>
        <v>33036</v>
      </c>
      <c r="E567" s="92"/>
      <c r="F567" s="147">
        <v>7.14</v>
      </c>
      <c r="G567" s="147"/>
      <c r="H567" s="96">
        <f t="shared" si="145"/>
        <v>182498</v>
      </c>
      <c r="I567" s="96">
        <f t="shared" si="145"/>
        <v>235877</v>
      </c>
      <c r="J567" s="92"/>
      <c r="K567" s="147">
        <f t="shared" si="146"/>
        <v>7.66</v>
      </c>
      <c r="L567" s="147"/>
      <c r="M567" s="96">
        <f t="shared" si="147"/>
        <v>253056</v>
      </c>
    </row>
    <row r="568" spans="1:13">
      <c r="A568" s="93" t="s">
        <v>128</v>
      </c>
      <c r="C568" s="92">
        <v>0</v>
      </c>
      <c r="D568" s="92">
        <f t="shared" si="148"/>
        <v>0</v>
      </c>
      <c r="E568" s="92"/>
      <c r="F568" s="147">
        <v>-2.0499999999999998</v>
      </c>
      <c r="G568" s="147"/>
      <c r="H568" s="96">
        <f t="shared" si="145"/>
        <v>0</v>
      </c>
      <c r="I568" s="96">
        <f t="shared" si="145"/>
        <v>0</v>
      </c>
      <c r="J568" s="92"/>
      <c r="K568" s="147">
        <f t="shared" si="146"/>
        <v>-2.0499999999999998</v>
      </c>
      <c r="L568" s="147"/>
      <c r="M568" s="96">
        <f t="shared" si="147"/>
        <v>0</v>
      </c>
    </row>
    <row r="569" spans="1:13">
      <c r="A569" s="93" t="s">
        <v>181</v>
      </c>
      <c r="C569" s="92">
        <v>3135796</v>
      </c>
      <c r="D569" s="92">
        <f>ROUND($C569*D$581/($C$581-$C$580),0)</f>
        <v>4053118</v>
      </c>
      <c r="E569" s="92"/>
      <c r="F569" s="168">
        <v>7.1125999999999996</v>
      </c>
      <c r="G569" s="120" t="s">
        <v>90</v>
      </c>
      <c r="H569" s="96">
        <f t="shared" ref="H569:I572" si="149">ROUND($F569*C569/100,0)</f>
        <v>223037</v>
      </c>
      <c r="I569" s="96">
        <f t="shared" si="149"/>
        <v>288282</v>
      </c>
      <c r="J569" s="92"/>
      <c r="K569" s="168">
        <f t="shared" si="146"/>
        <v>7.6271000000000004</v>
      </c>
      <c r="L569" s="120" t="s">
        <v>90</v>
      </c>
      <c r="M569" s="96">
        <f>ROUND($K569*D569/100,0)</f>
        <v>309135</v>
      </c>
    </row>
    <row r="570" spans="1:13">
      <c r="A570" s="93" t="s">
        <v>182</v>
      </c>
      <c r="C570" s="92">
        <v>2036917</v>
      </c>
      <c r="D570" s="92">
        <f t="shared" ref="D570:D572" si="150">ROUND($C570*D$581/($C$581-$C$580),0)</f>
        <v>2632781</v>
      </c>
      <c r="E570" s="92"/>
      <c r="F570" s="168">
        <v>5.2572999999999999</v>
      </c>
      <c r="G570" s="120" t="s">
        <v>90</v>
      </c>
      <c r="H570" s="96">
        <f t="shared" si="149"/>
        <v>107087</v>
      </c>
      <c r="I570" s="96">
        <f t="shared" si="149"/>
        <v>138413</v>
      </c>
      <c r="J570" s="92"/>
      <c r="K570" s="168">
        <f t="shared" si="146"/>
        <v>5.6397000000000004</v>
      </c>
      <c r="L570" s="120" t="s">
        <v>90</v>
      </c>
      <c r="M570" s="96">
        <f>ROUND($K570*D570/100,0)</f>
        <v>148481</v>
      </c>
    </row>
    <row r="571" spans="1:13">
      <c r="A571" s="93" t="s">
        <v>183</v>
      </c>
      <c r="C571" s="92">
        <v>78940</v>
      </c>
      <c r="D571" s="92">
        <f t="shared" si="150"/>
        <v>102032</v>
      </c>
      <c r="E571" s="92"/>
      <c r="F571" s="168">
        <v>14.052</v>
      </c>
      <c r="G571" s="156" t="s">
        <v>90</v>
      </c>
      <c r="H571" s="96">
        <f t="shared" si="149"/>
        <v>11093</v>
      </c>
      <c r="I571" s="96">
        <f t="shared" si="149"/>
        <v>14338</v>
      </c>
      <c r="J571" s="92"/>
      <c r="K571" s="168">
        <f t="shared" si="146"/>
        <v>15.0741</v>
      </c>
      <c r="L571" s="156" t="s">
        <v>90</v>
      </c>
      <c r="M571" s="96">
        <f>ROUND($K571*D571/100,0)</f>
        <v>15380</v>
      </c>
    </row>
    <row r="572" spans="1:13">
      <c r="A572" s="93" t="s">
        <v>184</v>
      </c>
      <c r="C572" s="171">
        <v>230502</v>
      </c>
      <c r="D572" s="171">
        <f t="shared" si="150"/>
        <v>297931</v>
      </c>
      <c r="E572" s="171"/>
      <c r="F572" s="172">
        <v>4.0491999999999999</v>
      </c>
      <c r="G572" s="175" t="s">
        <v>90</v>
      </c>
      <c r="H572" s="174">
        <f t="shared" si="149"/>
        <v>9333</v>
      </c>
      <c r="I572" s="174">
        <f t="shared" si="149"/>
        <v>12064</v>
      </c>
      <c r="J572" s="171"/>
      <c r="K572" s="172">
        <f t="shared" si="146"/>
        <v>4.3437000000000001</v>
      </c>
      <c r="L572" s="175" t="s">
        <v>90</v>
      </c>
      <c r="M572" s="174">
        <f>ROUND($K572*D572/100,0)</f>
        <v>12941</v>
      </c>
    </row>
    <row r="573" spans="1:13">
      <c r="A573" s="93" t="s">
        <v>185</v>
      </c>
      <c r="C573" s="92">
        <f>SUM(C569:C572)</f>
        <v>5482155</v>
      </c>
      <c r="D573" s="92">
        <f>SUM(D569:D572)</f>
        <v>7085862</v>
      </c>
      <c r="E573" s="92"/>
      <c r="F573" s="150"/>
      <c r="G573" s="120"/>
      <c r="H573" s="96">
        <f>SUM(H562:H572)</f>
        <v>540571</v>
      </c>
      <c r="I573" s="96">
        <f>SUM(I562:I572)</f>
        <v>697878</v>
      </c>
      <c r="J573" s="92"/>
      <c r="K573" s="150"/>
      <c r="L573" s="120"/>
      <c r="M573" s="96">
        <f>SUM(M562:M566,M567:M572)</f>
        <v>748575</v>
      </c>
    </row>
    <row r="574" spans="1:13">
      <c r="A574" s="93" t="s">
        <v>186</v>
      </c>
      <c r="C574" s="92"/>
      <c r="D574" s="92"/>
      <c r="E574" s="92"/>
      <c r="F574" s="150"/>
      <c r="G574" s="120"/>
      <c r="H574" s="96"/>
      <c r="I574" s="96"/>
      <c r="J574" s="92"/>
      <c r="K574" s="150"/>
      <c r="L574" s="120"/>
      <c r="M574" s="96"/>
    </row>
    <row r="575" spans="1:13">
      <c r="A575" s="93" t="s">
        <v>187</v>
      </c>
      <c r="C575" s="92">
        <v>194.68285714285702</v>
      </c>
      <c r="D575" s="92">
        <f>ROUND($C575*(D$541+D$540)/($C$541+$C$540),0)</f>
        <v>193</v>
      </c>
      <c r="E575" s="92"/>
      <c r="F575" s="147">
        <v>14</v>
      </c>
      <c r="G575" s="147"/>
      <c r="H575" s="96">
        <f t="shared" ref="H575:I577" si="151">ROUND($F575*C575,0)</f>
        <v>2726</v>
      </c>
      <c r="I575" s="96">
        <f t="shared" si="151"/>
        <v>2702</v>
      </c>
      <c r="J575" s="92"/>
      <c r="K575" s="147">
        <f>K553</f>
        <v>15</v>
      </c>
      <c r="L575" s="147"/>
      <c r="M575" s="96">
        <f>ROUND($K575*D575,0)</f>
        <v>2895</v>
      </c>
    </row>
    <row r="576" spans="1:13">
      <c r="A576" s="93" t="s">
        <v>188</v>
      </c>
      <c r="C576" s="92">
        <v>16</v>
      </c>
      <c r="D576" s="92">
        <f>ROUND($C576*(D$541+D$540)/($C$541+$C$540),0)</f>
        <v>16</v>
      </c>
      <c r="E576" s="92"/>
      <c r="F576" s="147">
        <v>2</v>
      </c>
      <c r="G576" s="147"/>
      <c r="H576" s="96">
        <f t="shared" si="151"/>
        <v>32</v>
      </c>
      <c r="I576" s="96">
        <f t="shared" si="151"/>
        <v>32</v>
      </c>
      <c r="J576" s="92"/>
      <c r="K576" s="147">
        <f>K554</f>
        <v>2</v>
      </c>
      <c r="L576" s="147"/>
      <c r="M576" s="96">
        <f>ROUND($K576*D576,0)</f>
        <v>32</v>
      </c>
    </row>
    <row r="577" spans="1:16">
      <c r="A577" s="93" t="s">
        <v>189</v>
      </c>
      <c r="C577" s="92">
        <v>82</v>
      </c>
      <c r="D577" s="92">
        <v>134.15299070854857</v>
      </c>
      <c r="E577" s="92"/>
      <c r="F577" s="95">
        <v>-0.5</v>
      </c>
      <c r="G577" s="95"/>
      <c r="H577" s="96">
        <f t="shared" si="151"/>
        <v>-41</v>
      </c>
      <c r="I577" s="96">
        <f t="shared" si="151"/>
        <v>-67</v>
      </c>
      <c r="J577" s="92"/>
      <c r="K577" s="95">
        <f>K555</f>
        <v>-0.5</v>
      </c>
      <c r="L577" s="95"/>
      <c r="M577" s="96">
        <f>ROUND($K577*D577,0)</f>
        <v>-67</v>
      </c>
    </row>
    <row r="578" spans="1:16">
      <c r="A578" s="93" t="s">
        <v>190</v>
      </c>
      <c r="C578" s="171">
        <v>1632237</v>
      </c>
      <c r="D578" s="171">
        <f>ROUND($C578*D$581/($C$581-$C$580),0)</f>
        <v>2109719</v>
      </c>
      <c r="E578" s="171"/>
      <c r="F578" s="172">
        <v>4.8788999999999998</v>
      </c>
      <c r="G578" s="173" t="s">
        <v>90</v>
      </c>
      <c r="H578" s="174">
        <f>ROUND($F578*C578/100,0)</f>
        <v>79635</v>
      </c>
      <c r="I578" s="174">
        <f>ROUND($F578*D578/100,0)</f>
        <v>102931</v>
      </c>
      <c r="J578" s="171"/>
      <c r="K578" s="172">
        <f>K556</f>
        <v>5.2337999999999996</v>
      </c>
      <c r="L578" s="173" t="s">
        <v>90</v>
      </c>
      <c r="M578" s="174">
        <f>ROUND($K578*D578/100,0)</f>
        <v>110418</v>
      </c>
    </row>
    <row r="579" spans="1:16">
      <c r="A579" s="93" t="s">
        <v>191</v>
      </c>
      <c r="C579" s="92">
        <f>SUM(C578)</f>
        <v>1632237</v>
      </c>
      <c r="D579" s="92">
        <f>SUM(D578)</f>
        <v>2109719</v>
      </c>
      <c r="E579" s="92"/>
      <c r="F579" s="95"/>
      <c r="G579" s="95"/>
      <c r="H579" s="96">
        <f>SUM(H575:H578)</f>
        <v>82352</v>
      </c>
      <c r="I579" s="96">
        <f>SUM(I575:I578)</f>
        <v>105598</v>
      </c>
      <c r="J579" s="92"/>
      <c r="K579" s="95"/>
      <c r="L579" s="95"/>
      <c r="M579" s="96">
        <f>SUM(M575:M578)</f>
        <v>113278</v>
      </c>
    </row>
    <row r="580" spans="1:16">
      <c r="A580" s="129" t="s">
        <v>103</v>
      </c>
      <c r="B580" s="130"/>
      <c r="C580" s="92">
        <v>322</v>
      </c>
      <c r="D580" s="92"/>
      <c r="E580" s="92"/>
      <c r="F580" s="131"/>
      <c r="G580" s="9"/>
      <c r="H580" s="96">
        <v>-40</v>
      </c>
      <c r="I580" s="96"/>
      <c r="J580" s="92"/>
      <c r="K580" s="131"/>
      <c r="L580" s="9"/>
      <c r="M580" s="96"/>
      <c r="N580" s="121"/>
      <c r="O580" s="121"/>
      <c r="P580" s="121"/>
    </row>
    <row r="581" spans="1:16" ht="16.5" thickBot="1">
      <c r="A581" s="133" t="s">
        <v>105</v>
      </c>
      <c r="B581" s="134"/>
      <c r="C581" s="135">
        <f>SUM(C573,C579:C580)</f>
        <v>7114714</v>
      </c>
      <c r="D581" s="135">
        <v>9195581.3520375416</v>
      </c>
      <c r="E581" s="135"/>
      <c r="F581" s="134"/>
      <c r="G581" s="134"/>
      <c r="H581" s="136">
        <f>SUM(H573,H579:H580)</f>
        <v>622883</v>
      </c>
      <c r="I581" s="136">
        <f>SUM(I573,I579:I580)</f>
        <v>803476</v>
      </c>
      <c r="J581" s="135"/>
      <c r="K581" s="134"/>
      <c r="L581" s="134"/>
      <c r="M581" s="136">
        <f>SUM(M573,M579:M580)</f>
        <v>861853</v>
      </c>
      <c r="O581" s="72" t="s">
        <v>86</v>
      </c>
      <c r="P581" s="121">
        <f>M581/I581-1</f>
        <v>7.2655561584913597E-2</v>
      </c>
    </row>
    <row r="582" spans="1:16" ht="16.5" thickTop="1">
      <c r="A582" s="93"/>
      <c r="C582" s="92"/>
      <c r="D582" s="92"/>
      <c r="E582" s="92"/>
      <c r="H582" s="96"/>
      <c r="I582" s="96"/>
      <c r="J582" s="92"/>
      <c r="M582" s="96"/>
      <c r="P582" s="121"/>
    </row>
    <row r="583" spans="1:16">
      <c r="A583" s="283" t="s">
        <v>481</v>
      </c>
      <c r="C583" s="92"/>
      <c r="D583" s="92"/>
      <c r="E583" s="92"/>
      <c r="H583" s="96"/>
      <c r="I583" s="96"/>
      <c r="J583" s="92"/>
      <c r="M583" s="96"/>
      <c r="O583" s="89"/>
      <c r="P583" s="144"/>
    </row>
    <row r="584" spans="1:16">
      <c r="A584" s="129" t="s">
        <v>192</v>
      </c>
      <c r="B584" s="89"/>
      <c r="C584" s="92"/>
      <c r="D584" s="92">
        <f>D586-D585</f>
        <v>27524081.136657268</v>
      </c>
      <c r="E584" s="92"/>
      <c r="F584" s="141"/>
      <c r="G584" s="9"/>
      <c r="H584" s="96"/>
      <c r="I584" s="96"/>
      <c r="J584" s="92"/>
      <c r="K584" s="141">
        <f>ROUND(P584/SUM(D584,D585/P548)*100,P9)</f>
        <v>17.4785</v>
      </c>
      <c r="L584" s="9" t="s">
        <v>90</v>
      </c>
      <c r="M584" s="96">
        <f>ROUND($K584*D584/100,0)</f>
        <v>4810797</v>
      </c>
      <c r="O584" s="89" t="s">
        <v>193</v>
      </c>
      <c r="P584" s="146">
        <f>SUM(M547:M550,M569:M572)</f>
        <v>12368144</v>
      </c>
    </row>
    <row r="585" spans="1:16">
      <c r="A585" s="129" t="s">
        <v>194</v>
      </c>
      <c r="B585" s="89"/>
      <c r="C585" s="92"/>
      <c r="D585" s="92">
        <v>151333437.86334273</v>
      </c>
      <c r="E585" s="92"/>
      <c r="F585" s="141"/>
      <c r="G585" s="9"/>
      <c r="H585" s="96"/>
      <c r="I585" s="96"/>
      <c r="J585" s="92"/>
      <c r="K585" s="141">
        <f>ROUND(K584/P548,P9)</f>
        <v>4.9939</v>
      </c>
      <c r="L585" s="9" t="s">
        <v>90</v>
      </c>
      <c r="M585" s="96">
        <f>ROUND($K585*D585/100,0)</f>
        <v>7557441</v>
      </c>
      <c r="O585" s="89" t="s">
        <v>195</v>
      </c>
      <c r="P585" s="146">
        <f>M586</f>
        <v>12368238</v>
      </c>
    </row>
    <row r="586" spans="1:16" ht="16.5" thickBot="1">
      <c r="A586" s="133" t="s">
        <v>105</v>
      </c>
      <c r="B586" s="134"/>
      <c r="C586" s="135"/>
      <c r="D586" s="135">
        <f>SUM(D551,D573)</f>
        <v>178857519</v>
      </c>
      <c r="E586" s="135"/>
      <c r="F586" s="134"/>
      <c r="G586" s="134"/>
      <c r="H586" s="136"/>
      <c r="I586" s="136"/>
      <c r="J586" s="135"/>
      <c r="K586" s="134"/>
      <c r="L586" s="134"/>
      <c r="M586" s="136">
        <f>SUM(M584:M585)</f>
        <v>12368238</v>
      </c>
      <c r="O586" s="89"/>
      <c r="P586" s="88"/>
    </row>
    <row r="587" spans="1:16" ht="16.5" thickTop="1">
      <c r="A587" s="93"/>
      <c r="C587" s="92"/>
      <c r="D587" s="92"/>
      <c r="E587" s="92"/>
      <c r="H587" s="96"/>
      <c r="I587" s="96"/>
      <c r="J587" s="92"/>
      <c r="M587" s="96"/>
      <c r="O587" s="89"/>
      <c r="P587" s="88"/>
    </row>
    <row r="588" spans="1:16">
      <c r="A588" s="90" t="s">
        <v>196</v>
      </c>
      <c r="C588" s="92"/>
      <c r="D588" s="92"/>
      <c r="E588" s="92"/>
      <c r="J588" s="92"/>
    </row>
    <row r="589" spans="1:16">
      <c r="A589" s="93" t="s">
        <v>149</v>
      </c>
      <c r="C589" s="92">
        <v>575</v>
      </c>
      <c r="D589" s="92">
        <v>795</v>
      </c>
      <c r="E589" s="92"/>
      <c r="F589" s="158"/>
      <c r="G589" s="95"/>
      <c r="H589" s="96"/>
      <c r="I589" s="96"/>
      <c r="J589" s="92"/>
      <c r="K589" s="158"/>
      <c r="L589" s="95"/>
      <c r="M589" s="96"/>
    </row>
    <row r="590" spans="1:16">
      <c r="A590" s="93" t="s">
        <v>150</v>
      </c>
      <c r="C590" s="92">
        <v>12316825.99443122</v>
      </c>
      <c r="D590" s="92">
        <f>D610</f>
        <v>13419473.87727958</v>
      </c>
      <c r="E590" s="92"/>
      <c r="F590" s="158"/>
      <c r="G590" s="95"/>
      <c r="H590" s="96"/>
      <c r="I590" s="96"/>
      <c r="J590" s="92"/>
      <c r="K590" s="158"/>
      <c r="L590" s="95"/>
      <c r="M590" s="96"/>
      <c r="O590" s="103" t="s">
        <v>79</v>
      </c>
      <c r="P590" s="104">
        <f>M610</f>
        <v>4080387</v>
      </c>
    </row>
    <row r="591" spans="1:16">
      <c r="A591" s="90" t="s">
        <v>197</v>
      </c>
      <c r="B591" s="176" t="s">
        <v>198</v>
      </c>
      <c r="C591" s="92"/>
      <c r="D591" s="92"/>
      <c r="E591" s="92"/>
      <c r="J591" s="92"/>
      <c r="O591" s="106" t="s">
        <v>81</v>
      </c>
      <c r="P591" s="107">
        <f>'Rate Spread'!M41*1000</f>
        <v>4079481.6517876792</v>
      </c>
    </row>
    <row r="592" spans="1:16">
      <c r="A592" s="93" t="s">
        <v>199</v>
      </c>
      <c r="B592" s="177" t="s">
        <v>200</v>
      </c>
      <c r="C592" s="92">
        <v>29257.770727580355</v>
      </c>
      <c r="D592" s="92">
        <f>ROUND($C592*D$610/($C$610-$C$609),0)</f>
        <v>31877</v>
      </c>
      <c r="E592" s="92"/>
      <c r="F592" s="158">
        <v>11.82</v>
      </c>
      <c r="G592" s="95"/>
      <c r="H592" s="96">
        <f t="shared" ref="H592:I597" si="152">ROUND(C592*$F592,0)</f>
        <v>345827</v>
      </c>
      <c r="I592" s="96">
        <f t="shared" si="152"/>
        <v>376786</v>
      </c>
      <c r="J592" s="92"/>
      <c r="K592" s="158">
        <f t="shared" ref="K592:K597" si="153">ROUND(F592*(1+$P$594),2)</f>
        <v>12.37</v>
      </c>
      <c r="L592" s="95"/>
      <c r="M592" s="96">
        <f t="shared" ref="M592:M597" si="154">ROUND(D592*$K592,0)</f>
        <v>394318</v>
      </c>
      <c r="N592" s="72">
        <v>28</v>
      </c>
      <c r="O592" s="109" t="s">
        <v>83</v>
      </c>
      <c r="P592" s="110">
        <f>P591-P590</f>
        <v>-905.34821232082322</v>
      </c>
    </row>
    <row r="593" spans="1:16">
      <c r="A593" s="93" t="s">
        <v>201</v>
      </c>
      <c r="B593" s="177" t="s">
        <v>202</v>
      </c>
      <c r="C593" s="92">
        <v>184243.17346938769</v>
      </c>
      <c r="D593" s="92">
        <f t="shared" ref="D593:D608" si="155">ROUND($C593*D$610/($C$610-$C$609),0)</f>
        <v>200737</v>
      </c>
      <c r="E593" s="92"/>
      <c r="F593" s="158">
        <v>12.74</v>
      </c>
      <c r="G593" s="95"/>
      <c r="H593" s="96">
        <f t="shared" si="152"/>
        <v>2347258</v>
      </c>
      <c r="I593" s="96">
        <f t="shared" si="152"/>
        <v>2557389</v>
      </c>
      <c r="J593" s="92"/>
      <c r="K593" s="158">
        <f t="shared" si="153"/>
        <v>13.34</v>
      </c>
      <c r="L593" s="95"/>
      <c r="M593" s="96">
        <f t="shared" si="154"/>
        <v>2677832</v>
      </c>
      <c r="N593" s="72">
        <v>39</v>
      </c>
      <c r="O593" s="103" t="s">
        <v>86</v>
      </c>
      <c r="P593" s="149">
        <f>P590/I610-1</f>
        <v>4.6968774038868677E-2</v>
      </c>
    </row>
    <row r="594" spans="1:16">
      <c r="A594" s="93" t="s">
        <v>203</v>
      </c>
      <c r="B594" s="177" t="s">
        <v>204</v>
      </c>
      <c r="C594" s="92">
        <v>18351.686884003058</v>
      </c>
      <c r="D594" s="92">
        <f t="shared" si="155"/>
        <v>19995</v>
      </c>
      <c r="E594" s="92"/>
      <c r="F594" s="158">
        <v>13.19</v>
      </c>
      <c r="G594" s="95"/>
      <c r="H594" s="96">
        <f t="shared" si="152"/>
        <v>242059</v>
      </c>
      <c r="I594" s="96">
        <f t="shared" si="152"/>
        <v>263734</v>
      </c>
      <c r="J594" s="92"/>
      <c r="K594" s="158">
        <f t="shared" si="153"/>
        <v>13.81</v>
      </c>
      <c r="L594" s="95"/>
      <c r="M594" s="96">
        <f t="shared" si="154"/>
        <v>276131</v>
      </c>
      <c r="N594" s="72">
        <v>59</v>
      </c>
      <c r="O594" s="124" t="s">
        <v>88</v>
      </c>
      <c r="P594" s="151">
        <f>P591/I610-1</f>
        <v>4.6736474674143658E-2</v>
      </c>
    </row>
    <row r="595" spans="1:16">
      <c r="A595" s="93" t="s">
        <v>205</v>
      </c>
      <c r="B595" s="177" t="s">
        <v>206</v>
      </c>
      <c r="C595" s="92">
        <v>414.56673960612699</v>
      </c>
      <c r="D595" s="92">
        <f t="shared" si="155"/>
        <v>452</v>
      </c>
      <c r="E595" s="92"/>
      <c r="F595" s="158">
        <v>13.71</v>
      </c>
      <c r="G595" s="95"/>
      <c r="H595" s="96">
        <f t="shared" si="152"/>
        <v>5684</v>
      </c>
      <c r="I595" s="96">
        <f t="shared" si="152"/>
        <v>6197</v>
      </c>
      <c r="J595" s="92"/>
      <c r="K595" s="158">
        <f t="shared" si="153"/>
        <v>14.35</v>
      </c>
      <c r="L595" s="95"/>
      <c r="M595" s="96">
        <f t="shared" si="154"/>
        <v>6486</v>
      </c>
      <c r="N595" s="72">
        <v>93</v>
      </c>
    </row>
    <row r="596" spans="1:16">
      <c r="A596" s="93" t="s">
        <v>207</v>
      </c>
      <c r="B596" s="177" t="s">
        <v>208</v>
      </c>
      <c r="C596" s="92">
        <v>18659.322602739714</v>
      </c>
      <c r="D596" s="92">
        <f t="shared" si="155"/>
        <v>20330</v>
      </c>
      <c r="E596" s="92"/>
      <c r="F596" s="158">
        <v>14.6</v>
      </c>
      <c r="G596" s="95"/>
      <c r="H596" s="96">
        <f t="shared" si="152"/>
        <v>272426</v>
      </c>
      <c r="I596" s="96">
        <f t="shared" si="152"/>
        <v>296818</v>
      </c>
      <c r="J596" s="92"/>
      <c r="K596" s="158">
        <f t="shared" si="153"/>
        <v>15.28</v>
      </c>
      <c r="L596" s="95"/>
      <c r="M596" s="96">
        <f t="shared" si="154"/>
        <v>310642</v>
      </c>
      <c r="N596" s="72">
        <v>96</v>
      </c>
    </row>
    <row r="597" spans="1:16">
      <c r="A597" s="93" t="s">
        <v>209</v>
      </c>
      <c r="B597" s="177" t="s">
        <v>210</v>
      </c>
      <c r="C597" s="92">
        <v>6734.4518309859168</v>
      </c>
      <c r="D597" s="92">
        <f t="shared" si="155"/>
        <v>7337</v>
      </c>
      <c r="E597" s="92"/>
      <c r="F597" s="158">
        <v>17.75</v>
      </c>
      <c r="G597" s="95"/>
      <c r="H597" s="96">
        <f t="shared" si="152"/>
        <v>119537</v>
      </c>
      <c r="I597" s="96">
        <f t="shared" si="152"/>
        <v>130232</v>
      </c>
      <c r="J597" s="92"/>
      <c r="K597" s="158">
        <f t="shared" si="153"/>
        <v>18.579999999999998</v>
      </c>
      <c r="L597" s="95"/>
      <c r="M597" s="96">
        <f t="shared" si="154"/>
        <v>136321</v>
      </c>
      <c r="N597" s="72">
        <v>148</v>
      </c>
    </row>
    <row r="598" spans="1:16">
      <c r="A598" s="90" t="s">
        <v>211</v>
      </c>
      <c r="B598" s="177"/>
      <c r="C598" s="92"/>
      <c r="D598" s="92"/>
      <c r="E598" s="92"/>
      <c r="F598" s="158"/>
      <c r="G598" s="95"/>
      <c r="H598" s="96"/>
      <c r="I598" s="96"/>
      <c r="J598" s="92"/>
      <c r="K598" s="158"/>
      <c r="L598" s="95"/>
      <c r="M598" s="96"/>
    </row>
    <row r="599" spans="1:16">
      <c r="A599" s="93" t="s">
        <v>203</v>
      </c>
      <c r="B599" s="177" t="s">
        <v>212</v>
      </c>
      <c r="C599" s="92">
        <v>3182.0427645788341</v>
      </c>
      <c r="D599" s="92">
        <f t="shared" si="155"/>
        <v>3467</v>
      </c>
      <c r="E599" s="92"/>
      <c r="F599" s="158">
        <v>23.15</v>
      </c>
      <c r="G599" s="95"/>
      <c r="H599" s="96">
        <f>ROUND(C599*$F599,0)</f>
        <v>73664</v>
      </c>
      <c r="I599" s="96">
        <f>ROUND(D599*$F599,0)</f>
        <v>80261</v>
      </c>
      <c r="J599" s="92"/>
      <c r="K599" s="158">
        <f>ROUND(F599*(1+$P$594),2)</f>
        <v>24.23</v>
      </c>
      <c r="L599" s="95"/>
      <c r="M599" s="96">
        <f>ROUND(D599*$K599,0)</f>
        <v>84005</v>
      </c>
      <c r="N599" s="72">
        <v>39</v>
      </c>
    </row>
    <row r="600" spans="1:16">
      <c r="A600" s="90" t="s">
        <v>213</v>
      </c>
      <c r="B600" s="177"/>
      <c r="C600" s="92"/>
      <c r="D600" s="92"/>
      <c r="E600" s="92"/>
      <c r="F600" s="158"/>
      <c r="G600" s="95"/>
      <c r="H600" s="96"/>
      <c r="I600" s="96"/>
      <c r="J600" s="92"/>
      <c r="K600" s="158"/>
      <c r="L600" s="95"/>
      <c r="M600" s="96"/>
    </row>
    <row r="601" spans="1:16">
      <c r="A601" s="93" t="s">
        <v>199</v>
      </c>
      <c r="B601" s="177" t="s">
        <v>200</v>
      </c>
      <c r="C601" s="92">
        <v>1159.5</v>
      </c>
      <c r="D601" s="92">
        <f t="shared" si="155"/>
        <v>1263</v>
      </c>
      <c r="E601" s="92"/>
      <c r="F601" s="158">
        <v>6.04</v>
      </c>
      <c r="G601" s="95"/>
      <c r="H601" s="96">
        <f t="shared" ref="H601:I606" si="156">ROUND(C601*$F601,0)</f>
        <v>7003</v>
      </c>
      <c r="I601" s="96">
        <f t="shared" si="156"/>
        <v>7629</v>
      </c>
      <c r="J601" s="92"/>
      <c r="K601" s="158">
        <f t="shared" ref="K601:K606" si="157">ROUND(F601*(1+$P$594),2)</f>
        <v>6.32</v>
      </c>
      <c r="L601" s="95"/>
      <c r="M601" s="96">
        <f t="shared" ref="M601:M606" si="158">ROUND(D601*$K601,0)</f>
        <v>7982</v>
      </c>
      <c r="N601" s="72">
        <v>8</v>
      </c>
    </row>
    <row r="602" spans="1:16">
      <c r="A602" s="93" t="s">
        <v>201</v>
      </c>
      <c r="B602" s="177" t="s">
        <v>202</v>
      </c>
      <c r="C602" s="92">
        <v>16471.8554033486</v>
      </c>
      <c r="D602" s="92">
        <f t="shared" si="155"/>
        <v>17946</v>
      </c>
      <c r="E602" s="92"/>
      <c r="F602" s="158">
        <v>6.57</v>
      </c>
      <c r="G602" s="95"/>
      <c r="H602" s="96">
        <f t="shared" si="156"/>
        <v>108220</v>
      </c>
      <c r="I602" s="96">
        <f t="shared" si="156"/>
        <v>117905</v>
      </c>
      <c r="J602" s="92"/>
      <c r="K602" s="158">
        <f t="shared" si="157"/>
        <v>6.88</v>
      </c>
      <c r="L602" s="95"/>
      <c r="M602" s="96">
        <f t="shared" si="158"/>
        <v>123468</v>
      </c>
      <c r="N602" s="72">
        <v>15</v>
      </c>
    </row>
    <row r="603" spans="1:16">
      <c r="A603" s="93" t="s">
        <v>203</v>
      </c>
      <c r="B603" s="177" t="s">
        <v>204</v>
      </c>
      <c r="C603" s="92">
        <v>3007.4806866952799</v>
      </c>
      <c r="D603" s="92">
        <f t="shared" si="155"/>
        <v>3277</v>
      </c>
      <c r="E603" s="92"/>
      <c r="F603" s="158">
        <v>6.99</v>
      </c>
      <c r="G603" s="95"/>
      <c r="H603" s="96">
        <f t="shared" si="156"/>
        <v>21022</v>
      </c>
      <c r="I603" s="96">
        <f t="shared" si="156"/>
        <v>22906</v>
      </c>
      <c r="J603" s="92"/>
      <c r="K603" s="158">
        <f t="shared" si="157"/>
        <v>7.32</v>
      </c>
      <c r="L603" s="95"/>
      <c r="M603" s="96">
        <f t="shared" si="158"/>
        <v>23988</v>
      </c>
      <c r="N603" s="72">
        <v>25</v>
      </c>
    </row>
    <row r="604" spans="1:16">
      <c r="A604" s="93" t="s">
        <v>205</v>
      </c>
      <c r="B604" s="177" t="s">
        <v>206</v>
      </c>
      <c r="C604" s="92">
        <v>0</v>
      </c>
      <c r="D604" s="92">
        <f t="shared" si="155"/>
        <v>0</v>
      </c>
      <c r="E604" s="92"/>
      <c r="F604" s="158">
        <v>7.46</v>
      </c>
      <c r="G604" s="95"/>
      <c r="H604" s="96">
        <f t="shared" si="156"/>
        <v>0</v>
      </c>
      <c r="I604" s="96">
        <f t="shared" si="156"/>
        <v>0</v>
      </c>
      <c r="J604" s="92"/>
      <c r="K604" s="158">
        <f t="shared" si="157"/>
        <v>7.81</v>
      </c>
      <c r="L604" s="95"/>
      <c r="M604" s="96">
        <f t="shared" si="158"/>
        <v>0</v>
      </c>
      <c r="N604" s="72">
        <v>34</v>
      </c>
    </row>
    <row r="605" spans="1:16">
      <c r="A605" s="93" t="s">
        <v>207</v>
      </c>
      <c r="B605" s="177" t="s">
        <v>208</v>
      </c>
      <c r="C605" s="92">
        <v>2547.2662500000001</v>
      </c>
      <c r="D605" s="92">
        <f t="shared" si="155"/>
        <v>2775</v>
      </c>
      <c r="E605" s="92"/>
      <c r="F605" s="158">
        <v>8</v>
      </c>
      <c r="G605" s="95"/>
      <c r="H605" s="96">
        <f t="shared" si="156"/>
        <v>20378</v>
      </c>
      <c r="I605" s="96">
        <f t="shared" si="156"/>
        <v>22200</v>
      </c>
      <c r="J605" s="92"/>
      <c r="K605" s="158">
        <f t="shared" si="157"/>
        <v>8.3699999999999992</v>
      </c>
      <c r="L605" s="95"/>
      <c r="M605" s="96">
        <f t="shared" si="158"/>
        <v>23227</v>
      </c>
      <c r="N605" s="72">
        <v>44</v>
      </c>
    </row>
    <row r="606" spans="1:16">
      <c r="A606" s="93" t="s">
        <v>209</v>
      </c>
      <c r="B606" s="177" t="s">
        <v>210</v>
      </c>
      <c r="C606" s="92">
        <v>1103.13271604938</v>
      </c>
      <c r="D606" s="92">
        <f t="shared" si="155"/>
        <v>1202</v>
      </c>
      <c r="E606" s="92"/>
      <c r="F606" s="158">
        <v>9.7200000000000006</v>
      </c>
      <c r="G606" s="95"/>
      <c r="H606" s="96">
        <f t="shared" si="156"/>
        <v>10722</v>
      </c>
      <c r="I606" s="96">
        <f t="shared" si="156"/>
        <v>11683</v>
      </c>
      <c r="J606" s="92"/>
      <c r="K606" s="158">
        <f t="shared" si="157"/>
        <v>10.17</v>
      </c>
      <c r="L606" s="95"/>
      <c r="M606" s="96">
        <f t="shared" si="158"/>
        <v>12224</v>
      </c>
      <c r="N606" s="72">
        <v>57</v>
      </c>
    </row>
    <row r="607" spans="1:16">
      <c r="A607" s="90" t="s">
        <v>214</v>
      </c>
      <c r="B607" s="177"/>
      <c r="C607" s="92"/>
      <c r="D607" s="92"/>
      <c r="E607" s="92"/>
      <c r="F607" s="158"/>
      <c r="G607" s="95"/>
      <c r="H607" s="96"/>
      <c r="I607" s="96"/>
      <c r="J607" s="92"/>
      <c r="K607" s="158"/>
      <c r="L607" s="95"/>
      <c r="M607" s="96"/>
    </row>
    <row r="608" spans="1:16">
      <c r="A608" s="93" t="s">
        <v>203</v>
      </c>
      <c r="B608" s="177" t="s">
        <v>212</v>
      </c>
      <c r="C608" s="92">
        <v>597.67572463768101</v>
      </c>
      <c r="D608" s="92">
        <f t="shared" si="155"/>
        <v>651</v>
      </c>
      <c r="E608" s="92"/>
      <c r="F608" s="158">
        <v>5.52</v>
      </c>
      <c r="G608" s="95"/>
      <c r="H608" s="96">
        <f>ROUND(C608*$F608,0)</f>
        <v>3299</v>
      </c>
      <c r="I608" s="96">
        <f>ROUND(D608*$F608,0)</f>
        <v>3594</v>
      </c>
      <c r="J608" s="92"/>
      <c r="K608" s="158">
        <f>ROUND(F608*(1+$P$594),2)</f>
        <v>5.78</v>
      </c>
      <c r="L608" s="95"/>
      <c r="M608" s="96">
        <f>ROUND(D608*$K608,0)</f>
        <v>3763</v>
      </c>
      <c r="N608" s="72">
        <v>25</v>
      </c>
    </row>
    <row r="609" spans="1:16">
      <c r="A609" s="129" t="s">
        <v>103</v>
      </c>
      <c r="B609" s="130"/>
      <c r="C609" s="92">
        <v>16468</v>
      </c>
      <c r="D609" s="92"/>
      <c r="E609" s="92"/>
      <c r="F609" s="131"/>
      <c r="G609" s="9"/>
      <c r="H609" s="96">
        <v>4799</v>
      </c>
      <c r="I609" s="96"/>
      <c r="J609" s="92"/>
      <c r="K609" s="131"/>
      <c r="L609" s="9"/>
      <c r="M609" s="96"/>
      <c r="N609" s="121"/>
      <c r="O609" s="121"/>
      <c r="P609" s="121"/>
    </row>
    <row r="610" spans="1:16" ht="16.5" thickBot="1">
      <c r="A610" s="133" t="s">
        <v>154</v>
      </c>
      <c r="B610" s="178"/>
      <c r="C610" s="160">
        <f>C590+C609</f>
        <v>12333293.99443122</v>
      </c>
      <c r="D610" s="160">
        <v>13419473.87727958</v>
      </c>
      <c r="E610" s="160"/>
      <c r="F610" s="179"/>
      <c r="G610" s="179"/>
      <c r="H610" s="179">
        <f>SUM(H592:H609)</f>
        <v>3581898</v>
      </c>
      <c r="I610" s="179">
        <f>SUM(I592:I609)</f>
        <v>3897334</v>
      </c>
      <c r="J610" s="160"/>
      <c r="K610" s="179"/>
      <c r="L610" s="179"/>
      <c r="M610" s="179">
        <f>SUM(M592:M609)</f>
        <v>4080387</v>
      </c>
      <c r="O610" s="89" t="s">
        <v>86</v>
      </c>
      <c r="P610" s="88">
        <f>M610/I610-1</f>
        <v>4.6968774038868677E-2</v>
      </c>
    </row>
    <row r="611" spans="1:16" ht="16.5" thickTop="1">
      <c r="C611" s="92"/>
      <c r="D611" s="92"/>
      <c r="E611" s="92"/>
      <c r="J611" s="92"/>
    </row>
    <row r="612" spans="1:16">
      <c r="A612" s="90" t="s">
        <v>215</v>
      </c>
      <c r="C612" s="92"/>
      <c r="D612" s="92"/>
      <c r="E612" s="92"/>
      <c r="J612" s="92"/>
    </row>
    <row r="613" spans="1:16">
      <c r="A613" s="180" t="s">
        <v>216</v>
      </c>
      <c r="C613" s="92"/>
      <c r="D613" s="92"/>
      <c r="E613" s="92"/>
      <c r="H613" s="96"/>
      <c r="I613" s="96"/>
      <c r="J613" s="92"/>
      <c r="M613" s="96"/>
    </row>
    <row r="614" spans="1:16">
      <c r="A614" s="181" t="s">
        <v>217</v>
      </c>
      <c r="C614" s="92"/>
      <c r="D614" s="92"/>
      <c r="E614" s="92"/>
      <c r="H614" s="96"/>
      <c r="I614" s="96"/>
      <c r="J614" s="92"/>
      <c r="M614" s="96"/>
    </row>
    <row r="615" spans="1:16">
      <c r="A615" s="93" t="s">
        <v>218</v>
      </c>
      <c r="C615" s="92">
        <v>23734.097744360901</v>
      </c>
      <c r="D615" s="92">
        <f>ROUND($C615*D$628/($C$628-$C$627),0)</f>
        <v>18153</v>
      </c>
      <c r="E615" s="92"/>
      <c r="F615" s="95">
        <v>1.33</v>
      </c>
      <c r="G615" s="95"/>
      <c r="H615" s="96">
        <f t="shared" ref="H615:I619" si="159">ROUND(C615*$F615,0)</f>
        <v>31566</v>
      </c>
      <c r="I615" s="96">
        <f t="shared" si="159"/>
        <v>24143</v>
      </c>
      <c r="J615" s="92"/>
      <c r="K615" s="95">
        <f>ROUND(F615*(1+$P$619),2)</f>
        <v>1.39</v>
      </c>
      <c r="L615" s="95"/>
      <c r="M615" s="96">
        <f>ROUND(D615*$K615,0)</f>
        <v>25233</v>
      </c>
      <c r="N615" s="72">
        <v>28</v>
      </c>
      <c r="O615" s="103" t="s">
        <v>79</v>
      </c>
      <c r="P615" s="104">
        <f>M687</f>
        <v>1554244</v>
      </c>
    </row>
    <row r="616" spans="1:16">
      <c r="A616" s="93" t="s">
        <v>219</v>
      </c>
      <c r="C616" s="92">
        <v>101519.480662983</v>
      </c>
      <c r="D616" s="92">
        <f t="shared" ref="D616:D626" si="160">ROUND($C616*D$628/($C$628-$C$627),0)</f>
        <v>77646</v>
      </c>
      <c r="E616" s="92"/>
      <c r="F616" s="95">
        <v>1.81</v>
      </c>
      <c r="G616" s="95"/>
      <c r="H616" s="96">
        <f t="shared" si="159"/>
        <v>183750</v>
      </c>
      <c r="I616" s="96">
        <f t="shared" si="159"/>
        <v>140539</v>
      </c>
      <c r="J616" s="92"/>
      <c r="K616" s="95">
        <f>ROUND(F616*(1+$P$619),2)</f>
        <v>1.89</v>
      </c>
      <c r="L616" s="95"/>
      <c r="M616" s="96">
        <f>ROUND(D616*$K616,0)</f>
        <v>146751</v>
      </c>
      <c r="N616" s="72">
        <v>39</v>
      </c>
      <c r="O616" s="106" t="s">
        <v>81</v>
      </c>
      <c r="P616" s="107">
        <f>'Rate Spread'!M42*1000</f>
        <v>1554238.2805281051</v>
      </c>
    </row>
    <row r="617" spans="1:16">
      <c r="A617" s="93" t="s">
        <v>220</v>
      </c>
      <c r="C617" s="92">
        <v>28166.2830188679</v>
      </c>
      <c r="D617" s="92">
        <f t="shared" si="160"/>
        <v>21543</v>
      </c>
      <c r="E617" s="92"/>
      <c r="F617" s="95">
        <v>2.65</v>
      </c>
      <c r="G617" s="95"/>
      <c r="H617" s="96">
        <f t="shared" si="159"/>
        <v>74641</v>
      </c>
      <c r="I617" s="96">
        <f t="shared" si="159"/>
        <v>57089</v>
      </c>
      <c r="J617" s="92"/>
      <c r="K617" s="95">
        <f>ROUND(F617*(1+$P$619),2)</f>
        <v>2.77</v>
      </c>
      <c r="L617" s="95"/>
      <c r="M617" s="96">
        <f>ROUND(D617*$K617,0)</f>
        <v>59674</v>
      </c>
      <c r="N617" s="72">
        <v>59</v>
      </c>
      <c r="O617" s="109" t="s">
        <v>83</v>
      </c>
      <c r="P617" s="110">
        <f>P616-P615</f>
        <v>-5.7194718949031085</v>
      </c>
    </row>
    <row r="618" spans="1:16">
      <c r="A618" s="93" t="s">
        <v>221</v>
      </c>
      <c r="C618" s="92">
        <v>20594.515856236801</v>
      </c>
      <c r="D618" s="92">
        <f t="shared" si="160"/>
        <v>15752</v>
      </c>
      <c r="E618" s="92"/>
      <c r="F618" s="95">
        <v>4.7300000000000004</v>
      </c>
      <c r="G618" s="95"/>
      <c r="H618" s="96">
        <f t="shared" si="159"/>
        <v>97412</v>
      </c>
      <c r="I618" s="96">
        <f t="shared" si="159"/>
        <v>74507</v>
      </c>
      <c r="J618" s="92"/>
      <c r="K618" s="95">
        <f>ROUND(F618*(1+$P$619),2)</f>
        <v>4.95</v>
      </c>
      <c r="L618" s="95"/>
      <c r="M618" s="96">
        <f>ROUND(D618*$K618,0)</f>
        <v>77972</v>
      </c>
      <c r="N618" s="72">
        <v>96</v>
      </c>
      <c r="O618" s="103" t="s">
        <v>86</v>
      </c>
      <c r="P618" s="149">
        <f>P615/I687-1</f>
        <v>4.6740326580201774E-2</v>
      </c>
    </row>
    <row r="619" spans="1:16">
      <c r="A619" s="93" t="s">
        <v>222</v>
      </c>
      <c r="C619" s="92">
        <v>13581.5873452545</v>
      </c>
      <c r="D619" s="92">
        <f t="shared" si="160"/>
        <v>10388</v>
      </c>
      <c r="E619" s="92"/>
      <c r="F619" s="95">
        <v>7.27</v>
      </c>
      <c r="G619" s="95"/>
      <c r="H619" s="96">
        <f t="shared" si="159"/>
        <v>98738</v>
      </c>
      <c r="I619" s="96">
        <f t="shared" si="159"/>
        <v>75521</v>
      </c>
      <c r="J619" s="92"/>
      <c r="K619" s="95">
        <f>ROUND(F619*(1+$P$619),2)</f>
        <v>7.61</v>
      </c>
      <c r="L619" s="95"/>
      <c r="M619" s="96">
        <f>ROUND(D619*$K619,0)</f>
        <v>79053</v>
      </c>
      <c r="N619" s="72">
        <v>148</v>
      </c>
      <c r="O619" s="124" t="s">
        <v>88</v>
      </c>
      <c r="P619" s="151">
        <f>P616/I687-1</f>
        <v>4.673647467414388E-2</v>
      </c>
    </row>
    <row r="620" spans="1:16">
      <c r="A620" s="181" t="s">
        <v>223</v>
      </c>
      <c r="C620" s="92"/>
      <c r="D620" s="92"/>
      <c r="E620" s="92"/>
      <c r="F620" s="147"/>
      <c r="G620" s="147"/>
      <c r="H620" s="96"/>
      <c r="I620" s="96"/>
      <c r="J620" s="92"/>
      <c r="K620" s="147"/>
      <c r="L620" s="147"/>
      <c r="M620" s="96"/>
    </row>
    <row r="621" spans="1:16">
      <c r="A621" s="93" t="s">
        <v>224</v>
      </c>
      <c r="C621" s="92">
        <v>6569.7621621621602</v>
      </c>
      <c r="D621" s="92">
        <f t="shared" si="160"/>
        <v>5025</v>
      </c>
      <c r="E621" s="92"/>
      <c r="F621" s="95">
        <v>1.85</v>
      </c>
      <c r="G621" s="95"/>
      <c r="H621" s="96">
        <f t="shared" ref="H621:I624" si="161">ROUND(C621*$F621,0)</f>
        <v>12154</v>
      </c>
      <c r="I621" s="96">
        <f t="shared" si="161"/>
        <v>9296</v>
      </c>
      <c r="J621" s="92"/>
      <c r="K621" s="95">
        <f>ROUND(F621*(1+$P$619),2)</f>
        <v>1.94</v>
      </c>
      <c r="L621" s="95"/>
      <c r="M621" s="96">
        <f>ROUND(D621*$K621,0)</f>
        <v>9749</v>
      </c>
      <c r="N621" s="72">
        <v>39</v>
      </c>
    </row>
    <row r="622" spans="1:16">
      <c r="A622" s="93" t="s">
        <v>225</v>
      </c>
      <c r="C622" s="92">
        <v>11131.567901234601</v>
      </c>
      <c r="D622" s="92">
        <f t="shared" si="160"/>
        <v>8514</v>
      </c>
      <c r="E622" s="92"/>
      <c r="F622" s="95">
        <v>3.24</v>
      </c>
      <c r="G622" s="95"/>
      <c r="H622" s="96">
        <f t="shared" si="161"/>
        <v>36066</v>
      </c>
      <c r="I622" s="96">
        <f t="shared" si="161"/>
        <v>27585</v>
      </c>
      <c r="J622" s="92"/>
      <c r="K622" s="95">
        <f>ROUND(F622*(1+$P$619),2)</f>
        <v>3.39</v>
      </c>
      <c r="L622" s="95"/>
      <c r="M622" s="96">
        <f>ROUND(D622*$K622,0)</f>
        <v>28862</v>
      </c>
      <c r="N622" s="72">
        <v>69</v>
      </c>
    </row>
    <row r="623" spans="1:16">
      <c r="A623" s="93" t="s">
        <v>226</v>
      </c>
      <c r="C623" s="92">
        <v>13239.808035714301</v>
      </c>
      <c r="D623" s="92">
        <f t="shared" si="160"/>
        <v>10126</v>
      </c>
      <c r="E623" s="92"/>
      <c r="F623" s="95">
        <v>4.4800000000000004</v>
      </c>
      <c r="G623" s="95"/>
      <c r="H623" s="96">
        <f t="shared" si="161"/>
        <v>59314</v>
      </c>
      <c r="I623" s="96">
        <f t="shared" si="161"/>
        <v>45364</v>
      </c>
      <c r="J623" s="92"/>
      <c r="K623" s="95">
        <f>ROUND(F623*(1+$P$619),2)</f>
        <v>4.6900000000000004</v>
      </c>
      <c r="L623" s="95"/>
      <c r="M623" s="96">
        <f>ROUND(D623*$K623,0)</f>
        <v>47491</v>
      </c>
      <c r="N623" s="72">
        <v>93</v>
      </c>
    </row>
    <row r="624" spans="1:16">
      <c r="A624" s="93" t="s">
        <v>227</v>
      </c>
      <c r="C624" s="92">
        <v>5912.6727785613502</v>
      </c>
      <c r="D624" s="92">
        <f t="shared" si="160"/>
        <v>4522</v>
      </c>
      <c r="E624" s="92"/>
      <c r="F624" s="95">
        <v>7.09</v>
      </c>
      <c r="G624" s="95"/>
      <c r="H624" s="96">
        <f t="shared" si="161"/>
        <v>41921</v>
      </c>
      <c r="I624" s="96">
        <f t="shared" si="161"/>
        <v>32061</v>
      </c>
      <c r="J624" s="92"/>
      <c r="K624" s="95">
        <f>ROUND(F624*(1+$P$619),2)</f>
        <v>7.42</v>
      </c>
      <c r="L624" s="95"/>
      <c r="M624" s="96">
        <f>ROUND(D624*$K624,0)</f>
        <v>33553</v>
      </c>
      <c r="N624" s="72">
        <v>145</v>
      </c>
    </row>
    <row r="625" spans="1:16">
      <c r="A625" s="181" t="s">
        <v>228</v>
      </c>
      <c r="C625" s="92">
        <v>22698274.211023536</v>
      </c>
      <c r="D625" s="92">
        <f t="shared" si="160"/>
        <v>17360581</v>
      </c>
      <c r="E625" s="92"/>
      <c r="F625" s="182">
        <v>4.5465</v>
      </c>
      <c r="G625" s="120" t="s">
        <v>90</v>
      </c>
      <c r="H625" s="96">
        <f>ROUND(C625*$F625/100,0)</f>
        <v>1031977</v>
      </c>
      <c r="I625" s="96">
        <f>ROUND(D625*$F625/100,0)</f>
        <v>789299</v>
      </c>
      <c r="J625" s="92"/>
      <c r="K625" s="182">
        <f>ROUND((P616-SUM(M615:M624,M660,M681))/D625*100,P9)</f>
        <v>4.7618</v>
      </c>
      <c r="L625" s="120" t="s">
        <v>90</v>
      </c>
      <c r="M625" s="96">
        <f>ROUND(D625*$K625/100,0)</f>
        <v>826676</v>
      </c>
    </row>
    <row r="626" spans="1:16">
      <c r="A626" s="181" t="s">
        <v>229</v>
      </c>
      <c r="C626" s="183">
        <v>13385712.23983039</v>
      </c>
      <c r="D626" s="183">
        <f t="shared" si="160"/>
        <v>10237948</v>
      </c>
      <c r="E626" s="183"/>
      <c r="F626" s="184"/>
      <c r="G626" s="120"/>
      <c r="H626" s="185"/>
      <c r="I626" s="185"/>
      <c r="J626" s="183"/>
      <c r="K626" s="184"/>
      <c r="L626" s="120"/>
      <c r="M626" s="185"/>
    </row>
    <row r="627" spans="1:16">
      <c r="A627" s="129" t="s">
        <v>103</v>
      </c>
      <c r="B627" s="130"/>
      <c r="C627" s="92">
        <v>48246</v>
      </c>
      <c r="D627" s="92"/>
      <c r="E627" s="92"/>
      <c r="F627" s="131"/>
      <c r="G627" s="9"/>
      <c r="H627" s="96">
        <v>2237</v>
      </c>
      <c r="I627" s="96"/>
      <c r="J627" s="92"/>
      <c r="K627" s="131"/>
      <c r="L627" s="9"/>
      <c r="M627" s="96"/>
      <c r="N627" s="121"/>
      <c r="O627" s="121"/>
      <c r="P627" s="121"/>
    </row>
    <row r="628" spans="1:16">
      <c r="A628" s="181" t="s">
        <v>105</v>
      </c>
      <c r="C628" s="92">
        <f>SUM(C625:C627)</f>
        <v>36132232.450853929</v>
      </c>
      <c r="D628" s="92">
        <v>27598529.259610202</v>
      </c>
      <c r="E628" s="92"/>
      <c r="F628" s="182"/>
      <c r="G628" s="120"/>
      <c r="H628" s="96">
        <f>SUM(H615:H627)</f>
        <v>1669776</v>
      </c>
      <c r="I628" s="96">
        <f>SUM(I615:I627)</f>
        <v>1275404</v>
      </c>
      <c r="J628" s="92"/>
      <c r="K628" s="182"/>
      <c r="L628" s="120"/>
      <c r="M628" s="96">
        <f>SUM(M615:M627)</f>
        <v>1335014</v>
      </c>
    </row>
    <row r="629" spans="1:16">
      <c r="A629" s="181" t="s">
        <v>8</v>
      </c>
      <c r="C629" s="183">
        <v>990</v>
      </c>
      <c r="D629" s="183">
        <v>1132</v>
      </c>
      <c r="E629" s="183"/>
      <c r="F629" s="184"/>
      <c r="G629" s="120"/>
      <c r="H629" s="185"/>
      <c r="I629" s="185"/>
      <c r="J629" s="183"/>
      <c r="K629" s="184"/>
      <c r="L629" s="120"/>
      <c r="M629" s="185"/>
    </row>
    <row r="630" spans="1:16">
      <c r="A630" s="186" t="s">
        <v>230</v>
      </c>
      <c r="C630" s="92"/>
      <c r="D630" s="92"/>
      <c r="E630" s="92"/>
      <c r="J630" s="92"/>
    </row>
    <row r="631" spans="1:16">
      <c r="A631" s="181" t="s">
        <v>231</v>
      </c>
      <c r="C631" s="92"/>
      <c r="D631" s="92"/>
      <c r="E631" s="92"/>
      <c r="H631" s="96"/>
      <c r="I631" s="96"/>
      <c r="J631" s="92"/>
      <c r="M631" s="96"/>
    </row>
    <row r="632" spans="1:16">
      <c r="A632" s="93" t="s">
        <v>232</v>
      </c>
      <c r="C632" s="92">
        <v>72</v>
      </c>
      <c r="D632" s="92">
        <f>ROUND($C632*D$660/($C$660-$C$659),0)</f>
        <v>74</v>
      </c>
      <c r="E632" s="92"/>
      <c r="F632" s="95">
        <v>6.5</v>
      </c>
      <c r="G632" s="95"/>
      <c r="H632" s="96">
        <f>ROUND(C632*$F632,0)</f>
        <v>468</v>
      </c>
      <c r="I632" s="96">
        <f>ROUND(D632*$F632,0)</f>
        <v>481</v>
      </c>
      <c r="J632" s="92"/>
      <c r="K632" s="95">
        <f>ROUND(F632*(1+$P$619),2)</f>
        <v>6.8</v>
      </c>
      <c r="L632" s="95"/>
      <c r="M632" s="96">
        <f>ROUND(D632*$K632,0)</f>
        <v>503</v>
      </c>
      <c r="N632" s="72">
        <v>64</v>
      </c>
    </row>
    <row r="633" spans="1:16">
      <c r="A633" s="93" t="s">
        <v>233</v>
      </c>
      <c r="C633" s="92">
        <v>36</v>
      </c>
      <c r="D633" s="92">
        <f>ROUND($C633*D$660/($C$660-$C$659),0)</f>
        <v>37</v>
      </c>
      <c r="E633" s="92"/>
      <c r="F633" s="95">
        <v>8.84</v>
      </c>
      <c r="G633" s="95"/>
      <c r="H633" s="96">
        <f>ROUND(C633*$F633,0)</f>
        <v>318</v>
      </c>
      <c r="I633" s="96">
        <f>ROUND(D633*$F633,0)</f>
        <v>327</v>
      </c>
      <c r="J633" s="92"/>
      <c r="K633" s="95">
        <f>ROUND(F633*(1+$P$619),2)</f>
        <v>9.25</v>
      </c>
      <c r="L633" s="95"/>
      <c r="M633" s="96">
        <f>ROUND(D633*$K633,0)</f>
        <v>342</v>
      </c>
      <c r="N633" s="72">
        <v>99</v>
      </c>
    </row>
    <row r="634" spans="1:16">
      <c r="A634" s="181" t="s">
        <v>234</v>
      </c>
      <c r="C634" s="92"/>
      <c r="D634" s="92"/>
      <c r="E634" s="92"/>
      <c r="F634" s="95"/>
      <c r="G634" s="95"/>
      <c r="J634" s="92"/>
      <c r="K634" s="95"/>
      <c r="L634" s="95"/>
    </row>
    <row r="635" spans="1:16">
      <c r="A635" s="93" t="s">
        <v>235</v>
      </c>
      <c r="C635" s="92">
        <v>576</v>
      </c>
      <c r="D635" s="92">
        <f>ROUND($C635*D$660/($C$660-$C$659),0)</f>
        <v>594</v>
      </c>
      <c r="E635" s="92"/>
      <c r="F635" s="147">
        <v>5.08</v>
      </c>
      <c r="G635" s="95"/>
      <c r="H635" s="96">
        <f t="shared" ref="H635:I637" si="162">ROUND(C635*$F635,0)</f>
        <v>2926</v>
      </c>
      <c r="I635" s="96">
        <f t="shared" si="162"/>
        <v>3018</v>
      </c>
      <c r="J635" s="92"/>
      <c r="K635" s="95">
        <f>ROUND(F635*(1+$P$619),2)</f>
        <v>5.32</v>
      </c>
      <c r="L635" s="95"/>
      <c r="M635" s="96">
        <f>ROUND(D635*$K635,0)</f>
        <v>3160</v>
      </c>
      <c r="N635" s="72">
        <v>69</v>
      </c>
    </row>
    <row r="636" spans="1:16">
      <c r="A636" s="93" t="s">
        <v>236</v>
      </c>
      <c r="C636" s="92">
        <v>84</v>
      </c>
      <c r="D636" s="92">
        <f>ROUND($C636*D$660/($C$660-$C$659),0)</f>
        <v>87</v>
      </c>
      <c r="E636" s="92"/>
      <c r="F636" s="95">
        <v>9.67</v>
      </c>
      <c r="G636" s="95"/>
      <c r="H636" s="96">
        <f t="shared" si="162"/>
        <v>812</v>
      </c>
      <c r="I636" s="96">
        <f t="shared" si="162"/>
        <v>841</v>
      </c>
      <c r="J636" s="92"/>
      <c r="K636" s="95">
        <f>ROUND(F636*(1+$P$619),2)</f>
        <v>10.119999999999999</v>
      </c>
      <c r="L636" s="95"/>
      <c r="M636" s="96">
        <f>ROUND(D636*$K636,0)</f>
        <v>880</v>
      </c>
      <c r="N636" s="72">
        <v>145</v>
      </c>
    </row>
    <row r="637" spans="1:16">
      <c r="A637" s="93" t="s">
        <v>237</v>
      </c>
      <c r="C637" s="92">
        <v>0</v>
      </c>
      <c r="D637" s="92">
        <f>ROUND($C637*D$660/($C$660-$C$659),0)</f>
        <v>0</v>
      </c>
      <c r="E637" s="92"/>
      <c r="F637" s="95">
        <v>20.59</v>
      </c>
      <c r="G637" s="95"/>
      <c r="H637" s="96">
        <f t="shared" si="162"/>
        <v>0</v>
      </c>
      <c r="I637" s="96">
        <f t="shared" si="162"/>
        <v>0</v>
      </c>
      <c r="J637" s="92"/>
      <c r="K637" s="95">
        <f>ROUND(F637*(1+$P$619),2)</f>
        <v>21.55</v>
      </c>
      <c r="L637" s="95"/>
      <c r="M637" s="96">
        <f>ROUND(D637*$K637,0)</f>
        <v>0</v>
      </c>
      <c r="N637" s="72">
        <v>352</v>
      </c>
    </row>
    <row r="638" spans="1:16">
      <c r="A638" s="181" t="s">
        <v>238</v>
      </c>
      <c r="C638" s="92"/>
      <c r="D638" s="92"/>
      <c r="E638" s="92"/>
      <c r="F638" s="95"/>
      <c r="G638" s="95"/>
      <c r="H638" s="96"/>
      <c r="I638" s="96"/>
      <c r="J638" s="92"/>
      <c r="K638" s="95"/>
      <c r="L638" s="95"/>
      <c r="M638" s="96"/>
    </row>
    <row r="639" spans="1:16">
      <c r="A639" s="93" t="s">
        <v>218</v>
      </c>
      <c r="C639" s="92">
        <v>660</v>
      </c>
      <c r="D639" s="92">
        <f t="shared" ref="D639:D648" si="163">ROUND($C639*D$660/($C$660-$C$659),0)</f>
        <v>680</v>
      </c>
      <c r="E639" s="92"/>
      <c r="F639" s="95">
        <v>2.96</v>
      </c>
      <c r="G639" s="95"/>
      <c r="H639" s="96">
        <f t="shared" ref="H639:I648" si="164">ROUND(C639*$F639,0)</f>
        <v>1954</v>
      </c>
      <c r="I639" s="96">
        <f t="shared" si="164"/>
        <v>2013</v>
      </c>
      <c r="J639" s="92"/>
      <c r="K639" s="95">
        <f t="shared" ref="K639:K648" si="165">ROUND(F639*(1+$P$619),2)</f>
        <v>3.1</v>
      </c>
      <c r="L639" s="95"/>
      <c r="M639" s="96">
        <f t="shared" ref="M639:M648" si="166">ROUND(D639*$K639,0)</f>
        <v>2108</v>
      </c>
      <c r="N639" s="72">
        <v>28</v>
      </c>
    </row>
    <row r="640" spans="1:16">
      <c r="A640" s="93" t="s">
        <v>219</v>
      </c>
      <c r="C640" s="92">
        <v>2555.91025641026</v>
      </c>
      <c r="D640" s="92">
        <f t="shared" si="163"/>
        <v>2635</v>
      </c>
      <c r="E640" s="92"/>
      <c r="F640" s="95">
        <v>3.9</v>
      </c>
      <c r="G640" s="95"/>
      <c r="H640" s="96">
        <f t="shared" si="164"/>
        <v>9968</v>
      </c>
      <c r="I640" s="96">
        <f t="shared" si="164"/>
        <v>10277</v>
      </c>
      <c r="J640" s="92"/>
      <c r="K640" s="95">
        <f t="shared" si="165"/>
        <v>4.08</v>
      </c>
      <c r="L640" s="95"/>
      <c r="M640" s="96">
        <f t="shared" si="166"/>
        <v>10751</v>
      </c>
      <c r="N640" s="72">
        <v>39</v>
      </c>
    </row>
    <row r="641" spans="1:14">
      <c r="A641" s="93" t="s">
        <v>239</v>
      </c>
      <c r="C641" s="92">
        <v>5448.1762376237602</v>
      </c>
      <c r="D641" s="92">
        <f t="shared" si="163"/>
        <v>5617</v>
      </c>
      <c r="E641" s="92"/>
      <c r="F641" s="95">
        <v>5.05</v>
      </c>
      <c r="G641" s="95"/>
      <c r="H641" s="96">
        <f t="shared" si="164"/>
        <v>27513</v>
      </c>
      <c r="I641" s="96">
        <f t="shared" si="164"/>
        <v>28366</v>
      </c>
      <c r="J641" s="92"/>
      <c r="K641" s="95">
        <f t="shared" si="165"/>
        <v>5.29</v>
      </c>
      <c r="L641" s="95"/>
      <c r="M641" s="96">
        <f t="shared" si="166"/>
        <v>29714</v>
      </c>
      <c r="N641" s="72">
        <v>39</v>
      </c>
    </row>
    <row r="642" spans="1:14">
      <c r="A642" s="93" t="s">
        <v>220</v>
      </c>
      <c r="C642" s="92">
        <v>302.98097251585602</v>
      </c>
      <c r="D642" s="92">
        <f t="shared" si="163"/>
        <v>312</v>
      </c>
      <c r="E642" s="92"/>
      <c r="F642" s="95">
        <v>4.7300000000000004</v>
      </c>
      <c r="G642" s="95"/>
      <c r="H642" s="96">
        <f t="shared" si="164"/>
        <v>1433</v>
      </c>
      <c r="I642" s="96">
        <f t="shared" si="164"/>
        <v>1476</v>
      </c>
      <c r="J642" s="92"/>
      <c r="K642" s="95">
        <f t="shared" si="165"/>
        <v>4.95</v>
      </c>
      <c r="L642" s="95"/>
      <c r="M642" s="96">
        <f t="shared" si="166"/>
        <v>1544</v>
      </c>
      <c r="N642" s="72">
        <v>59</v>
      </c>
    </row>
    <row r="643" spans="1:14">
      <c r="A643" s="93" t="s">
        <v>240</v>
      </c>
      <c r="C643" s="92">
        <v>300</v>
      </c>
      <c r="D643" s="92">
        <f t="shared" si="163"/>
        <v>309</v>
      </c>
      <c r="E643" s="92"/>
      <c r="F643" s="95">
        <v>6</v>
      </c>
      <c r="G643" s="95"/>
      <c r="H643" s="96">
        <f t="shared" si="164"/>
        <v>1800</v>
      </c>
      <c r="I643" s="96">
        <f t="shared" si="164"/>
        <v>1854</v>
      </c>
      <c r="J643" s="92"/>
      <c r="K643" s="95">
        <f t="shared" si="165"/>
        <v>6.28</v>
      </c>
      <c r="L643" s="95"/>
      <c r="M643" s="96">
        <f t="shared" si="166"/>
        <v>1941</v>
      </c>
      <c r="N643" s="72">
        <v>59</v>
      </c>
    </row>
    <row r="644" spans="1:14">
      <c r="A644" s="93" t="s">
        <v>241</v>
      </c>
      <c r="C644" s="92">
        <v>0</v>
      </c>
      <c r="D644" s="92">
        <f t="shared" si="163"/>
        <v>0</v>
      </c>
      <c r="E644" s="92"/>
      <c r="F644" s="95">
        <v>5.99</v>
      </c>
      <c r="G644" s="95"/>
      <c r="H644" s="96">
        <f t="shared" si="164"/>
        <v>0</v>
      </c>
      <c r="I644" s="96">
        <f t="shared" si="164"/>
        <v>0</v>
      </c>
      <c r="J644" s="92"/>
      <c r="K644" s="95">
        <f t="shared" si="165"/>
        <v>6.27</v>
      </c>
      <c r="L644" s="95"/>
      <c r="M644" s="96">
        <f t="shared" si="166"/>
        <v>0</v>
      </c>
      <c r="N644" s="72">
        <v>76</v>
      </c>
    </row>
    <row r="645" spans="1:14">
      <c r="A645" s="93" t="s">
        <v>221</v>
      </c>
      <c r="C645" s="92">
        <v>893.58620689655197</v>
      </c>
      <c r="D645" s="92">
        <f t="shared" si="163"/>
        <v>921</v>
      </c>
      <c r="E645" s="92"/>
      <c r="F645" s="95">
        <v>6.96</v>
      </c>
      <c r="G645" s="95"/>
      <c r="H645" s="96">
        <f t="shared" si="164"/>
        <v>6219</v>
      </c>
      <c r="I645" s="96">
        <f t="shared" si="164"/>
        <v>6410</v>
      </c>
      <c r="J645" s="92"/>
      <c r="K645" s="95">
        <f t="shared" si="165"/>
        <v>7.29</v>
      </c>
      <c r="L645" s="95"/>
      <c r="M645" s="96">
        <f t="shared" si="166"/>
        <v>6714</v>
      </c>
      <c r="N645" s="72">
        <v>96</v>
      </c>
    </row>
    <row r="646" spans="1:14">
      <c r="A646" s="93" t="s">
        <v>242</v>
      </c>
      <c r="C646" s="92">
        <v>112.564161849711</v>
      </c>
      <c r="D646" s="92">
        <f t="shared" si="163"/>
        <v>116</v>
      </c>
      <c r="E646" s="92"/>
      <c r="F646" s="95">
        <v>8.65</v>
      </c>
      <c r="G646" s="95"/>
      <c r="H646" s="96">
        <f t="shared" si="164"/>
        <v>974</v>
      </c>
      <c r="I646" s="96">
        <f t="shared" si="164"/>
        <v>1003</v>
      </c>
      <c r="J646" s="92"/>
      <c r="K646" s="95">
        <f t="shared" si="165"/>
        <v>9.0500000000000007</v>
      </c>
      <c r="L646" s="95"/>
      <c r="M646" s="96">
        <f t="shared" si="166"/>
        <v>1050</v>
      </c>
      <c r="N646" s="72">
        <v>96</v>
      </c>
    </row>
    <row r="647" spans="1:14">
      <c r="A647" s="93" t="s">
        <v>222</v>
      </c>
      <c r="C647" s="92">
        <v>4839.6108374384203</v>
      </c>
      <c r="D647" s="92">
        <f t="shared" si="163"/>
        <v>4989</v>
      </c>
      <c r="E647" s="92"/>
      <c r="F647" s="95">
        <v>10.15</v>
      </c>
      <c r="G647" s="95"/>
      <c r="H647" s="96">
        <f t="shared" si="164"/>
        <v>49122</v>
      </c>
      <c r="I647" s="96">
        <f t="shared" si="164"/>
        <v>50638</v>
      </c>
      <c r="J647" s="92"/>
      <c r="K647" s="95">
        <f t="shared" si="165"/>
        <v>10.62</v>
      </c>
      <c r="L647" s="95"/>
      <c r="M647" s="96">
        <f t="shared" si="166"/>
        <v>52983</v>
      </c>
      <c r="N647" s="72">
        <v>148</v>
      </c>
    </row>
    <row r="648" spans="1:14">
      <c r="A648" s="93" t="s">
        <v>243</v>
      </c>
      <c r="C648" s="92">
        <v>72</v>
      </c>
      <c r="D648" s="92">
        <f t="shared" si="163"/>
        <v>74</v>
      </c>
      <c r="E648" s="92"/>
      <c r="F648" s="95">
        <v>11.29</v>
      </c>
      <c r="G648" s="95"/>
      <c r="H648" s="96">
        <f t="shared" si="164"/>
        <v>813</v>
      </c>
      <c r="I648" s="96">
        <f t="shared" si="164"/>
        <v>835</v>
      </c>
      <c r="J648" s="92"/>
      <c r="K648" s="95">
        <f t="shared" si="165"/>
        <v>11.82</v>
      </c>
      <c r="L648" s="95"/>
      <c r="M648" s="96">
        <f t="shared" si="166"/>
        <v>875</v>
      </c>
      <c r="N648" s="72">
        <v>148</v>
      </c>
    </row>
    <row r="649" spans="1:14">
      <c r="A649" s="181" t="s">
        <v>223</v>
      </c>
      <c r="C649" s="92"/>
      <c r="D649" s="92"/>
      <c r="E649" s="92"/>
      <c r="F649" s="95"/>
      <c r="G649" s="95"/>
      <c r="J649" s="92"/>
      <c r="K649" s="95"/>
      <c r="L649" s="95"/>
    </row>
    <row r="650" spans="1:14">
      <c r="A650" s="93" t="s">
        <v>244</v>
      </c>
      <c r="C650" s="92">
        <v>340</v>
      </c>
      <c r="D650" s="92">
        <f t="shared" ref="D650:D656" si="167">ROUND($C650*D$660/($C$660-$C$659),0)</f>
        <v>351</v>
      </c>
      <c r="E650" s="92"/>
      <c r="F650" s="95">
        <v>6.67</v>
      </c>
      <c r="G650" s="95"/>
      <c r="H650" s="96">
        <f t="shared" ref="H650:I656" si="168">ROUND(C650*$F650,0)</f>
        <v>2268</v>
      </c>
      <c r="I650" s="96">
        <f t="shared" si="168"/>
        <v>2341</v>
      </c>
      <c r="J650" s="92"/>
      <c r="K650" s="95">
        <f t="shared" ref="K650:K656" si="169">ROUND(F650*(1+$P$619),2)</f>
        <v>6.98</v>
      </c>
      <c r="L650" s="95"/>
      <c r="M650" s="96">
        <f t="shared" ref="M650:M656" si="170">ROUND(D650*$K650,0)</f>
        <v>2450</v>
      </c>
      <c r="N650" s="72">
        <v>39</v>
      </c>
    </row>
    <row r="651" spans="1:14">
      <c r="A651" s="93" t="s">
        <v>225</v>
      </c>
      <c r="C651" s="92">
        <v>312.20426829268303</v>
      </c>
      <c r="D651" s="92">
        <f t="shared" si="167"/>
        <v>322</v>
      </c>
      <c r="E651" s="92"/>
      <c r="F651" s="95">
        <v>9.84</v>
      </c>
      <c r="G651" s="95"/>
      <c r="H651" s="96">
        <f t="shared" si="168"/>
        <v>3072</v>
      </c>
      <c r="I651" s="96">
        <f t="shared" si="168"/>
        <v>3168</v>
      </c>
      <c r="J651" s="92"/>
      <c r="K651" s="95">
        <f t="shared" si="169"/>
        <v>10.3</v>
      </c>
      <c r="L651" s="95"/>
      <c r="M651" s="96">
        <f t="shared" si="170"/>
        <v>3317</v>
      </c>
      <c r="N651" s="72">
        <v>69</v>
      </c>
    </row>
    <row r="652" spans="1:14">
      <c r="A652" s="93" t="s">
        <v>245</v>
      </c>
      <c r="C652" s="92">
        <v>0</v>
      </c>
      <c r="D652" s="92">
        <f t="shared" si="167"/>
        <v>0</v>
      </c>
      <c r="E652" s="92"/>
      <c r="F652" s="95">
        <v>8.0399999999999991</v>
      </c>
      <c r="G652" s="95"/>
      <c r="H652" s="96">
        <f t="shared" si="168"/>
        <v>0</v>
      </c>
      <c r="I652" s="96">
        <f t="shared" si="168"/>
        <v>0</v>
      </c>
      <c r="J652" s="92"/>
      <c r="K652" s="95">
        <f t="shared" si="169"/>
        <v>8.42</v>
      </c>
      <c r="L652" s="95"/>
      <c r="M652" s="96">
        <f t="shared" si="170"/>
        <v>0</v>
      </c>
      <c r="N652" s="72">
        <v>69</v>
      </c>
    </row>
    <row r="653" spans="1:14">
      <c r="A653" s="93" t="s">
        <v>226</v>
      </c>
      <c r="C653" s="92">
        <v>200.913480885312</v>
      </c>
      <c r="D653" s="92">
        <f t="shared" si="167"/>
        <v>207</v>
      </c>
      <c r="E653" s="92"/>
      <c r="F653" s="95">
        <v>9.94</v>
      </c>
      <c r="G653" s="95"/>
      <c r="H653" s="96">
        <f t="shared" si="168"/>
        <v>1997</v>
      </c>
      <c r="I653" s="96">
        <f t="shared" si="168"/>
        <v>2058</v>
      </c>
      <c r="J653" s="92"/>
      <c r="K653" s="95">
        <f t="shared" si="169"/>
        <v>10.4</v>
      </c>
      <c r="L653" s="95"/>
      <c r="M653" s="96">
        <f t="shared" si="170"/>
        <v>2153</v>
      </c>
      <c r="N653" s="72">
        <v>93</v>
      </c>
    </row>
    <row r="654" spans="1:14">
      <c r="A654" s="93" t="s">
        <v>246</v>
      </c>
      <c r="C654" s="92">
        <v>1134</v>
      </c>
      <c r="D654" s="92">
        <f t="shared" si="167"/>
        <v>1169</v>
      </c>
      <c r="E654" s="92"/>
      <c r="F654" s="95">
        <v>10.25</v>
      </c>
      <c r="G654" s="95"/>
      <c r="H654" s="96">
        <f t="shared" si="168"/>
        <v>11624</v>
      </c>
      <c r="I654" s="96">
        <f t="shared" si="168"/>
        <v>11982</v>
      </c>
      <c r="J654" s="92"/>
      <c r="K654" s="95">
        <f t="shared" si="169"/>
        <v>10.73</v>
      </c>
      <c r="L654" s="95"/>
      <c r="M654" s="96">
        <f t="shared" si="170"/>
        <v>12543</v>
      </c>
      <c r="N654" s="72">
        <v>93</v>
      </c>
    </row>
    <row r="655" spans="1:14">
      <c r="A655" s="93" t="s">
        <v>227</v>
      </c>
      <c r="C655" s="92">
        <v>185.11342155009501</v>
      </c>
      <c r="D655" s="92">
        <f t="shared" si="167"/>
        <v>191</v>
      </c>
      <c r="E655" s="92"/>
      <c r="F655" s="95">
        <v>10.58</v>
      </c>
      <c r="G655" s="95"/>
      <c r="H655" s="96">
        <f t="shared" si="168"/>
        <v>1959</v>
      </c>
      <c r="I655" s="96">
        <f t="shared" si="168"/>
        <v>2021</v>
      </c>
      <c r="J655" s="92"/>
      <c r="K655" s="95">
        <f t="shared" si="169"/>
        <v>11.07</v>
      </c>
      <c r="L655" s="95"/>
      <c r="M655" s="96">
        <f t="shared" si="170"/>
        <v>2114</v>
      </c>
      <c r="N655" s="72">
        <v>145</v>
      </c>
    </row>
    <row r="656" spans="1:14">
      <c r="A656" s="93" t="s">
        <v>247</v>
      </c>
      <c r="C656" s="92">
        <v>431.75720524017498</v>
      </c>
      <c r="D656" s="92">
        <f t="shared" si="167"/>
        <v>445</v>
      </c>
      <c r="E656" s="92"/>
      <c r="F656" s="95">
        <v>11.45</v>
      </c>
      <c r="G656" s="95"/>
      <c r="H656" s="96">
        <f t="shared" si="168"/>
        <v>4944</v>
      </c>
      <c r="I656" s="96">
        <f t="shared" si="168"/>
        <v>5095</v>
      </c>
      <c r="J656" s="92"/>
      <c r="K656" s="95">
        <f t="shared" si="169"/>
        <v>11.99</v>
      </c>
      <c r="L656" s="95"/>
      <c r="M656" s="96">
        <f t="shared" si="170"/>
        <v>5336</v>
      </c>
      <c r="N656" s="72">
        <v>145</v>
      </c>
    </row>
    <row r="657" spans="1:16">
      <c r="A657" s="181" t="s">
        <v>248</v>
      </c>
      <c r="C657" s="92"/>
      <c r="D657" s="92"/>
      <c r="E657" s="92"/>
      <c r="F657" s="95"/>
      <c r="G657" s="95"/>
      <c r="H657" s="96"/>
      <c r="I657" s="96"/>
      <c r="J657" s="92"/>
      <c r="K657" s="95"/>
      <c r="L657" s="95"/>
      <c r="M657" s="96"/>
    </row>
    <row r="658" spans="1:16">
      <c r="A658" s="93" t="s">
        <v>249</v>
      </c>
      <c r="C658" s="92">
        <v>12</v>
      </c>
      <c r="D658" s="92">
        <f>ROUND($C658*D$660/($C$660-$C$659),0)</f>
        <v>12</v>
      </c>
      <c r="E658" s="92"/>
      <c r="F658" s="95">
        <v>10.1</v>
      </c>
      <c r="G658" s="95"/>
      <c r="H658" s="96">
        <f>ROUND(C658*$F658,0)</f>
        <v>121</v>
      </c>
      <c r="I658" s="96">
        <f>ROUND(D658*$F658,0)</f>
        <v>121</v>
      </c>
      <c r="J658" s="92"/>
      <c r="K658" s="95">
        <f>ROUND(F658*(1+$P$619),2)</f>
        <v>10.57</v>
      </c>
      <c r="L658" s="95"/>
      <c r="M658" s="96">
        <f>ROUND(D658*$K658,0)</f>
        <v>127</v>
      </c>
      <c r="N658" s="72">
        <v>135</v>
      </c>
    </row>
    <row r="659" spans="1:16">
      <c r="A659" s="129" t="s">
        <v>103</v>
      </c>
      <c r="B659" s="130"/>
      <c r="C659" s="92">
        <v>2005</v>
      </c>
      <c r="D659" s="92"/>
      <c r="E659" s="92"/>
      <c r="F659" s="131"/>
      <c r="G659" s="9"/>
      <c r="H659" s="96">
        <v>175</v>
      </c>
      <c r="I659" s="96"/>
      <c r="J659" s="92"/>
      <c r="K659" s="131"/>
      <c r="L659" s="9"/>
      <c r="M659" s="96"/>
      <c r="O659" s="121"/>
      <c r="P659" s="121"/>
    </row>
    <row r="660" spans="1:16">
      <c r="A660" s="181" t="s">
        <v>105</v>
      </c>
      <c r="C660" s="183">
        <v>1501840.3791054089</v>
      </c>
      <c r="D660" s="183">
        <v>1546241</v>
      </c>
      <c r="E660" s="183"/>
      <c r="F660" s="184"/>
      <c r="G660" s="120"/>
      <c r="H660" s="185">
        <f>SUM(H632:H659)</f>
        <v>130480</v>
      </c>
      <c r="I660" s="185">
        <f>SUM(I632:I659)</f>
        <v>134325</v>
      </c>
      <c r="J660" s="183"/>
      <c r="K660" s="184"/>
      <c r="L660" s="120"/>
      <c r="M660" s="185">
        <f>SUM(M632:M659)</f>
        <v>140605</v>
      </c>
    </row>
    <row r="661" spans="1:16">
      <c r="A661" s="181" t="s">
        <v>8</v>
      </c>
      <c r="C661" s="183">
        <v>137</v>
      </c>
      <c r="D661" s="183">
        <v>140</v>
      </c>
      <c r="E661" s="183"/>
      <c r="F661" s="184"/>
      <c r="G661" s="120"/>
      <c r="H661" s="185"/>
      <c r="I661" s="185"/>
      <c r="J661" s="183"/>
      <c r="K661" s="184"/>
      <c r="L661" s="120"/>
      <c r="M661" s="185"/>
    </row>
    <row r="662" spans="1:16">
      <c r="A662" s="186" t="s">
        <v>250</v>
      </c>
      <c r="C662" s="92"/>
      <c r="D662" s="92"/>
      <c r="E662" s="92"/>
      <c r="F662" s="95"/>
      <c r="G662" s="95"/>
      <c r="J662" s="92"/>
      <c r="K662" s="95"/>
      <c r="L662" s="95"/>
    </row>
    <row r="663" spans="1:16">
      <c r="A663" s="181" t="s">
        <v>231</v>
      </c>
      <c r="C663" s="92"/>
      <c r="D663" s="92"/>
      <c r="E663" s="92"/>
      <c r="F663" s="95"/>
      <c r="G663" s="95"/>
      <c r="H663" s="96"/>
      <c r="I663" s="96"/>
      <c r="J663" s="92"/>
      <c r="K663" s="95"/>
      <c r="L663" s="95"/>
      <c r="M663" s="96"/>
    </row>
    <row r="664" spans="1:16">
      <c r="A664" s="93" t="s">
        <v>251</v>
      </c>
      <c r="C664" s="92">
        <v>36</v>
      </c>
      <c r="D664" s="92">
        <f>ROUND($C664*D$681/$C$681,0)</f>
        <v>37</v>
      </c>
      <c r="E664" s="92"/>
      <c r="F664" s="95">
        <v>12.86</v>
      </c>
      <c r="G664" s="95"/>
      <c r="H664" s="96">
        <f>ROUND(C664*$F664,0)</f>
        <v>463</v>
      </c>
      <c r="I664" s="96">
        <f>ROUND(D664*$F664,0)</f>
        <v>476</v>
      </c>
      <c r="J664" s="92"/>
      <c r="K664" s="95">
        <f>ROUND(F664*(1+$P$619),2)</f>
        <v>13.46</v>
      </c>
      <c r="L664" s="95"/>
      <c r="M664" s="96">
        <f>ROUND(D664*$K664,0)</f>
        <v>498</v>
      </c>
      <c r="N664" s="72">
        <v>136</v>
      </c>
    </row>
    <row r="665" spans="1:16">
      <c r="A665" s="93" t="s">
        <v>252</v>
      </c>
      <c r="C665" s="92">
        <v>12</v>
      </c>
      <c r="D665" s="92">
        <f>ROUND($C665*D$681/$C$681,0)</f>
        <v>12</v>
      </c>
      <c r="E665" s="92"/>
      <c r="F665" s="95">
        <v>16.97</v>
      </c>
      <c r="G665" s="95"/>
      <c r="H665" s="96">
        <f>ROUND(C665*$F665,0)</f>
        <v>204</v>
      </c>
      <c r="I665" s="96">
        <f>ROUND(D665*$F665,0)</f>
        <v>204</v>
      </c>
      <c r="J665" s="92"/>
      <c r="K665" s="95">
        <f>ROUND(F665*(1+$P$619),2)</f>
        <v>17.760000000000002</v>
      </c>
      <c r="L665" s="95"/>
      <c r="M665" s="96">
        <f>ROUND(D665*$K665,0)</f>
        <v>213</v>
      </c>
      <c r="N665" s="72">
        <v>209</v>
      </c>
    </row>
    <row r="666" spans="1:16">
      <c r="A666" s="181" t="s">
        <v>234</v>
      </c>
      <c r="C666" s="92"/>
      <c r="D666" s="92"/>
      <c r="E666" s="92"/>
      <c r="J666" s="92"/>
    </row>
    <row r="667" spans="1:16" ht="14.25" customHeight="1">
      <c r="A667" s="93" t="s">
        <v>235</v>
      </c>
      <c r="C667" s="92">
        <v>24</v>
      </c>
      <c r="D667" s="92">
        <f>ROUND($C667*D$681/$C$681,0)</f>
        <v>24</v>
      </c>
      <c r="E667" s="92"/>
      <c r="F667" s="95">
        <v>5.82</v>
      </c>
      <c r="G667" s="147"/>
      <c r="H667" s="96">
        <f t="shared" ref="H667:I668" si="171">ROUND(C667*$F667,0)</f>
        <v>140</v>
      </c>
      <c r="I667" s="96">
        <f t="shared" si="171"/>
        <v>140</v>
      </c>
      <c r="J667" s="92"/>
      <c r="K667" s="95">
        <f>ROUND(F667*(1+$P$619),2)</f>
        <v>6.09</v>
      </c>
      <c r="L667" s="147"/>
      <c r="M667" s="96">
        <f>ROUND(D667*$K667,0)</f>
        <v>146</v>
      </c>
      <c r="N667" s="72">
        <v>69</v>
      </c>
    </row>
    <row r="668" spans="1:16">
      <c r="A668" s="93" t="s">
        <v>237</v>
      </c>
      <c r="C668" s="92">
        <v>0</v>
      </c>
      <c r="D668" s="92">
        <f>ROUND($C668*D$681/$C$681,0)</f>
        <v>0</v>
      </c>
      <c r="E668" s="92"/>
      <c r="F668" s="95">
        <v>23.56</v>
      </c>
      <c r="G668" s="95"/>
      <c r="H668" s="96">
        <f t="shared" si="171"/>
        <v>0</v>
      </c>
      <c r="I668" s="96">
        <f t="shared" si="171"/>
        <v>0</v>
      </c>
      <c r="J668" s="92"/>
      <c r="K668" s="95">
        <f>ROUND(F668*(1+$P$619),2)</f>
        <v>24.66</v>
      </c>
      <c r="L668" s="95"/>
      <c r="M668" s="96">
        <f>ROUND(D668*$K668,0)</f>
        <v>0</v>
      </c>
      <c r="N668" s="72">
        <v>352</v>
      </c>
    </row>
    <row r="669" spans="1:16">
      <c r="A669" s="181" t="s">
        <v>253</v>
      </c>
      <c r="C669" s="92"/>
      <c r="D669" s="92"/>
      <c r="E669" s="92"/>
      <c r="F669" s="147"/>
      <c r="G669" s="95"/>
      <c r="H669" s="96"/>
      <c r="I669" s="96"/>
      <c r="J669" s="92"/>
      <c r="K669" s="147"/>
      <c r="L669" s="95"/>
      <c r="M669" s="96"/>
    </row>
    <row r="670" spans="1:16">
      <c r="A670" s="93" t="s">
        <v>218</v>
      </c>
      <c r="C670" s="92">
        <v>3504.10324483776</v>
      </c>
      <c r="D670" s="92">
        <f>ROUND($C670*D$681/$C$681,0)</f>
        <v>3568</v>
      </c>
      <c r="E670" s="92"/>
      <c r="F670" s="95">
        <v>3.39</v>
      </c>
      <c r="G670" s="95"/>
      <c r="H670" s="96">
        <f t="shared" ref="H670:I674" si="172">ROUND(C670*$F670,0)</f>
        <v>11879</v>
      </c>
      <c r="I670" s="96">
        <f t="shared" si="172"/>
        <v>12096</v>
      </c>
      <c r="J670" s="92"/>
      <c r="K670" s="95">
        <f>ROUND(F670*(1+$P$619),2)</f>
        <v>3.55</v>
      </c>
      <c r="L670" s="95"/>
      <c r="M670" s="96">
        <f>ROUND(D670*$K670,0)</f>
        <v>12666</v>
      </c>
      <c r="N670" s="72">
        <v>28</v>
      </c>
    </row>
    <row r="671" spans="1:16">
      <c r="A671" s="93" t="s">
        <v>219</v>
      </c>
      <c r="C671" s="92">
        <v>6166.3355704697997</v>
      </c>
      <c r="D671" s="92">
        <f>ROUND($C671*D$681/$C$681,0)</f>
        <v>6280</v>
      </c>
      <c r="E671" s="92"/>
      <c r="F671" s="95">
        <v>4.47</v>
      </c>
      <c r="G671" s="95"/>
      <c r="H671" s="96">
        <f t="shared" si="172"/>
        <v>27564</v>
      </c>
      <c r="I671" s="96">
        <f t="shared" si="172"/>
        <v>28072</v>
      </c>
      <c r="J671" s="92"/>
      <c r="K671" s="95">
        <f>ROUND(F671*(1+$P$619),2)</f>
        <v>4.68</v>
      </c>
      <c r="L671" s="95"/>
      <c r="M671" s="96">
        <f>ROUND(D671*$K671,0)</f>
        <v>29390</v>
      </c>
      <c r="N671" s="72">
        <v>39</v>
      </c>
    </row>
    <row r="672" spans="1:16">
      <c r="A672" s="93" t="s">
        <v>220</v>
      </c>
      <c r="C672" s="92">
        <v>336</v>
      </c>
      <c r="D672" s="92">
        <f>ROUND($C672*D$681/$C$681,0)</f>
        <v>342</v>
      </c>
      <c r="E672" s="92"/>
      <c r="F672" s="95">
        <v>5.42</v>
      </c>
      <c r="G672" s="95"/>
      <c r="H672" s="96">
        <f t="shared" si="172"/>
        <v>1821</v>
      </c>
      <c r="I672" s="96">
        <f t="shared" si="172"/>
        <v>1854</v>
      </c>
      <c r="J672" s="92"/>
      <c r="K672" s="95">
        <f>ROUND(F672*(1+$P$619),2)</f>
        <v>5.67</v>
      </c>
      <c r="L672" s="95"/>
      <c r="M672" s="96">
        <f>ROUND(D672*$K672,0)</f>
        <v>1939</v>
      </c>
      <c r="N672" s="72">
        <v>59</v>
      </c>
    </row>
    <row r="673" spans="1:16">
      <c r="A673" s="93" t="s">
        <v>221</v>
      </c>
      <c r="C673" s="92">
        <v>708</v>
      </c>
      <c r="D673" s="92">
        <f>ROUND($C673*D$681/$C$681,0)</f>
        <v>721</v>
      </c>
      <c r="E673" s="92"/>
      <c r="F673" s="95">
        <v>7.97</v>
      </c>
      <c r="G673" s="95"/>
      <c r="H673" s="96">
        <f t="shared" si="172"/>
        <v>5643</v>
      </c>
      <c r="I673" s="96">
        <f t="shared" si="172"/>
        <v>5746</v>
      </c>
      <c r="J673" s="92"/>
      <c r="K673" s="95">
        <f>ROUND(F673*(1+$P$619),2)</f>
        <v>8.34</v>
      </c>
      <c r="L673" s="95"/>
      <c r="M673" s="96">
        <f>ROUND(D673*$K673,0)</f>
        <v>6013</v>
      </c>
      <c r="N673" s="72">
        <v>96</v>
      </c>
    </row>
    <row r="674" spans="1:16">
      <c r="A674" s="93" t="s">
        <v>222</v>
      </c>
      <c r="C674" s="92">
        <v>1392</v>
      </c>
      <c r="D674" s="92">
        <f>ROUND($C674*D$681/$C$681,0)</f>
        <v>1418</v>
      </c>
      <c r="E674" s="92"/>
      <c r="F674" s="95">
        <v>11.62</v>
      </c>
      <c r="G674" s="147"/>
      <c r="H674" s="96">
        <f t="shared" si="172"/>
        <v>16175</v>
      </c>
      <c r="I674" s="96">
        <f t="shared" si="172"/>
        <v>16477</v>
      </c>
      <c r="J674" s="92"/>
      <c r="K674" s="95">
        <f>ROUND(F674*(1+$P$619),2)</f>
        <v>12.16</v>
      </c>
      <c r="L674" s="147"/>
      <c r="M674" s="96">
        <f>ROUND(D674*$K674,0)</f>
        <v>17243</v>
      </c>
      <c r="N674" s="72">
        <v>148</v>
      </c>
    </row>
    <row r="675" spans="1:16">
      <c r="A675" s="181" t="s">
        <v>223</v>
      </c>
      <c r="C675" s="92"/>
      <c r="D675" s="92"/>
      <c r="E675" s="92"/>
      <c r="J675" s="92"/>
    </row>
    <row r="676" spans="1:16">
      <c r="A676" s="93" t="s">
        <v>225</v>
      </c>
      <c r="C676" s="92">
        <v>24</v>
      </c>
      <c r="D676" s="92">
        <f>ROUND($C676*D$681/$C$681,0)</f>
        <v>24</v>
      </c>
      <c r="E676" s="92"/>
      <c r="F676" s="95">
        <v>11.3</v>
      </c>
      <c r="G676" s="95"/>
      <c r="H676" s="96">
        <f t="shared" ref="H676:I679" si="173">ROUND(C676*$F676,0)</f>
        <v>271</v>
      </c>
      <c r="I676" s="96">
        <f t="shared" si="173"/>
        <v>271</v>
      </c>
      <c r="J676" s="92"/>
      <c r="K676" s="95">
        <f>ROUND(F676*(1+$P$619),2)</f>
        <v>11.83</v>
      </c>
      <c r="L676" s="95"/>
      <c r="M676" s="96">
        <f>ROUND(D676*$K676,0)</f>
        <v>284</v>
      </c>
      <c r="N676" s="72">
        <v>69</v>
      </c>
    </row>
    <row r="677" spans="1:16">
      <c r="A677" s="93" t="s">
        <v>226</v>
      </c>
      <c r="C677" s="92">
        <v>612</v>
      </c>
      <c r="D677" s="92">
        <f>ROUND($C677*D$681/$C$681,0)</f>
        <v>623</v>
      </c>
      <c r="E677" s="92"/>
      <c r="F677" s="95">
        <v>11.41</v>
      </c>
      <c r="G677" s="95"/>
      <c r="H677" s="96">
        <f t="shared" si="173"/>
        <v>6983</v>
      </c>
      <c r="I677" s="96">
        <f t="shared" si="173"/>
        <v>7108</v>
      </c>
      <c r="J677" s="92"/>
      <c r="K677" s="95">
        <f>ROUND(F677*(1+$P$619),2)</f>
        <v>11.94</v>
      </c>
      <c r="L677" s="95"/>
      <c r="M677" s="96">
        <f>ROUND(D677*$K677,0)</f>
        <v>7439</v>
      </c>
      <c r="N677" s="72">
        <v>93</v>
      </c>
    </row>
    <row r="678" spans="1:16">
      <c r="A678" s="93" t="s">
        <v>227</v>
      </c>
      <c r="C678" s="92">
        <v>216</v>
      </c>
      <c r="D678" s="92">
        <f>ROUND($C678*D$681/$C$681,0)</f>
        <v>220</v>
      </c>
      <c r="E678" s="92"/>
      <c r="F678" s="95">
        <v>12.13</v>
      </c>
      <c r="G678" s="95"/>
      <c r="H678" s="96">
        <f t="shared" si="173"/>
        <v>2620</v>
      </c>
      <c r="I678" s="96">
        <f t="shared" si="173"/>
        <v>2669</v>
      </c>
      <c r="J678" s="92"/>
      <c r="K678" s="95">
        <f>ROUND(F678*(1+$P$619),2)</f>
        <v>12.7</v>
      </c>
      <c r="L678" s="95"/>
      <c r="M678" s="96">
        <f>ROUND(D678*$K678,0)</f>
        <v>2794</v>
      </c>
      <c r="N678" s="72">
        <v>145</v>
      </c>
    </row>
    <row r="679" spans="1:16">
      <c r="A679" s="93" t="s">
        <v>254</v>
      </c>
      <c r="C679" s="92">
        <v>0</v>
      </c>
      <c r="D679" s="92">
        <f>ROUND($C679*D$681/$C$681,0)</f>
        <v>0</v>
      </c>
      <c r="E679" s="92"/>
      <c r="F679" s="95">
        <v>23.97</v>
      </c>
      <c r="G679" s="95"/>
      <c r="H679" s="96">
        <f t="shared" si="173"/>
        <v>0</v>
      </c>
      <c r="I679" s="96">
        <f t="shared" si="173"/>
        <v>0</v>
      </c>
      <c r="J679" s="92"/>
      <c r="K679" s="95">
        <f>ROUND(F679*(1+$P$619),2)</f>
        <v>25.09</v>
      </c>
      <c r="L679" s="95"/>
      <c r="M679" s="96">
        <f>ROUND(D679*$K679,0)</f>
        <v>0</v>
      </c>
      <c r="N679" s="72">
        <v>352</v>
      </c>
    </row>
    <row r="680" spans="1:16">
      <c r="A680" s="129" t="s">
        <v>103</v>
      </c>
      <c r="B680" s="130"/>
      <c r="C680" s="92">
        <v>978</v>
      </c>
      <c r="D680" s="92"/>
      <c r="E680" s="92"/>
      <c r="F680" s="131"/>
      <c r="G680" s="9"/>
      <c r="H680" s="96">
        <v>99</v>
      </c>
      <c r="I680" s="96"/>
      <c r="J680" s="92"/>
      <c r="K680" s="131"/>
      <c r="L680" s="9"/>
      <c r="M680" s="96"/>
      <c r="N680" s="121"/>
      <c r="O680" s="121"/>
      <c r="P680" s="121"/>
    </row>
    <row r="681" spans="1:16">
      <c r="A681" s="181" t="s">
        <v>105</v>
      </c>
      <c r="C681" s="183">
        <v>732339.97810377926</v>
      </c>
      <c r="D681" s="183">
        <v>745784.22413793101</v>
      </c>
      <c r="E681" s="183"/>
      <c r="F681" s="184"/>
      <c r="G681" s="120"/>
      <c r="H681" s="185">
        <f>SUM(H664:H680)</f>
        <v>73862</v>
      </c>
      <c r="I681" s="185">
        <f>SUM(I664:I680)</f>
        <v>75113</v>
      </c>
      <c r="J681" s="183"/>
      <c r="K681" s="184"/>
      <c r="L681" s="120"/>
      <c r="M681" s="185">
        <f>SUM(M664:M680)</f>
        <v>78625</v>
      </c>
    </row>
    <row r="682" spans="1:16">
      <c r="A682" s="181" t="s">
        <v>8</v>
      </c>
      <c r="C682" s="92">
        <v>56</v>
      </c>
      <c r="D682" s="92">
        <v>59</v>
      </c>
      <c r="E682" s="92"/>
      <c r="F682" s="182"/>
      <c r="G682" s="120"/>
      <c r="H682" s="96"/>
      <c r="I682" s="96"/>
      <c r="J682" s="92"/>
      <c r="K682" s="182"/>
      <c r="L682" s="120"/>
      <c r="M682" s="96"/>
    </row>
    <row r="683" spans="1:16">
      <c r="A683" s="93"/>
      <c r="C683" s="92"/>
      <c r="D683" s="92"/>
      <c r="E683" s="92"/>
      <c r="F683" s="95"/>
      <c r="G683" s="95"/>
      <c r="H683" s="96"/>
      <c r="I683" s="96"/>
      <c r="J683" s="92"/>
      <c r="K683" s="95"/>
      <c r="L683" s="95"/>
      <c r="M683" s="96"/>
    </row>
    <row r="684" spans="1:16">
      <c r="A684" s="129" t="s">
        <v>255</v>
      </c>
      <c r="B684" s="130"/>
      <c r="C684" s="92">
        <f>C627+C659+C680</f>
        <v>51229</v>
      </c>
      <c r="D684" s="92"/>
      <c r="E684" s="92"/>
      <c r="F684" s="131"/>
      <c r="G684" s="9"/>
      <c r="H684" s="96">
        <f>H627+H659+H680</f>
        <v>2511</v>
      </c>
      <c r="I684" s="96"/>
      <c r="J684" s="92"/>
      <c r="K684" s="131"/>
      <c r="L684" s="9"/>
      <c r="M684" s="96"/>
      <c r="N684" s="121"/>
      <c r="O684" s="121"/>
      <c r="P684" s="121"/>
    </row>
    <row r="685" spans="1:16">
      <c r="A685" s="93" t="s">
        <v>256</v>
      </c>
      <c r="C685" s="187">
        <f>C628+C660+C681</f>
        <v>38366412.80806312</v>
      </c>
      <c r="D685" s="187">
        <f>D628+D660+D681</f>
        <v>29890554.483748134</v>
      </c>
      <c r="E685" s="187"/>
      <c r="F685" s="184"/>
      <c r="H685" s="185"/>
      <c r="I685" s="185"/>
      <c r="J685" s="187"/>
      <c r="K685" s="184"/>
      <c r="M685" s="185"/>
    </row>
    <row r="686" spans="1:16">
      <c r="A686" s="93" t="s">
        <v>257</v>
      </c>
      <c r="C686" s="187">
        <f>C629+C661+C682</f>
        <v>1183</v>
      </c>
      <c r="D686" s="187">
        <f>D629+D661+D682</f>
        <v>1331</v>
      </c>
      <c r="E686" s="94"/>
      <c r="J686" s="94"/>
    </row>
    <row r="687" spans="1:16" ht="16.5" thickBot="1">
      <c r="A687" s="133" t="s">
        <v>105</v>
      </c>
      <c r="B687" s="134"/>
      <c r="C687" s="160">
        <f>C685</f>
        <v>38366412.80806312</v>
      </c>
      <c r="D687" s="160">
        <f t="shared" ref="D687" si="174">D685</f>
        <v>29890554.483748134</v>
      </c>
      <c r="E687" s="160"/>
      <c r="F687" s="188"/>
      <c r="G687" s="179"/>
      <c r="H687" s="188">
        <f>H628+H660+H681</f>
        <v>1874118</v>
      </c>
      <c r="I687" s="188">
        <f>I628+I660+I681</f>
        <v>1484842</v>
      </c>
      <c r="J687" s="160"/>
      <c r="K687" s="188"/>
      <c r="L687" s="179"/>
      <c r="M687" s="188">
        <f>M628+M660+M681</f>
        <v>1554244</v>
      </c>
      <c r="O687" s="89" t="s">
        <v>86</v>
      </c>
      <c r="P687" s="88">
        <f>M687/I687-1</f>
        <v>4.6740326580201774E-2</v>
      </c>
    </row>
    <row r="688" spans="1:16" ht="16.5" thickTop="1">
      <c r="A688" s="93"/>
      <c r="C688" s="94"/>
      <c r="D688" s="94"/>
      <c r="E688" s="94"/>
      <c r="H688" s="96"/>
      <c r="I688" s="96"/>
      <c r="J688" s="94"/>
      <c r="M688" s="96"/>
    </row>
    <row r="689" spans="1:16">
      <c r="A689" s="186" t="s">
        <v>258</v>
      </c>
      <c r="C689" s="92"/>
      <c r="D689" s="92"/>
      <c r="E689" s="92"/>
      <c r="J689" s="92"/>
    </row>
    <row r="690" spans="1:16">
      <c r="A690" s="93" t="s">
        <v>259</v>
      </c>
      <c r="C690" s="92">
        <f t="shared" ref="C690:D696" si="175">C699+C708+C717</f>
        <v>19945.30478578186</v>
      </c>
      <c r="D690" s="92">
        <f t="shared" si="175"/>
        <v>20197</v>
      </c>
      <c r="E690" s="92"/>
      <c r="F690" s="95">
        <v>7</v>
      </c>
      <c r="G690" s="95"/>
      <c r="H690" s="96">
        <f t="shared" ref="H690:I692" si="176">ROUND(C690*$F690,0)</f>
        <v>139617</v>
      </c>
      <c r="I690" s="96">
        <f t="shared" si="176"/>
        <v>141379</v>
      </c>
      <c r="J690" s="92"/>
      <c r="K690" s="95">
        <f>ROUND(F690*(1+$P$694),0)</f>
        <v>8</v>
      </c>
      <c r="L690" s="95"/>
      <c r="M690" s="96">
        <f>ROUND(D690*$K690,0)</f>
        <v>161576</v>
      </c>
      <c r="O690" s="103" t="s">
        <v>79</v>
      </c>
      <c r="P690" s="104">
        <f>M696</f>
        <v>850422</v>
      </c>
    </row>
    <row r="691" spans="1:16">
      <c r="A691" s="93" t="s">
        <v>260</v>
      </c>
      <c r="C691" s="92">
        <f t="shared" si="175"/>
        <v>800.41914523719299</v>
      </c>
      <c r="D691" s="92">
        <f t="shared" si="175"/>
        <v>780</v>
      </c>
      <c r="E691" s="92"/>
      <c r="F691" s="95">
        <v>49.02</v>
      </c>
      <c r="G691" s="95"/>
      <c r="H691" s="96">
        <f t="shared" si="176"/>
        <v>39237</v>
      </c>
      <c r="I691" s="96">
        <f t="shared" si="176"/>
        <v>38236</v>
      </c>
      <c r="J691" s="92"/>
      <c r="K691" s="95">
        <f>MROUND(F691*(1+$P$694),0.01)</f>
        <v>53.480000000000004</v>
      </c>
      <c r="L691" s="95"/>
      <c r="M691" s="96">
        <f>ROUND(D691*$K691,0)</f>
        <v>41714</v>
      </c>
      <c r="O691" s="106" t="s">
        <v>81</v>
      </c>
      <c r="P691" s="107">
        <f>'Rate Spread'!M43*1000</f>
        <v>850420.41896259913</v>
      </c>
    </row>
    <row r="692" spans="1:16">
      <c r="A692" s="93" t="s">
        <v>261</v>
      </c>
      <c r="C692" s="92">
        <f t="shared" si="175"/>
        <v>9553.2649164677896</v>
      </c>
      <c r="D692" s="92">
        <f t="shared" si="175"/>
        <v>9360</v>
      </c>
      <c r="E692" s="92"/>
      <c r="F692" s="95">
        <v>4.1900000000000004</v>
      </c>
      <c r="G692" s="95"/>
      <c r="H692" s="96">
        <f t="shared" si="176"/>
        <v>40028</v>
      </c>
      <c r="I692" s="96">
        <f t="shared" si="176"/>
        <v>39218</v>
      </c>
      <c r="J692" s="92"/>
      <c r="K692" s="95">
        <f>MROUND(F692*(1+$P$694),0.01)</f>
        <v>4.57</v>
      </c>
      <c r="L692" s="95"/>
      <c r="M692" s="96">
        <f>ROUND(D692*$K692,0)</f>
        <v>42775</v>
      </c>
      <c r="O692" s="109" t="s">
        <v>83</v>
      </c>
      <c r="P692" s="110">
        <f>P691-P690</f>
        <v>-1.5810374008724466</v>
      </c>
    </row>
    <row r="693" spans="1:16">
      <c r="A693" s="93" t="s">
        <v>87</v>
      </c>
      <c r="C693" s="92">
        <f t="shared" si="175"/>
        <v>3920</v>
      </c>
      <c r="D693" s="92">
        <f t="shared" si="175"/>
        <v>6506.0725027565513</v>
      </c>
      <c r="E693" s="92"/>
      <c r="F693" s="95">
        <v>-0.5</v>
      </c>
      <c r="G693" s="95"/>
      <c r="H693" s="96">
        <f>ROUND($F693*C693,0)</f>
        <v>-1960</v>
      </c>
      <c r="I693" s="96">
        <f>ROUND($F693*D693,0)</f>
        <v>-3253</v>
      </c>
      <c r="J693" s="92"/>
      <c r="K693" s="95">
        <f>F693</f>
        <v>-0.5</v>
      </c>
      <c r="L693" s="95"/>
      <c r="M693" s="96">
        <f>ROUND($K693*D693,0)</f>
        <v>-3253</v>
      </c>
      <c r="O693" s="103" t="s">
        <v>86</v>
      </c>
      <c r="P693" s="149">
        <f>P690/I696-1</f>
        <v>9.0908391208306183E-2</v>
      </c>
    </row>
    <row r="694" spans="1:16">
      <c r="A694" s="93" t="s">
        <v>262</v>
      </c>
      <c r="C694" s="92">
        <f t="shared" si="175"/>
        <v>15598585</v>
      </c>
      <c r="D694" s="92">
        <f t="shared" si="175"/>
        <v>15798908.622976987</v>
      </c>
      <c r="E694" s="92"/>
      <c r="F694" s="165">
        <v>3.5697000000000001</v>
      </c>
      <c r="G694" s="120" t="s">
        <v>90</v>
      </c>
      <c r="H694" s="96">
        <f>ROUND(C694*$F694/100,0)</f>
        <v>556823</v>
      </c>
      <c r="I694" s="96">
        <f>ROUND(D694*$F694/100,0)</f>
        <v>563974</v>
      </c>
      <c r="J694" s="92"/>
      <c r="K694" s="166">
        <f>ROUND((P691-SUM(M690:M693))/D694*100,P9)</f>
        <v>3.8458999999999999</v>
      </c>
      <c r="L694" s="120" t="s">
        <v>90</v>
      </c>
      <c r="M694" s="96">
        <f>ROUND(D694*$K694/100,0)</f>
        <v>607610</v>
      </c>
      <c r="O694" s="124" t="s">
        <v>88</v>
      </c>
      <c r="P694" s="151">
        <f>P691/I696-1</f>
        <v>9.0906363077604802E-2</v>
      </c>
    </row>
    <row r="695" spans="1:16">
      <c r="A695" s="129" t="s">
        <v>103</v>
      </c>
      <c r="B695" s="130"/>
      <c r="C695" s="92">
        <f t="shared" si="175"/>
        <v>113075</v>
      </c>
      <c r="D695" s="92"/>
      <c r="E695" s="92"/>
      <c r="F695" s="131"/>
      <c r="G695" s="9"/>
      <c r="H695" s="96">
        <f t="shared" ref="H695" si="177">H704+H713+H722</f>
        <v>5547</v>
      </c>
      <c r="I695" s="96"/>
      <c r="J695" s="92"/>
      <c r="K695" s="131"/>
      <c r="L695" s="9"/>
      <c r="M695" s="96"/>
      <c r="N695" s="121"/>
      <c r="O695" s="121"/>
      <c r="P695" s="121"/>
    </row>
    <row r="696" spans="1:16" ht="16.5" thickBot="1">
      <c r="A696" s="189" t="s">
        <v>105</v>
      </c>
      <c r="B696" s="134"/>
      <c r="C696" s="135">
        <f t="shared" si="175"/>
        <v>15711660</v>
      </c>
      <c r="D696" s="135">
        <f t="shared" si="175"/>
        <v>15798908.622976987</v>
      </c>
      <c r="E696" s="135"/>
      <c r="F696" s="134"/>
      <c r="G696" s="134"/>
      <c r="H696" s="136">
        <f>SUM(H690:H695)</f>
        <v>779292</v>
      </c>
      <c r="I696" s="136">
        <f>SUM(I690:I695)</f>
        <v>779554</v>
      </c>
      <c r="J696" s="135"/>
      <c r="K696" s="134"/>
      <c r="L696" s="134"/>
      <c r="M696" s="136">
        <f>SUM(M690:M695)</f>
        <v>850422</v>
      </c>
      <c r="O696" s="89" t="s">
        <v>86</v>
      </c>
      <c r="P696" s="88">
        <f>M696/I696-1</f>
        <v>9.0908391208306183E-2</v>
      </c>
    </row>
    <row r="697" spans="1:16" ht="16.5" thickTop="1">
      <c r="A697" s="93"/>
      <c r="C697" s="94"/>
      <c r="D697" s="94"/>
      <c r="E697" s="94"/>
      <c r="H697" s="96"/>
      <c r="I697" s="96"/>
      <c r="J697" s="94"/>
      <c r="M697" s="96"/>
    </row>
    <row r="698" spans="1:16">
      <c r="A698" s="186" t="s">
        <v>453</v>
      </c>
      <c r="C698" s="92"/>
      <c r="D698" s="92"/>
      <c r="E698" s="92"/>
      <c r="J698" s="92"/>
    </row>
    <row r="699" spans="1:16">
      <c r="A699" s="93" t="s">
        <v>259</v>
      </c>
      <c r="C699" s="92">
        <v>18948.058300338998</v>
      </c>
      <c r="D699" s="92">
        <f>ROUND($C699*D703/$C$703,0)</f>
        <v>19247</v>
      </c>
      <c r="E699" s="92"/>
      <c r="F699" s="95">
        <v>7</v>
      </c>
      <c r="G699" s="95"/>
      <c r="H699" s="96">
        <f t="shared" ref="H699:I701" si="178">ROUND(C699*$F699,0)</f>
        <v>132636</v>
      </c>
      <c r="I699" s="96">
        <f t="shared" si="178"/>
        <v>134729</v>
      </c>
      <c r="J699" s="92"/>
      <c r="K699" s="95">
        <f>K$690</f>
        <v>8</v>
      </c>
      <c r="L699" s="95"/>
      <c r="M699" s="96">
        <f>ROUND(D699*$K699,0)</f>
        <v>153976</v>
      </c>
    </row>
    <row r="700" spans="1:16">
      <c r="A700" s="93" t="s">
        <v>260</v>
      </c>
      <c r="C700" s="92">
        <v>691.41089142446401</v>
      </c>
      <c r="D700" s="92">
        <f>ROUND($C700*D$701/$C$701,0)</f>
        <v>671</v>
      </c>
      <c r="E700" s="92"/>
      <c r="F700" s="95">
        <v>49.02</v>
      </c>
      <c r="G700" s="95"/>
      <c r="H700" s="96">
        <f t="shared" si="178"/>
        <v>33893</v>
      </c>
      <c r="I700" s="96">
        <f t="shared" si="178"/>
        <v>32892</v>
      </c>
      <c r="J700" s="92"/>
      <c r="K700" s="95">
        <f>K$691</f>
        <v>53.480000000000004</v>
      </c>
      <c r="L700" s="95"/>
      <c r="M700" s="96">
        <f>ROUND(D700*$K700,0)</f>
        <v>35885</v>
      </c>
    </row>
    <row r="701" spans="1:16">
      <c r="A701" s="93" t="s">
        <v>261</v>
      </c>
      <c r="C701" s="92">
        <v>8228.9976133651599</v>
      </c>
      <c r="D701" s="92">
        <v>7992</v>
      </c>
      <c r="E701" s="92"/>
      <c r="F701" s="95">
        <v>4.1900000000000004</v>
      </c>
      <c r="G701" s="95"/>
      <c r="H701" s="96">
        <f t="shared" si="178"/>
        <v>34480</v>
      </c>
      <c r="I701" s="96">
        <f t="shared" si="178"/>
        <v>33486</v>
      </c>
      <c r="J701" s="92"/>
      <c r="K701" s="95">
        <f>K$692</f>
        <v>4.57</v>
      </c>
      <c r="L701" s="95"/>
      <c r="M701" s="96">
        <f>ROUND(D701*$K701,0)</f>
        <v>36523</v>
      </c>
    </row>
    <row r="702" spans="1:16">
      <c r="A702" s="93" t="s">
        <v>87</v>
      </c>
      <c r="C702" s="92">
        <v>3640</v>
      </c>
      <c r="D702" s="92">
        <v>5555.1849831229019</v>
      </c>
      <c r="E702" s="92"/>
      <c r="F702" s="95">
        <v>-0.5</v>
      </c>
      <c r="G702" s="95"/>
      <c r="H702" s="96">
        <f>ROUND($F702*C702,0)</f>
        <v>-1820</v>
      </c>
      <c r="I702" s="96">
        <f>ROUND($F702*D702,0)</f>
        <v>-2778</v>
      </c>
      <c r="J702" s="92"/>
      <c r="K702" s="95">
        <f>K$693</f>
        <v>-0.5</v>
      </c>
      <c r="L702" s="95"/>
      <c r="M702" s="96">
        <f>ROUND($K702*D702,0)</f>
        <v>-2778</v>
      </c>
    </row>
    <row r="703" spans="1:16">
      <c r="A703" s="93" t="s">
        <v>262</v>
      </c>
      <c r="C703" s="92">
        <v>14666500</v>
      </c>
      <c r="D703" s="92">
        <v>14897514.622976987</v>
      </c>
      <c r="E703" s="92"/>
      <c r="F703" s="165">
        <v>3.5697000000000001</v>
      </c>
      <c r="G703" s="120" t="s">
        <v>90</v>
      </c>
      <c r="H703" s="96">
        <f>ROUND(C703*$F703/100,0)</f>
        <v>523550</v>
      </c>
      <c r="I703" s="96">
        <f>ROUND(D703*$F703/100,0)</f>
        <v>531797</v>
      </c>
      <c r="J703" s="92"/>
      <c r="K703" s="166">
        <f>K$694</f>
        <v>3.8458999999999999</v>
      </c>
      <c r="L703" s="120" t="s">
        <v>90</v>
      </c>
      <c r="M703" s="96">
        <f>ROUND(D703*$K703/100,0)</f>
        <v>572944</v>
      </c>
    </row>
    <row r="704" spans="1:16">
      <c r="A704" s="129" t="s">
        <v>103</v>
      </c>
      <c r="B704" s="130"/>
      <c r="C704" s="92">
        <v>111836</v>
      </c>
      <c r="D704" s="92"/>
      <c r="E704" s="92"/>
      <c r="F704" s="131"/>
      <c r="G704" s="9"/>
      <c r="H704" s="96">
        <v>5478</v>
      </c>
      <c r="I704" s="96"/>
      <c r="J704" s="92"/>
      <c r="K704" s="131"/>
      <c r="L704" s="9"/>
      <c r="M704" s="96"/>
      <c r="N704" s="121"/>
      <c r="O704" s="121"/>
      <c r="P704" s="121"/>
    </row>
    <row r="705" spans="1:16" ht="16.5" thickBot="1">
      <c r="A705" s="189" t="s">
        <v>105</v>
      </c>
      <c r="B705" s="134"/>
      <c r="C705" s="135">
        <f>C703+C704</f>
        <v>14778336</v>
      </c>
      <c r="D705" s="135">
        <f>D703</f>
        <v>14897514.622976987</v>
      </c>
      <c r="E705" s="135"/>
      <c r="F705" s="134"/>
      <c r="G705" s="134"/>
      <c r="H705" s="136">
        <f>SUM(H699:H704)</f>
        <v>728217</v>
      </c>
      <c r="I705" s="136">
        <f>SUM(I699:I704)</f>
        <v>730126</v>
      </c>
      <c r="J705" s="135"/>
      <c r="K705" s="134"/>
      <c r="L705" s="134"/>
      <c r="M705" s="136">
        <f>SUM(M699:M704)</f>
        <v>796550</v>
      </c>
      <c r="O705" s="89" t="s">
        <v>86</v>
      </c>
      <c r="P705" s="88">
        <f>M705/I705-1</f>
        <v>9.0976078101588032E-2</v>
      </c>
    </row>
    <row r="706" spans="1:16" ht="16.5" thickTop="1">
      <c r="A706" s="93"/>
      <c r="C706" s="94"/>
      <c r="D706" s="94"/>
      <c r="E706" s="94"/>
      <c r="H706" s="96"/>
      <c r="I706" s="96"/>
      <c r="J706" s="94"/>
      <c r="M706" s="96"/>
    </row>
    <row r="707" spans="1:16">
      <c r="A707" s="186" t="s">
        <v>454</v>
      </c>
      <c r="C707" s="92"/>
      <c r="D707" s="92"/>
      <c r="E707" s="92"/>
      <c r="J707" s="92"/>
    </row>
    <row r="708" spans="1:16">
      <c r="A708" s="93" t="s">
        <v>259</v>
      </c>
      <c r="C708" s="92">
        <v>0</v>
      </c>
      <c r="D708" s="92">
        <f>ROUND($C708*D712/$C$712,0)</f>
        <v>0</v>
      </c>
      <c r="E708" s="92"/>
      <c r="F708" s="95">
        <v>7</v>
      </c>
      <c r="G708" s="95"/>
      <c r="H708" s="96">
        <f t="shared" ref="H708:I710" si="179">ROUND(C708*$F708,0)</f>
        <v>0</v>
      </c>
      <c r="I708" s="96">
        <f t="shared" si="179"/>
        <v>0</v>
      </c>
      <c r="J708" s="92"/>
      <c r="K708" s="95">
        <f>K$690</f>
        <v>8</v>
      </c>
      <c r="L708" s="95"/>
      <c r="M708" s="96">
        <f>ROUND(D708*$K708,0)</f>
        <v>0</v>
      </c>
    </row>
    <row r="709" spans="1:16">
      <c r="A709" s="93" t="s">
        <v>260</v>
      </c>
      <c r="C709" s="92">
        <v>0</v>
      </c>
      <c r="D709" s="92">
        <f>ROUND($C709*D$710/$C$710,0)</f>
        <v>0</v>
      </c>
      <c r="E709" s="92"/>
      <c r="F709" s="95">
        <v>49.02</v>
      </c>
      <c r="G709" s="95"/>
      <c r="H709" s="96">
        <f t="shared" si="179"/>
        <v>0</v>
      </c>
      <c r="I709" s="96">
        <f t="shared" si="179"/>
        <v>0</v>
      </c>
      <c r="J709" s="92"/>
      <c r="K709" s="95">
        <f>K$691</f>
        <v>53.480000000000004</v>
      </c>
      <c r="L709" s="95"/>
      <c r="M709" s="96">
        <f>ROUND(D709*$K709,0)</f>
        <v>0</v>
      </c>
    </row>
    <row r="710" spans="1:16">
      <c r="A710" s="93" t="s">
        <v>261</v>
      </c>
      <c r="C710" s="92">
        <v>24</v>
      </c>
      <c r="D710" s="92">
        <v>72</v>
      </c>
      <c r="E710" s="92"/>
      <c r="F710" s="95">
        <v>4.1900000000000004</v>
      </c>
      <c r="G710" s="95"/>
      <c r="H710" s="96">
        <f t="shared" si="179"/>
        <v>101</v>
      </c>
      <c r="I710" s="96">
        <f t="shared" si="179"/>
        <v>302</v>
      </c>
      <c r="J710" s="92"/>
      <c r="K710" s="95">
        <f>K$692</f>
        <v>4.57</v>
      </c>
      <c r="L710" s="95"/>
      <c r="M710" s="96">
        <f>ROUND(D710*$K710,0)</f>
        <v>329</v>
      </c>
    </row>
    <row r="711" spans="1:16">
      <c r="A711" s="93" t="s">
        <v>87</v>
      </c>
      <c r="C711" s="92">
        <v>12</v>
      </c>
      <c r="D711" s="92">
        <v>50.046711559665788</v>
      </c>
      <c r="E711" s="92"/>
      <c r="F711" s="95">
        <v>-0.5</v>
      </c>
      <c r="G711" s="95"/>
      <c r="H711" s="96">
        <f>ROUND($F711*C711,0)</f>
        <v>-6</v>
      </c>
      <c r="I711" s="96">
        <f>ROUND($F711*D711,0)</f>
        <v>-25</v>
      </c>
      <c r="J711" s="92"/>
      <c r="K711" s="95">
        <f>K$693</f>
        <v>-0.5</v>
      </c>
      <c r="L711" s="95"/>
      <c r="M711" s="96">
        <f>ROUND($K711*D711,0)</f>
        <v>-25</v>
      </c>
    </row>
    <row r="712" spans="1:16">
      <c r="A712" s="93" t="s">
        <v>262</v>
      </c>
      <c r="C712" s="92">
        <v>6054</v>
      </c>
      <c r="D712" s="92">
        <v>18938</v>
      </c>
      <c r="E712" s="92"/>
      <c r="F712" s="165">
        <v>3.5697000000000001</v>
      </c>
      <c r="G712" s="120" t="s">
        <v>90</v>
      </c>
      <c r="H712" s="96">
        <f>ROUND(C712*$F712/100,0)</f>
        <v>216</v>
      </c>
      <c r="I712" s="96">
        <f>ROUND(D712*$F712/100,0)</f>
        <v>676</v>
      </c>
      <c r="J712" s="92"/>
      <c r="K712" s="166">
        <f>K$694</f>
        <v>3.8458999999999999</v>
      </c>
      <c r="L712" s="120" t="s">
        <v>90</v>
      </c>
      <c r="M712" s="96">
        <f>ROUND(D712*$K712/100,0)</f>
        <v>728</v>
      </c>
    </row>
    <row r="713" spans="1:16">
      <c r="A713" s="129" t="s">
        <v>103</v>
      </c>
      <c r="B713" s="130"/>
      <c r="C713" s="92">
        <v>1</v>
      </c>
      <c r="D713" s="92"/>
      <c r="E713" s="92"/>
      <c r="F713" s="131"/>
      <c r="G713" s="9"/>
      <c r="H713" s="96">
        <v>1</v>
      </c>
      <c r="I713" s="96"/>
      <c r="J713" s="92"/>
      <c r="K713" s="131"/>
      <c r="L713" s="9"/>
      <c r="M713" s="96"/>
      <c r="N713" s="121"/>
      <c r="O713" s="121"/>
      <c r="P713" s="121"/>
    </row>
    <row r="714" spans="1:16" ht="16.5" thickBot="1">
      <c r="A714" s="189" t="s">
        <v>105</v>
      </c>
      <c r="B714" s="134"/>
      <c r="C714" s="135">
        <f>C712+C713</f>
        <v>6055</v>
      </c>
      <c r="D714" s="135">
        <f>D712</f>
        <v>18938</v>
      </c>
      <c r="E714" s="135"/>
      <c r="F714" s="134"/>
      <c r="G714" s="134"/>
      <c r="H714" s="136">
        <f>SUM(H708:H713)</f>
        <v>312</v>
      </c>
      <c r="I714" s="136">
        <f>SUM(I708:I713)</f>
        <v>953</v>
      </c>
      <c r="J714" s="135"/>
      <c r="K714" s="134"/>
      <c r="L714" s="134"/>
      <c r="M714" s="136">
        <f>SUM(M708:M713)</f>
        <v>1032</v>
      </c>
      <c r="O714" s="89" t="s">
        <v>86</v>
      </c>
      <c r="P714" s="88">
        <f>M714/I714-1</f>
        <v>8.2896117523609592E-2</v>
      </c>
    </row>
    <row r="715" spans="1:16" ht="16.5" thickTop="1">
      <c r="A715" s="93"/>
      <c r="C715" s="94"/>
      <c r="D715" s="94"/>
      <c r="E715" s="94"/>
      <c r="H715" s="96"/>
      <c r="I715" s="96"/>
      <c r="J715" s="94"/>
      <c r="M715" s="96"/>
    </row>
    <row r="716" spans="1:16">
      <c r="A716" s="186" t="s">
        <v>455</v>
      </c>
      <c r="C716" s="92"/>
      <c r="D716" s="92"/>
      <c r="E716" s="92"/>
      <c r="J716" s="92"/>
    </row>
    <row r="717" spans="1:16">
      <c r="A717" s="93" t="s">
        <v>259</v>
      </c>
      <c r="C717" s="92">
        <v>997.24648544286299</v>
      </c>
      <c r="D717" s="92">
        <f>ROUND($C717*D721/$C$721,0)</f>
        <v>950</v>
      </c>
      <c r="E717" s="92"/>
      <c r="F717" s="95">
        <v>7</v>
      </c>
      <c r="G717" s="95"/>
      <c r="H717" s="96">
        <f t="shared" ref="H717:I719" si="180">ROUND(C717*$F717,0)</f>
        <v>6981</v>
      </c>
      <c r="I717" s="96">
        <f t="shared" si="180"/>
        <v>6650</v>
      </c>
      <c r="J717" s="92"/>
      <c r="K717" s="95">
        <f>K$690</f>
        <v>8</v>
      </c>
      <c r="L717" s="95"/>
      <c r="M717" s="96">
        <f>ROUND(D717*$K717,0)</f>
        <v>7600</v>
      </c>
    </row>
    <row r="718" spans="1:16">
      <c r="A718" s="93" t="s">
        <v>260</v>
      </c>
      <c r="C718" s="92">
        <v>109.008253812729</v>
      </c>
      <c r="D718" s="92">
        <f>ROUND($C718*D$719/$C$719,0)</f>
        <v>109</v>
      </c>
      <c r="E718" s="92"/>
      <c r="F718" s="95">
        <v>49.02</v>
      </c>
      <c r="G718" s="95"/>
      <c r="H718" s="96">
        <f t="shared" si="180"/>
        <v>5344</v>
      </c>
      <c r="I718" s="96">
        <f t="shared" si="180"/>
        <v>5343</v>
      </c>
      <c r="J718" s="92"/>
      <c r="K718" s="95">
        <f>K$691</f>
        <v>53.480000000000004</v>
      </c>
      <c r="L718" s="95"/>
      <c r="M718" s="96">
        <f>ROUND(D718*$K718,0)</f>
        <v>5829</v>
      </c>
    </row>
    <row r="719" spans="1:16">
      <c r="A719" s="93" t="s">
        <v>261</v>
      </c>
      <c r="C719" s="92">
        <v>1300.26730310263</v>
      </c>
      <c r="D719" s="92">
        <v>1296</v>
      </c>
      <c r="E719" s="92"/>
      <c r="F719" s="95">
        <v>4.1900000000000004</v>
      </c>
      <c r="G719" s="95"/>
      <c r="H719" s="96">
        <f t="shared" si="180"/>
        <v>5448</v>
      </c>
      <c r="I719" s="96">
        <f t="shared" si="180"/>
        <v>5430</v>
      </c>
      <c r="J719" s="92"/>
      <c r="K719" s="95">
        <f>K$692</f>
        <v>4.57</v>
      </c>
      <c r="L719" s="95"/>
      <c r="M719" s="96">
        <f>ROUND(D719*$K719,0)</f>
        <v>5923</v>
      </c>
    </row>
    <row r="720" spans="1:16">
      <c r="A720" s="93" t="s">
        <v>87</v>
      </c>
      <c r="C720" s="92">
        <v>268</v>
      </c>
      <c r="D720" s="92">
        <v>900.84080807398414</v>
      </c>
      <c r="E720" s="92"/>
      <c r="F720" s="95">
        <v>-0.5</v>
      </c>
      <c r="G720" s="95"/>
      <c r="H720" s="96">
        <f>ROUND($F720*C720,0)</f>
        <v>-134</v>
      </c>
      <c r="I720" s="96">
        <f>ROUND($F720*D720,0)</f>
        <v>-450</v>
      </c>
      <c r="J720" s="92"/>
      <c r="K720" s="95">
        <f>K$693</f>
        <v>-0.5</v>
      </c>
      <c r="L720" s="95"/>
      <c r="M720" s="96">
        <f>ROUND($K720*D720,0)</f>
        <v>-450</v>
      </c>
    </row>
    <row r="721" spans="1:16">
      <c r="A721" s="93" t="s">
        <v>262</v>
      </c>
      <c r="C721" s="92">
        <v>926031</v>
      </c>
      <c r="D721" s="92">
        <v>882456</v>
      </c>
      <c r="E721" s="92"/>
      <c r="F721" s="165">
        <v>3.5697000000000001</v>
      </c>
      <c r="G721" s="120" t="s">
        <v>90</v>
      </c>
      <c r="H721" s="96">
        <f>ROUND(C721*$F721/100,0)</f>
        <v>33057</v>
      </c>
      <c r="I721" s="96">
        <f>ROUND(D721*$F721/100,0)</f>
        <v>31501</v>
      </c>
      <c r="J721" s="92"/>
      <c r="K721" s="166">
        <f>K$694</f>
        <v>3.8458999999999999</v>
      </c>
      <c r="L721" s="120" t="s">
        <v>90</v>
      </c>
      <c r="M721" s="96">
        <f>ROUND(D721*$K721/100,0)</f>
        <v>33938</v>
      </c>
    </row>
    <row r="722" spans="1:16">
      <c r="A722" s="129" t="s">
        <v>103</v>
      </c>
      <c r="B722" s="130"/>
      <c r="C722" s="92">
        <v>1238</v>
      </c>
      <c r="D722" s="92"/>
      <c r="E722" s="92"/>
      <c r="F722" s="131"/>
      <c r="G722" s="9"/>
      <c r="H722" s="96">
        <v>68</v>
      </c>
      <c r="I722" s="96"/>
      <c r="J722" s="92"/>
      <c r="K722" s="131"/>
      <c r="L722" s="9"/>
      <c r="M722" s="96"/>
      <c r="N722" s="121"/>
      <c r="O722" s="121"/>
      <c r="P722" s="121"/>
    </row>
    <row r="723" spans="1:16" ht="16.5" thickBot="1">
      <c r="A723" s="189" t="s">
        <v>105</v>
      </c>
      <c r="B723" s="134"/>
      <c r="C723" s="135">
        <f>C721+C722</f>
        <v>927269</v>
      </c>
      <c r="D723" s="135">
        <f t="shared" ref="D723" si="181">D721</f>
        <v>882456</v>
      </c>
      <c r="E723" s="135"/>
      <c r="F723" s="134"/>
      <c r="G723" s="134"/>
      <c r="H723" s="136">
        <f>SUM(H717:H722)</f>
        <v>50764</v>
      </c>
      <c r="I723" s="136">
        <f>SUM(I717:I722)</f>
        <v>48474</v>
      </c>
      <c r="J723" s="135"/>
      <c r="K723" s="134"/>
      <c r="L723" s="134"/>
      <c r="M723" s="136">
        <f>SUM(M717:M722)</f>
        <v>52840</v>
      </c>
      <c r="O723" s="89" t="s">
        <v>86</v>
      </c>
      <c r="P723" s="88">
        <f>M723/I723-1</f>
        <v>9.0068902917027627E-2</v>
      </c>
    </row>
    <row r="724" spans="1:16" ht="16.5" thickTop="1">
      <c r="C724" s="92"/>
      <c r="D724" s="92"/>
      <c r="E724" s="92"/>
      <c r="J724" s="92"/>
    </row>
    <row r="725" spans="1:16">
      <c r="A725" s="186" t="s">
        <v>263</v>
      </c>
      <c r="C725" s="92"/>
      <c r="D725" s="92"/>
      <c r="E725" s="92"/>
      <c r="H725" s="96"/>
      <c r="I725" s="96"/>
      <c r="J725" s="92"/>
      <c r="M725" s="96"/>
    </row>
    <row r="726" spans="1:16">
      <c r="A726" s="93" t="s">
        <v>121</v>
      </c>
      <c r="C726" s="92">
        <f>C733+C740+C747</f>
        <v>32996.543636363494</v>
      </c>
      <c r="D726" s="92">
        <f t="shared" ref="D726" si="182">D733+D740+D747</f>
        <v>32852.230948936682</v>
      </c>
      <c r="E726" s="92"/>
      <c r="F726" s="95">
        <v>5.5</v>
      </c>
      <c r="G726" s="95"/>
      <c r="H726" s="96">
        <f>ROUND(C726*$F726,0)</f>
        <v>181481</v>
      </c>
      <c r="I726" s="96">
        <f>ROUND(D726*$F726,0)</f>
        <v>180687</v>
      </c>
      <c r="J726" s="92"/>
      <c r="K726" s="95">
        <f>MROUND(F726*(1+P730),1)</f>
        <v>6</v>
      </c>
      <c r="L726" s="95"/>
      <c r="M726" s="96">
        <f>ROUND(D726*$K726,0)</f>
        <v>197113</v>
      </c>
      <c r="O726" s="103" t="s">
        <v>79</v>
      </c>
      <c r="P726" s="104">
        <f>M730</f>
        <v>906258</v>
      </c>
    </row>
    <row r="727" spans="1:16">
      <c r="A727" s="93" t="s">
        <v>87</v>
      </c>
      <c r="C727" s="92">
        <f>C734+C741+C748</f>
        <v>4396</v>
      </c>
      <c r="D727" s="92">
        <f>D734+D741+D748</f>
        <v>22835.362866568881</v>
      </c>
      <c r="E727" s="92"/>
      <c r="F727" s="95">
        <v>-0.5</v>
      </c>
      <c r="G727" s="95"/>
      <c r="H727" s="96">
        <f>ROUND($F727*C727,0)</f>
        <v>-2198</v>
      </c>
      <c r="I727" s="96">
        <f>ROUND($F727*D727,0)</f>
        <v>-11418</v>
      </c>
      <c r="J727" s="92"/>
      <c r="K727" s="95">
        <f>F727</f>
        <v>-0.5</v>
      </c>
      <c r="L727" s="95"/>
      <c r="M727" s="96">
        <f>ROUND($K727*D727,0)</f>
        <v>-11418</v>
      </c>
      <c r="O727" s="106" t="s">
        <v>81</v>
      </c>
      <c r="P727" s="107">
        <f>'Rate Spread'!M44*1000</f>
        <v>906261.73387581552</v>
      </c>
    </row>
    <row r="728" spans="1:16">
      <c r="A728" s="93" t="s">
        <v>262</v>
      </c>
      <c r="C728" s="92">
        <f>C735+C742+C749</f>
        <v>8370348.0083056297</v>
      </c>
      <c r="D728" s="92">
        <f>D735+D742+D749</f>
        <v>8267891.7022853922</v>
      </c>
      <c r="E728" s="92"/>
      <c r="F728" s="166">
        <v>8.0005000000000006</v>
      </c>
      <c r="G728" s="120" t="s">
        <v>90</v>
      </c>
      <c r="H728" s="96">
        <f>ROUND(C728*$F728/100,0)</f>
        <v>669670</v>
      </c>
      <c r="I728" s="96">
        <f>ROUND(D728*$F728/100,0)</f>
        <v>661473</v>
      </c>
      <c r="J728" s="92"/>
      <c r="K728" s="166">
        <f>ROUND((P727-M726-M727)/D728*100,P9)</f>
        <v>8.7151999999999994</v>
      </c>
      <c r="L728" s="120" t="s">
        <v>90</v>
      </c>
      <c r="M728" s="96">
        <f>ROUND(D728*$K728/100,0)</f>
        <v>720563</v>
      </c>
      <c r="O728" s="109" t="s">
        <v>83</v>
      </c>
      <c r="P728" s="110">
        <f>P727-P726</f>
        <v>3.7338758155237883</v>
      </c>
    </row>
    <row r="729" spans="1:16">
      <c r="A729" s="129" t="s">
        <v>103</v>
      </c>
      <c r="B729" s="130"/>
      <c r="C729" s="92">
        <f>C736+C743+C750</f>
        <v>34885</v>
      </c>
      <c r="D729" s="92"/>
      <c r="E729" s="92"/>
      <c r="F729" s="131"/>
      <c r="G729" s="9"/>
      <c r="H729" s="96">
        <f>H736+H743+H750</f>
        <v>3516</v>
      </c>
      <c r="I729" s="96"/>
      <c r="J729" s="92"/>
      <c r="K729" s="131"/>
      <c r="L729" s="9"/>
      <c r="M729" s="96"/>
      <c r="N729" s="121"/>
      <c r="O729" s="103" t="s">
        <v>86</v>
      </c>
      <c r="P729" s="149">
        <f>P726/I730-1</f>
        <v>9.0901868450132595E-2</v>
      </c>
    </row>
    <row r="730" spans="1:16" ht="16.5" thickBot="1">
      <c r="A730" s="189" t="s">
        <v>105</v>
      </c>
      <c r="B730" s="134"/>
      <c r="C730" s="135">
        <f t="shared" ref="C730:D730" si="183">C737+C744+C751</f>
        <v>8405233.0083056297</v>
      </c>
      <c r="D730" s="135">
        <f t="shared" si="183"/>
        <v>8267891.7022853922</v>
      </c>
      <c r="E730" s="135"/>
      <c r="F730" s="134"/>
      <c r="G730" s="134"/>
      <c r="H730" s="136">
        <f>SUM(H726:H729)</f>
        <v>852469</v>
      </c>
      <c r="I730" s="136">
        <f>SUM(I726:I729)</f>
        <v>830742</v>
      </c>
      <c r="J730" s="135"/>
      <c r="K730" s="134"/>
      <c r="L730" s="134"/>
      <c r="M730" s="136">
        <f>SUM(M726:M729)</f>
        <v>906258</v>
      </c>
      <c r="O730" s="124" t="s">
        <v>88</v>
      </c>
      <c r="P730" s="151">
        <f>P727/I730-1</f>
        <v>9.0906363077604802E-2</v>
      </c>
    </row>
    <row r="731" spans="1:16" ht="16.5" thickTop="1">
      <c r="C731" s="92"/>
      <c r="D731" s="92"/>
      <c r="E731" s="92"/>
      <c r="J731" s="92"/>
    </row>
    <row r="732" spans="1:16">
      <c r="A732" s="186" t="s">
        <v>456</v>
      </c>
      <c r="C732" s="92"/>
      <c r="D732" s="92"/>
      <c r="E732" s="92"/>
      <c r="H732" s="96"/>
      <c r="I732" s="96"/>
      <c r="J732" s="92"/>
      <c r="M732" s="96"/>
    </row>
    <row r="733" spans="1:16">
      <c r="A733" s="93" t="s">
        <v>121</v>
      </c>
      <c r="C733" s="92">
        <v>14405.44</v>
      </c>
      <c r="D733" s="92">
        <v>14363</v>
      </c>
      <c r="E733" s="92"/>
      <c r="F733" s="95">
        <v>5.5</v>
      </c>
      <c r="G733" s="95"/>
      <c r="H733" s="96">
        <f>ROUND(C733*$F733,0)</f>
        <v>79230</v>
      </c>
      <c r="I733" s="96">
        <f>ROUND(D733*$F733,0)</f>
        <v>78997</v>
      </c>
      <c r="J733" s="92"/>
      <c r="K733" s="95">
        <f>K$726</f>
        <v>6</v>
      </c>
      <c r="L733" s="95"/>
      <c r="M733" s="96">
        <f>ROUND(D733*$K733,0)</f>
        <v>86178</v>
      </c>
    </row>
    <row r="734" spans="1:16">
      <c r="A734" s="93" t="s">
        <v>87</v>
      </c>
      <c r="C734" s="92">
        <v>2993</v>
      </c>
      <c r="D734" s="92">
        <v>9983.6238629372183</v>
      </c>
      <c r="E734" s="92"/>
      <c r="F734" s="95">
        <v>-0.5</v>
      </c>
      <c r="G734" s="95"/>
      <c r="H734" s="96">
        <f>ROUND($F734*C734,0)</f>
        <v>-1497</v>
      </c>
      <c r="I734" s="96">
        <f>ROUND($F734*D734,0)</f>
        <v>-4992</v>
      </c>
      <c r="J734" s="92"/>
      <c r="K734" s="95">
        <f>K$727</f>
        <v>-0.5</v>
      </c>
      <c r="L734" s="95"/>
      <c r="M734" s="96">
        <f>ROUND($K734*D734,0)</f>
        <v>-4992</v>
      </c>
    </row>
    <row r="735" spans="1:16">
      <c r="A735" s="93" t="s">
        <v>262</v>
      </c>
      <c r="C735" s="92">
        <v>3777726.7833385598</v>
      </c>
      <c r="D735" s="92">
        <v>3706094.2187096043</v>
      </c>
      <c r="E735" s="92"/>
      <c r="F735" s="166">
        <v>8.0005000000000006</v>
      </c>
      <c r="G735" s="120" t="s">
        <v>90</v>
      </c>
      <c r="H735" s="96">
        <f>ROUND(C735*$F735/100,0)</f>
        <v>302237</v>
      </c>
      <c r="I735" s="96">
        <f>ROUND(D735*$F735/100,0)</f>
        <v>296506</v>
      </c>
      <c r="J735" s="92"/>
      <c r="K735" s="166">
        <f>K$728</f>
        <v>8.7151999999999994</v>
      </c>
      <c r="L735" s="120" t="s">
        <v>90</v>
      </c>
      <c r="M735" s="96">
        <f>ROUND(D735*$K735/100,0)</f>
        <v>322994</v>
      </c>
    </row>
    <row r="736" spans="1:16">
      <c r="A736" s="129" t="s">
        <v>103</v>
      </c>
      <c r="B736" s="130"/>
      <c r="C736" s="92">
        <v>28806</v>
      </c>
      <c r="D736" s="92"/>
      <c r="E736" s="92"/>
      <c r="F736" s="131"/>
      <c r="G736" s="9"/>
      <c r="H736" s="96">
        <v>2882</v>
      </c>
      <c r="I736" s="96"/>
      <c r="J736" s="92"/>
      <c r="K736" s="131"/>
      <c r="L736" s="9"/>
      <c r="M736" s="96"/>
      <c r="N736" s="121"/>
      <c r="O736" s="121"/>
      <c r="P736" s="121"/>
    </row>
    <row r="737" spans="1:16" ht="16.5" thickBot="1">
      <c r="A737" s="189" t="s">
        <v>105</v>
      </c>
      <c r="B737" s="134"/>
      <c r="C737" s="135">
        <f>C735+C736</f>
        <v>3806532.7833385598</v>
      </c>
      <c r="D737" s="135">
        <f>D735</f>
        <v>3706094.2187096043</v>
      </c>
      <c r="E737" s="135"/>
      <c r="F737" s="134"/>
      <c r="G737" s="134"/>
      <c r="H737" s="136">
        <f>SUM(H733:H736)</f>
        <v>382852</v>
      </c>
      <c r="I737" s="136">
        <f>SUM(I733:I736)</f>
        <v>370511</v>
      </c>
      <c r="J737" s="135"/>
      <c r="K737" s="134"/>
      <c r="L737" s="134"/>
      <c r="M737" s="136">
        <f>SUM(M733:M736)</f>
        <v>404180</v>
      </c>
      <c r="O737" s="89" t="s">
        <v>86</v>
      </c>
      <c r="P737" s="88">
        <f>M737/I737-1</f>
        <v>9.0871795979066805E-2</v>
      </c>
    </row>
    <row r="738" spans="1:16" ht="16.5" thickTop="1">
      <c r="C738" s="92"/>
      <c r="D738" s="92"/>
      <c r="E738" s="92"/>
      <c r="J738" s="92"/>
    </row>
    <row r="739" spans="1:16">
      <c r="A739" s="186" t="s">
        <v>457</v>
      </c>
      <c r="C739" s="92"/>
      <c r="D739" s="92"/>
      <c r="E739" s="92"/>
      <c r="H739" s="96"/>
      <c r="I739" s="96"/>
      <c r="J739" s="92"/>
      <c r="M739" s="96"/>
    </row>
    <row r="740" spans="1:16">
      <c r="A740" s="93" t="s">
        <v>121</v>
      </c>
      <c r="C740" s="92">
        <v>102.169090909091</v>
      </c>
      <c r="D740" s="92">
        <v>132</v>
      </c>
      <c r="E740" s="92"/>
      <c r="F740" s="95">
        <v>5.5</v>
      </c>
      <c r="G740" s="95"/>
      <c r="H740" s="96">
        <f>ROUND(C740*$F740,0)</f>
        <v>562</v>
      </c>
      <c r="I740" s="96">
        <f>ROUND(D740*$F740,0)</f>
        <v>726</v>
      </c>
      <c r="J740" s="92"/>
      <c r="K740" s="95">
        <f>K$726</f>
        <v>6</v>
      </c>
      <c r="L740" s="95"/>
      <c r="M740" s="96">
        <f>ROUND(D740*$K740,0)</f>
        <v>792</v>
      </c>
    </row>
    <row r="741" spans="1:16">
      <c r="A741" s="93" t="s">
        <v>87</v>
      </c>
      <c r="C741" s="92">
        <v>30</v>
      </c>
      <c r="D741" s="92">
        <v>91.752304526053933</v>
      </c>
      <c r="E741" s="92"/>
      <c r="F741" s="95">
        <v>-0.5</v>
      </c>
      <c r="G741" s="95"/>
      <c r="H741" s="96">
        <f>ROUND($F741*C741,0)</f>
        <v>-15</v>
      </c>
      <c r="I741" s="96">
        <f>ROUND($F741*D741,0)</f>
        <v>-46</v>
      </c>
      <c r="J741" s="92"/>
      <c r="K741" s="95">
        <f>K$727</f>
        <v>-0.5</v>
      </c>
      <c r="L741" s="95"/>
      <c r="M741" s="96">
        <f>ROUND($K741*D741,0)</f>
        <v>-46</v>
      </c>
    </row>
    <row r="742" spans="1:16">
      <c r="A742" s="93" t="s">
        <v>262</v>
      </c>
      <c r="C742" s="92">
        <v>57700</v>
      </c>
      <c r="D742" s="92">
        <v>111816</v>
      </c>
      <c r="E742" s="92"/>
      <c r="F742" s="166">
        <v>8.0005000000000006</v>
      </c>
      <c r="G742" s="120" t="s">
        <v>90</v>
      </c>
      <c r="H742" s="96">
        <f>ROUND(C742*$F742/100,0)</f>
        <v>4616</v>
      </c>
      <c r="I742" s="96">
        <f>ROUND(D742*$F742/100,0)</f>
        <v>8946</v>
      </c>
      <c r="J742" s="92"/>
      <c r="K742" s="166">
        <f>K$728</f>
        <v>8.7151999999999994</v>
      </c>
      <c r="L742" s="120" t="s">
        <v>90</v>
      </c>
      <c r="M742" s="96">
        <f>ROUND(D742*$K742/100,0)</f>
        <v>9745</v>
      </c>
    </row>
    <row r="743" spans="1:16">
      <c r="A743" s="129" t="s">
        <v>103</v>
      </c>
      <c r="B743" s="130"/>
      <c r="C743" s="92">
        <v>14</v>
      </c>
      <c r="D743" s="92"/>
      <c r="E743" s="92"/>
      <c r="F743" s="131"/>
      <c r="G743" s="9"/>
      <c r="H743" s="96">
        <v>12</v>
      </c>
      <c r="I743" s="96"/>
      <c r="J743" s="92"/>
      <c r="K743" s="131"/>
      <c r="L743" s="9"/>
      <c r="M743" s="96"/>
      <c r="N743" s="121"/>
      <c r="O743" s="121"/>
      <c r="P743" s="121"/>
    </row>
    <row r="744" spans="1:16" ht="16.5" thickBot="1">
      <c r="A744" s="189" t="s">
        <v>105</v>
      </c>
      <c r="B744" s="134"/>
      <c r="C744" s="135">
        <f>C742+C743</f>
        <v>57714</v>
      </c>
      <c r="D744" s="135">
        <f>D742</f>
        <v>111816</v>
      </c>
      <c r="E744" s="135"/>
      <c r="F744" s="134"/>
      <c r="G744" s="134"/>
      <c r="H744" s="136">
        <f>SUM(H740:H743)</f>
        <v>5175</v>
      </c>
      <c r="I744" s="136">
        <f>SUM(I740:I743)</f>
        <v>9626</v>
      </c>
      <c r="J744" s="135"/>
      <c r="K744" s="134"/>
      <c r="L744" s="134"/>
      <c r="M744" s="136">
        <f>SUM(M740:M743)</f>
        <v>10491</v>
      </c>
      <c r="O744" s="89" t="s">
        <v>86</v>
      </c>
      <c r="P744" s="88">
        <f>M744/I744-1</f>
        <v>8.9860793683773199E-2</v>
      </c>
    </row>
    <row r="745" spans="1:16" ht="16.5" thickTop="1">
      <c r="C745" s="92"/>
      <c r="D745" s="92"/>
      <c r="E745" s="92"/>
      <c r="J745" s="92"/>
    </row>
    <row r="746" spans="1:16">
      <c r="A746" s="186" t="s">
        <v>458</v>
      </c>
      <c r="C746" s="92"/>
      <c r="D746" s="92"/>
      <c r="E746" s="92"/>
      <c r="H746" s="96"/>
      <c r="I746" s="96"/>
      <c r="J746" s="92"/>
      <c r="M746" s="96"/>
    </row>
    <row r="747" spans="1:16">
      <c r="A747" s="93" t="s">
        <v>121</v>
      </c>
      <c r="C747" s="92">
        <v>18488.934545454402</v>
      </c>
      <c r="D747" s="92">
        <v>18357.230948936682</v>
      </c>
      <c r="E747" s="92"/>
      <c r="F747" s="95">
        <v>5.5</v>
      </c>
      <c r="G747" s="95"/>
      <c r="H747" s="96">
        <f>ROUND(C747*$F747,0)</f>
        <v>101689</v>
      </c>
      <c r="I747" s="96">
        <f>ROUND(D747*$F747,0)</f>
        <v>100965</v>
      </c>
      <c r="J747" s="92"/>
      <c r="K747" s="95">
        <f>K$726</f>
        <v>6</v>
      </c>
      <c r="L747" s="95"/>
      <c r="M747" s="96">
        <f>ROUND(D747*$K747,0)</f>
        <v>110143</v>
      </c>
    </row>
    <row r="748" spans="1:16">
      <c r="A748" s="93" t="s">
        <v>87</v>
      </c>
      <c r="C748" s="92">
        <v>1373</v>
      </c>
      <c r="D748" s="92">
        <v>12759.98669910561</v>
      </c>
      <c r="E748" s="92"/>
      <c r="F748" s="95">
        <v>-0.5</v>
      </c>
      <c r="G748" s="95"/>
      <c r="H748" s="96">
        <f>ROUND($F748*C748,0)</f>
        <v>-687</v>
      </c>
      <c r="I748" s="96">
        <f>ROUND($F748*D748,0)</f>
        <v>-6380</v>
      </c>
      <c r="J748" s="92"/>
      <c r="K748" s="95">
        <f>K$727</f>
        <v>-0.5</v>
      </c>
      <c r="L748" s="95"/>
      <c r="M748" s="96">
        <f>ROUND($K748*D748,0)</f>
        <v>-6380</v>
      </c>
    </row>
    <row r="749" spans="1:16">
      <c r="A749" s="93" t="s">
        <v>262</v>
      </c>
      <c r="C749" s="92">
        <v>4534921.2249670699</v>
      </c>
      <c r="D749" s="92">
        <v>4449981.4835757874</v>
      </c>
      <c r="E749" s="92"/>
      <c r="F749" s="166">
        <v>8.0005000000000006</v>
      </c>
      <c r="G749" s="120" t="s">
        <v>90</v>
      </c>
      <c r="H749" s="96">
        <f>ROUND(C749*$F749/100,0)</f>
        <v>362816</v>
      </c>
      <c r="I749" s="96">
        <f>ROUND(D749*$F749/100,0)</f>
        <v>356021</v>
      </c>
      <c r="J749" s="92"/>
      <c r="K749" s="166">
        <f>K$728</f>
        <v>8.7151999999999994</v>
      </c>
      <c r="L749" s="120" t="s">
        <v>90</v>
      </c>
      <c r="M749" s="96">
        <f>ROUND(D749*$K749/100,0)</f>
        <v>387825</v>
      </c>
    </row>
    <row r="750" spans="1:16">
      <c r="A750" s="129" t="s">
        <v>103</v>
      </c>
      <c r="B750" s="130"/>
      <c r="C750" s="92">
        <v>6065</v>
      </c>
      <c r="D750" s="92"/>
      <c r="E750" s="92"/>
      <c r="F750" s="131"/>
      <c r="G750" s="9"/>
      <c r="H750" s="96">
        <v>622</v>
      </c>
      <c r="I750" s="96"/>
      <c r="J750" s="92"/>
      <c r="K750" s="131"/>
      <c r="L750" s="9"/>
      <c r="M750" s="96"/>
      <c r="N750" s="121"/>
      <c r="O750" s="121"/>
      <c r="P750" s="121"/>
    </row>
    <row r="751" spans="1:16" ht="16.5" thickBot="1">
      <c r="A751" s="189" t="s">
        <v>105</v>
      </c>
      <c r="B751" s="134"/>
      <c r="C751" s="135">
        <f>C749+C750</f>
        <v>4540986.2249670699</v>
      </c>
      <c r="D751" s="135">
        <f t="shared" ref="D751" si="184">D749</f>
        <v>4449981.4835757874</v>
      </c>
      <c r="E751" s="135"/>
      <c r="F751" s="134"/>
      <c r="G751" s="134"/>
      <c r="H751" s="136">
        <f>SUM(H747:H750)</f>
        <v>464440</v>
      </c>
      <c r="I751" s="136">
        <f>SUM(I747:I750)</f>
        <v>450606</v>
      </c>
      <c r="J751" s="135"/>
      <c r="K751" s="134"/>
      <c r="L751" s="134"/>
      <c r="M751" s="136">
        <f>SUM(M747:M750)</f>
        <v>491588</v>
      </c>
      <c r="O751" s="89" t="s">
        <v>86</v>
      </c>
      <c r="P751" s="88">
        <f>M751/I751-1</f>
        <v>9.0948633617839114E-2</v>
      </c>
    </row>
    <row r="752" spans="1:16" ht="16.5" thickTop="1">
      <c r="A752" s="93"/>
      <c r="C752" s="92"/>
      <c r="D752" s="92"/>
      <c r="E752" s="92"/>
      <c r="F752" s="190"/>
      <c r="G752" s="191"/>
      <c r="H752" s="96"/>
      <c r="I752" s="96"/>
      <c r="J752" s="92"/>
      <c r="K752" s="190"/>
      <c r="L752" s="191"/>
      <c r="M752" s="96"/>
    </row>
    <row r="753" spans="1:18">
      <c r="A753" s="90" t="s">
        <v>264</v>
      </c>
      <c r="C753" s="92"/>
      <c r="D753" s="92"/>
      <c r="E753" s="92"/>
      <c r="J753" s="92"/>
    </row>
    <row r="754" spans="1:18">
      <c r="A754" s="93" t="s">
        <v>121</v>
      </c>
      <c r="C754" s="92">
        <f>C770+C786+C802</f>
        <v>1178294.4469998989</v>
      </c>
      <c r="D754" s="92">
        <f>D770+D786+D802</f>
        <v>1212908.1003307132</v>
      </c>
      <c r="E754" s="92"/>
      <c r="F754" s="147">
        <v>10</v>
      </c>
      <c r="G754" s="147"/>
      <c r="H754" s="96">
        <f t="shared" ref="H754:I759" si="185">ROUND($F754*C754,0)</f>
        <v>11782944</v>
      </c>
      <c r="I754" s="96">
        <f t="shared" si="185"/>
        <v>12129081</v>
      </c>
      <c r="J754" s="92"/>
      <c r="K754" s="147">
        <f>ROUND(F754*(1+$P$758),0)</f>
        <v>11</v>
      </c>
      <c r="L754" s="147"/>
      <c r="M754" s="96">
        <f t="shared" ref="M754:M759" si="186">ROUND($K754*D754,0)</f>
        <v>13341989</v>
      </c>
      <c r="O754" s="103" t="s">
        <v>79</v>
      </c>
      <c r="P754" s="104">
        <f>M767+M831</f>
        <v>188697398</v>
      </c>
    </row>
    <row r="755" spans="1:18">
      <c r="A755" s="93" t="s">
        <v>265</v>
      </c>
      <c r="C755" s="92">
        <f>C771+C787+C803</f>
        <v>75.600000000000009</v>
      </c>
      <c r="D755" s="92">
        <f>D771+D787+D803</f>
        <v>78</v>
      </c>
      <c r="E755" s="92"/>
      <c r="F755" s="147">
        <v>10</v>
      </c>
      <c r="G755" s="147"/>
      <c r="H755" s="96">
        <f t="shared" si="185"/>
        <v>756</v>
      </c>
      <c r="I755" s="96">
        <f t="shared" si="185"/>
        <v>780</v>
      </c>
      <c r="J755" s="92"/>
      <c r="K755" s="147">
        <f>K754</f>
        <v>11</v>
      </c>
      <c r="L755" s="147"/>
      <c r="M755" s="96">
        <f t="shared" si="186"/>
        <v>858</v>
      </c>
      <c r="O755" s="106" t="s">
        <v>81</v>
      </c>
      <c r="P755" s="107">
        <f>'Rate Spread'!M28*1000</f>
        <v>188697413.92149946</v>
      </c>
    </row>
    <row r="756" spans="1:18">
      <c r="A756" s="93" t="s">
        <v>84</v>
      </c>
      <c r="C756" s="92">
        <f t="shared" ref="C756:D767" si="187">C772+C788+C804</f>
        <v>0</v>
      </c>
      <c r="D756" s="92">
        <f>ROUND($C756/$C$11*D$11,0)</f>
        <v>0</v>
      </c>
      <c r="E756" s="92"/>
      <c r="F756" s="95">
        <v>2</v>
      </c>
      <c r="G756" s="95"/>
      <c r="H756" s="96">
        <f t="shared" si="185"/>
        <v>0</v>
      </c>
      <c r="I756" s="96">
        <f t="shared" si="185"/>
        <v>0</v>
      </c>
      <c r="J756" s="92"/>
      <c r="K756" s="95">
        <f>F756</f>
        <v>2</v>
      </c>
      <c r="L756" s="95"/>
      <c r="M756" s="96">
        <f t="shared" si="186"/>
        <v>0</v>
      </c>
      <c r="N756" s="105"/>
      <c r="O756" s="109" t="s">
        <v>83</v>
      </c>
      <c r="P756" s="110">
        <f>P755-P754</f>
        <v>15.921499460935593</v>
      </c>
      <c r="Q756" s="105"/>
    </row>
    <row r="757" spans="1:18">
      <c r="A757" s="93" t="s">
        <v>87</v>
      </c>
      <c r="C757" s="92">
        <f t="shared" si="187"/>
        <v>557019</v>
      </c>
      <c r="D757" s="92">
        <v>843084.19230046356</v>
      </c>
      <c r="E757" s="92"/>
      <c r="F757" s="95">
        <v>-0.5</v>
      </c>
      <c r="G757" s="95"/>
      <c r="H757" s="96">
        <f t="shared" si="185"/>
        <v>-278510</v>
      </c>
      <c r="I757" s="96">
        <f t="shared" si="185"/>
        <v>-421542</v>
      </c>
      <c r="J757" s="92"/>
      <c r="K757" s="95">
        <f>F757</f>
        <v>-0.5</v>
      </c>
      <c r="L757" s="95"/>
      <c r="M757" s="96">
        <f t="shared" si="186"/>
        <v>-421542</v>
      </c>
      <c r="O757" s="103" t="s">
        <v>86</v>
      </c>
      <c r="P757" s="148">
        <f>P754/(I767+I831)-1</f>
        <v>7.2736384161121714E-2</v>
      </c>
    </row>
    <row r="758" spans="1:18">
      <c r="A758" s="93" t="s">
        <v>266</v>
      </c>
      <c r="C758" s="92">
        <f t="shared" si="187"/>
        <v>317572.45106861461</v>
      </c>
      <c r="D758" s="92">
        <f t="shared" si="187"/>
        <v>380982</v>
      </c>
      <c r="E758" s="92"/>
      <c r="F758" s="147">
        <v>8.89</v>
      </c>
      <c r="G758" s="147"/>
      <c r="H758" s="96">
        <f t="shared" si="185"/>
        <v>2823219</v>
      </c>
      <c r="I758" s="96">
        <f t="shared" si="185"/>
        <v>3386930</v>
      </c>
      <c r="J758" s="92"/>
      <c r="K758" s="147">
        <f>ROUND(F758*(1+$P$758),2)</f>
        <v>9.5399999999999991</v>
      </c>
      <c r="L758" s="147"/>
      <c r="M758" s="96">
        <f t="shared" si="186"/>
        <v>3634568</v>
      </c>
      <c r="O758" s="106" t="s">
        <v>88</v>
      </c>
      <c r="P758" s="148">
        <f>P755/(I767+I831)-1</f>
        <v>7.2736474674143681E-2</v>
      </c>
    </row>
    <row r="759" spans="1:18">
      <c r="A759" s="93" t="s">
        <v>267</v>
      </c>
      <c r="C759" s="92">
        <f t="shared" si="187"/>
        <v>386452.48030495248</v>
      </c>
      <c r="D759" s="92">
        <f t="shared" si="187"/>
        <v>462611</v>
      </c>
      <c r="E759" s="92"/>
      <c r="F759" s="147">
        <v>7.87</v>
      </c>
      <c r="G759" s="147"/>
      <c r="H759" s="96">
        <f t="shared" si="185"/>
        <v>3041381</v>
      </c>
      <c r="I759" s="96">
        <f t="shared" si="185"/>
        <v>3640749</v>
      </c>
      <c r="J759" s="92"/>
      <c r="K759" s="147">
        <f>ROUND(F759*(1+$P$758),2)</f>
        <v>8.44</v>
      </c>
      <c r="L759" s="147"/>
      <c r="M759" s="96">
        <f t="shared" si="186"/>
        <v>3904437</v>
      </c>
      <c r="O759" s="106" t="s">
        <v>140</v>
      </c>
      <c r="P759" s="148"/>
    </row>
    <row r="760" spans="1:18">
      <c r="A760" s="93" t="s">
        <v>268</v>
      </c>
      <c r="C760" s="92">
        <f t="shared" si="187"/>
        <v>264284599</v>
      </c>
      <c r="D760" s="92">
        <f t="shared" si="187"/>
        <v>320576251.76313418</v>
      </c>
      <c r="E760" s="92"/>
      <c r="F760" s="150">
        <v>11.712</v>
      </c>
      <c r="G760" s="159" t="s">
        <v>90</v>
      </c>
      <c r="H760" s="96">
        <f t="shared" ref="H760:I763" si="188">ROUND($F760*C760/100,0)</f>
        <v>30953012</v>
      </c>
      <c r="I760" s="96">
        <f t="shared" si="188"/>
        <v>37545891</v>
      </c>
      <c r="J760" s="92"/>
      <c r="K760" s="150">
        <f>ROUND((P755-SUM(M754:M759,M761,M763:M765,M818:M823,M825,M827:M829))/SUM(D760,D824,(D762+D826)/P761)*100,P9)</f>
        <v>12.5219</v>
      </c>
      <c r="L760" s="159" t="s">
        <v>90</v>
      </c>
      <c r="M760" s="96">
        <f>ROUND($K760*D760/100,0)</f>
        <v>40142238</v>
      </c>
      <c r="O760" s="124" t="s">
        <v>97</v>
      </c>
      <c r="P760" s="151"/>
    </row>
    <row r="761" spans="1:18">
      <c r="A761" s="93" t="s">
        <v>269</v>
      </c>
      <c r="C761" s="92">
        <f t="shared" si="187"/>
        <v>267496252.07428494</v>
      </c>
      <c r="D761" s="92">
        <f t="shared" si="187"/>
        <v>325604478.68349415</v>
      </c>
      <c r="E761" s="92"/>
      <c r="F761" s="150">
        <v>6.5567000000000002</v>
      </c>
      <c r="G761" s="159" t="s">
        <v>90</v>
      </c>
      <c r="H761" s="96">
        <f t="shared" si="188"/>
        <v>17538927</v>
      </c>
      <c r="I761" s="96">
        <f t="shared" si="188"/>
        <v>21348909</v>
      </c>
      <c r="J761" s="92"/>
      <c r="K761" s="150">
        <f>ROUND(F761*(1+$P$758),$P$9)</f>
        <v>7.0335999999999999</v>
      </c>
      <c r="L761" s="159" t="s">
        <v>90</v>
      </c>
      <c r="M761" s="96">
        <f>ROUND($K761*D761/100,0)</f>
        <v>22901717</v>
      </c>
      <c r="O761" s="99" t="s">
        <v>144</v>
      </c>
      <c r="P761" s="100">
        <v>1.1299999999999999</v>
      </c>
    </row>
    <row r="762" spans="1:18">
      <c r="A762" s="93" t="s">
        <v>270</v>
      </c>
      <c r="C762" s="92">
        <f t="shared" si="187"/>
        <v>528045944</v>
      </c>
      <c r="D762" s="92">
        <f t="shared" si="187"/>
        <v>628523600.49702084</v>
      </c>
      <c r="E762" s="92"/>
      <c r="F762" s="150">
        <v>10.364599999999999</v>
      </c>
      <c r="G762" s="159" t="s">
        <v>90</v>
      </c>
      <c r="H762" s="96">
        <f t="shared" si="188"/>
        <v>54729850</v>
      </c>
      <c r="I762" s="96">
        <f t="shared" si="188"/>
        <v>65143957</v>
      </c>
      <c r="J762" s="92"/>
      <c r="K762" s="150">
        <f>ROUND(K760/P761,$P$9)</f>
        <v>11.081300000000001</v>
      </c>
      <c r="L762" s="159" t="s">
        <v>90</v>
      </c>
      <c r="M762" s="96">
        <f>ROUND($K762*D762/100,0)</f>
        <v>69648586</v>
      </c>
      <c r="O762" s="99" t="s">
        <v>271</v>
      </c>
      <c r="P762" s="100">
        <f>F760-F761</f>
        <v>5.1552999999999995</v>
      </c>
      <c r="Q762" s="119">
        <f>F760/F762</f>
        <v>1.1300001929645138</v>
      </c>
      <c r="R762" s="72">
        <f>K760/K762</f>
        <v>1.1300027975057079</v>
      </c>
    </row>
    <row r="763" spans="1:18">
      <c r="A763" s="93" t="s">
        <v>272</v>
      </c>
      <c r="C763" s="92">
        <f t="shared" si="187"/>
        <v>434379627.97725922</v>
      </c>
      <c r="D763" s="92">
        <f t="shared" si="187"/>
        <v>518415821.36793309</v>
      </c>
      <c r="E763" s="92"/>
      <c r="F763" s="150">
        <v>5.8023999999999996</v>
      </c>
      <c r="G763" s="159" t="s">
        <v>90</v>
      </c>
      <c r="H763" s="96">
        <f t="shared" si="188"/>
        <v>25204444</v>
      </c>
      <c r="I763" s="96">
        <f t="shared" si="188"/>
        <v>30080560</v>
      </c>
      <c r="J763" s="92"/>
      <c r="K763" s="150">
        <f>ROUND(K761/P761,$P$9)</f>
        <v>6.2244000000000002</v>
      </c>
      <c r="L763" s="159" t="s">
        <v>90</v>
      </c>
      <c r="M763" s="96">
        <f>ROUND($K763*D763/100,0)</f>
        <v>32268274</v>
      </c>
      <c r="P763" s="72">
        <f>K760-K761</f>
        <v>5.4883000000000006</v>
      </c>
      <c r="R763" s="72">
        <f>K761/K763</f>
        <v>1.1300044984255511</v>
      </c>
    </row>
    <row r="764" spans="1:18">
      <c r="A764" s="93" t="s">
        <v>128</v>
      </c>
      <c r="C764" s="92">
        <f t="shared" si="187"/>
        <v>16560.729166666701</v>
      </c>
      <c r="D764" s="92">
        <f t="shared" si="187"/>
        <v>19835</v>
      </c>
      <c r="E764" s="92"/>
      <c r="F764" s="147">
        <v>-0.48</v>
      </c>
      <c r="G764" s="120"/>
      <c r="H764" s="96">
        <f>ROUND($F764*C764,0)</f>
        <v>-7949</v>
      </c>
      <c r="I764" s="96">
        <f>ROUND($F764*D764,0)</f>
        <v>-9521</v>
      </c>
      <c r="J764" s="92"/>
      <c r="K764" s="147">
        <f>F764</f>
        <v>-0.48</v>
      </c>
      <c r="L764" s="120"/>
      <c r="M764" s="96">
        <f>ROUND($K764*D764,0)</f>
        <v>-9521</v>
      </c>
      <c r="P764" s="72">
        <v>7.4249999999999998</v>
      </c>
    </row>
    <row r="765" spans="1:18">
      <c r="A765" s="129" t="s">
        <v>101</v>
      </c>
      <c r="C765" s="92">
        <f t="shared" si="187"/>
        <v>3202574</v>
      </c>
      <c r="D765" s="92">
        <f t="shared" si="187"/>
        <v>3838343</v>
      </c>
      <c r="E765" s="92"/>
      <c r="F765" s="131">
        <v>10.3811</v>
      </c>
      <c r="G765" s="9" t="s">
        <v>90</v>
      </c>
      <c r="H765" s="96">
        <f>ROUND($F765*C765/100,0)</f>
        <v>332462</v>
      </c>
      <c r="I765" s="96">
        <f>ROUND($F765*D765/100,0)</f>
        <v>398462</v>
      </c>
      <c r="J765" s="92"/>
      <c r="K765" s="132">
        <v>11.267099999999999</v>
      </c>
      <c r="L765" s="9" t="s">
        <v>90</v>
      </c>
      <c r="M765" s="96">
        <f>ROUND($K765*D765/100,0)</f>
        <v>432470</v>
      </c>
      <c r="P765" s="102"/>
    </row>
    <row r="766" spans="1:18">
      <c r="A766" s="129" t="s">
        <v>103</v>
      </c>
      <c r="B766" s="130"/>
      <c r="C766" s="92">
        <f t="shared" si="187"/>
        <v>10625042</v>
      </c>
      <c r="D766" s="92"/>
      <c r="E766" s="92"/>
      <c r="F766" s="131"/>
      <c r="G766" s="9"/>
      <c r="H766" s="96">
        <f t="shared" ref="H766" si="189">H782+H798+H814</f>
        <v>1041247</v>
      </c>
      <c r="I766" s="96"/>
      <c r="J766" s="92"/>
      <c r="K766" s="131"/>
      <c r="L766" s="9"/>
      <c r="M766" s="96"/>
      <c r="N766" s="121"/>
      <c r="P766" s="102">
        <f>K765-P764</f>
        <v>3.8420999999999994</v>
      </c>
    </row>
    <row r="767" spans="1:18" ht="16.5" thickBot="1">
      <c r="A767" s="133" t="s">
        <v>105</v>
      </c>
      <c r="B767" s="134"/>
      <c r="C767" s="135">
        <f t="shared" si="187"/>
        <v>1508034039.0515442</v>
      </c>
      <c r="D767" s="135">
        <f t="shared" si="187"/>
        <v>1796958495.3115826</v>
      </c>
      <c r="E767" s="135"/>
      <c r="F767" s="134"/>
      <c r="G767" s="134"/>
      <c r="H767" s="136">
        <f>SUM(H754:H766)</f>
        <v>147161783</v>
      </c>
      <c r="I767" s="136">
        <f>SUM(I754:I766)</f>
        <v>173244256</v>
      </c>
      <c r="J767" s="135"/>
      <c r="K767" s="134"/>
      <c r="L767" s="134"/>
      <c r="M767" s="136">
        <f>SUM(M754:M766)</f>
        <v>185844074</v>
      </c>
      <c r="O767" s="72" t="s">
        <v>86</v>
      </c>
      <c r="P767" s="121">
        <f>M767/I767-1</f>
        <v>7.2728633496512485E-2</v>
      </c>
    </row>
    <row r="768" spans="1:18" ht="16.5" thickTop="1">
      <c r="C768" s="92"/>
      <c r="D768" s="92"/>
      <c r="E768" s="92"/>
      <c r="J768" s="92"/>
    </row>
    <row r="769" spans="1:17">
      <c r="A769" s="90" t="s">
        <v>459</v>
      </c>
      <c r="C769" s="92"/>
      <c r="D769" s="92"/>
      <c r="E769" s="92"/>
      <c r="J769" s="92"/>
      <c r="O769" s="121" t="s">
        <v>106</v>
      </c>
      <c r="P769" s="116" t="s">
        <v>15</v>
      </c>
      <c r="Q769" s="72" t="s">
        <v>4</v>
      </c>
    </row>
    <row r="770" spans="1:17">
      <c r="A770" s="93" t="s">
        <v>121</v>
      </c>
      <c r="C770" s="92">
        <v>968033.14699988998</v>
      </c>
      <c r="D770" s="92">
        <v>994250.43962440221</v>
      </c>
      <c r="E770" s="92"/>
      <c r="F770" s="147">
        <v>10</v>
      </c>
      <c r="G770" s="147"/>
      <c r="H770" s="96">
        <f t="shared" ref="H770:I775" si="190">ROUND($F770*C770,0)</f>
        <v>9680331</v>
      </c>
      <c r="I770" s="96">
        <f t="shared" si="190"/>
        <v>9942504</v>
      </c>
      <c r="J770" s="92"/>
      <c r="K770" s="147">
        <f>K$754</f>
        <v>11</v>
      </c>
      <c r="L770" s="147"/>
      <c r="M770" s="96">
        <f t="shared" ref="M770:M775" si="191">ROUND($K770*D770,0)</f>
        <v>10936755</v>
      </c>
      <c r="O770" s="72" t="s">
        <v>83</v>
      </c>
      <c r="P770" s="102">
        <v>2.9561000000000002</v>
      </c>
      <c r="Q770" s="102">
        <f>Q772-Q771</f>
        <v>3.8420999999999994</v>
      </c>
    </row>
    <row r="771" spans="1:17">
      <c r="A771" s="93" t="s">
        <v>265</v>
      </c>
      <c r="C771" s="92">
        <v>61.033000000000001</v>
      </c>
      <c r="D771" s="92">
        <f>ROUND($C771*D$770/$C$770,0)</f>
        <v>63</v>
      </c>
      <c r="E771" s="92"/>
      <c r="F771" s="147">
        <v>10</v>
      </c>
      <c r="G771" s="147"/>
      <c r="H771" s="96">
        <f t="shared" si="190"/>
        <v>610</v>
      </c>
      <c r="I771" s="96">
        <f t="shared" si="190"/>
        <v>630</v>
      </c>
      <c r="J771" s="92"/>
      <c r="K771" s="147">
        <f>K$755</f>
        <v>11</v>
      </c>
      <c r="L771" s="147"/>
      <c r="M771" s="96">
        <f t="shared" si="191"/>
        <v>693</v>
      </c>
      <c r="O771" s="102" t="s">
        <v>107</v>
      </c>
      <c r="P771" s="102">
        <v>7.4249999999999998</v>
      </c>
      <c r="Q771" s="102">
        <f>P771</f>
        <v>7.4249999999999998</v>
      </c>
    </row>
    <row r="772" spans="1:17">
      <c r="A772" s="93" t="s">
        <v>84</v>
      </c>
      <c r="C772" s="92">
        <v>0</v>
      </c>
      <c r="D772" s="92">
        <f>ROUND($C772*D$770/$C$770,0)</f>
        <v>0</v>
      </c>
      <c r="E772" s="92"/>
      <c r="F772" s="95">
        <v>2</v>
      </c>
      <c r="G772" s="95"/>
      <c r="H772" s="96">
        <f t="shared" si="190"/>
        <v>0</v>
      </c>
      <c r="I772" s="96">
        <f t="shared" si="190"/>
        <v>0</v>
      </c>
      <c r="J772" s="92"/>
      <c r="K772" s="95">
        <f>K$756</f>
        <v>2</v>
      </c>
      <c r="L772" s="95"/>
      <c r="M772" s="96">
        <f t="shared" si="191"/>
        <v>0</v>
      </c>
      <c r="N772" s="105"/>
      <c r="O772" s="121" t="s">
        <v>108</v>
      </c>
      <c r="P772" s="102">
        <f>SUM(P770:P771)</f>
        <v>10.3811</v>
      </c>
      <c r="Q772" s="102">
        <f>K765</f>
        <v>11.267099999999999</v>
      </c>
    </row>
    <row r="773" spans="1:17">
      <c r="A773" s="93" t="s">
        <v>87</v>
      </c>
      <c r="C773" s="92">
        <v>480948</v>
      </c>
      <c r="D773" s="92">
        <v>691096.73569379665</v>
      </c>
      <c r="E773" s="92"/>
      <c r="F773" s="95">
        <v>-0.5</v>
      </c>
      <c r="G773" s="95"/>
      <c r="H773" s="96">
        <f t="shared" si="190"/>
        <v>-240474</v>
      </c>
      <c r="I773" s="96">
        <f t="shared" si="190"/>
        <v>-345548</v>
      </c>
      <c r="J773" s="92"/>
      <c r="K773" s="95">
        <f>K$757</f>
        <v>-0.5</v>
      </c>
      <c r="L773" s="95"/>
      <c r="M773" s="96">
        <f t="shared" si="191"/>
        <v>-345548</v>
      </c>
    </row>
    <row r="774" spans="1:17">
      <c r="A774" s="93" t="s">
        <v>266</v>
      </c>
      <c r="C774" s="92">
        <v>297711.55230595998</v>
      </c>
      <c r="D774" s="92">
        <f>ROUND(D$783*$C774/$C$783,0)</f>
        <v>359886</v>
      </c>
      <c r="E774" s="92"/>
      <c r="F774" s="147">
        <v>8.89</v>
      </c>
      <c r="G774" s="147"/>
      <c r="H774" s="96">
        <f t="shared" si="190"/>
        <v>2646656</v>
      </c>
      <c r="I774" s="96">
        <f t="shared" si="190"/>
        <v>3199387</v>
      </c>
      <c r="J774" s="92"/>
      <c r="K774" s="147">
        <f>K$758</f>
        <v>9.5399999999999991</v>
      </c>
      <c r="L774" s="147"/>
      <c r="M774" s="96">
        <f t="shared" si="191"/>
        <v>3433312</v>
      </c>
    </row>
    <row r="775" spans="1:17">
      <c r="A775" s="93" t="s">
        <v>267</v>
      </c>
      <c r="C775" s="92">
        <v>355582.12579415197</v>
      </c>
      <c r="D775" s="92">
        <f>ROUND(D$783*$C775/$C$783,0)</f>
        <v>429843</v>
      </c>
      <c r="E775" s="92"/>
      <c r="F775" s="147">
        <v>7.87</v>
      </c>
      <c r="G775" s="147"/>
      <c r="H775" s="96">
        <f t="shared" si="190"/>
        <v>2798431</v>
      </c>
      <c r="I775" s="96">
        <f t="shared" si="190"/>
        <v>3382864</v>
      </c>
      <c r="J775" s="92"/>
      <c r="K775" s="147">
        <f>K$759</f>
        <v>8.44</v>
      </c>
      <c r="L775" s="147"/>
      <c r="M775" s="96">
        <f t="shared" si="191"/>
        <v>3627875</v>
      </c>
    </row>
    <row r="776" spans="1:17">
      <c r="A776" s="93" t="s">
        <v>268</v>
      </c>
      <c r="C776" s="92">
        <v>237084829</v>
      </c>
      <c r="D776" s="92">
        <v>290928510.46871942</v>
      </c>
      <c r="E776" s="92"/>
      <c r="F776" s="150">
        <v>11.712</v>
      </c>
      <c r="G776" s="159" t="s">
        <v>90</v>
      </c>
      <c r="H776" s="96">
        <f t="shared" ref="H776:I779" si="192">ROUND($F776*C776/100,0)</f>
        <v>27767375</v>
      </c>
      <c r="I776" s="96">
        <f t="shared" si="192"/>
        <v>34073547</v>
      </c>
      <c r="J776" s="92"/>
      <c r="K776" s="150">
        <f>K$760</f>
        <v>12.5219</v>
      </c>
      <c r="L776" s="159" t="s">
        <v>90</v>
      </c>
      <c r="M776" s="96">
        <f>ROUND($K776*D776/100,0)</f>
        <v>36429777</v>
      </c>
    </row>
    <row r="777" spans="1:17">
      <c r="A777" s="93" t="s">
        <v>269</v>
      </c>
      <c r="C777" s="92">
        <v>246818743.89453647</v>
      </c>
      <c r="D777" s="92">
        <v>302873067.92202133</v>
      </c>
      <c r="E777" s="92"/>
      <c r="F777" s="150">
        <v>6.5567000000000002</v>
      </c>
      <c r="G777" s="159" t="s">
        <v>90</v>
      </c>
      <c r="H777" s="96">
        <f t="shared" si="192"/>
        <v>16183165</v>
      </c>
      <c r="I777" s="96">
        <f t="shared" si="192"/>
        <v>19858478</v>
      </c>
      <c r="J777" s="92"/>
      <c r="K777" s="150">
        <f>K$761</f>
        <v>7.0335999999999999</v>
      </c>
      <c r="L777" s="159" t="s">
        <v>90</v>
      </c>
      <c r="M777" s="96">
        <f>ROUND($K777*D777/100,0)</f>
        <v>21302880</v>
      </c>
    </row>
    <row r="778" spans="1:17">
      <c r="A778" s="93" t="s">
        <v>270</v>
      </c>
      <c r="C778" s="92">
        <v>466762887</v>
      </c>
      <c r="D778" s="92">
        <v>566219606.16186285</v>
      </c>
      <c r="E778" s="92"/>
      <c r="F778" s="150">
        <v>10.364599999999999</v>
      </c>
      <c r="G778" s="159" t="s">
        <v>90</v>
      </c>
      <c r="H778" s="96">
        <f t="shared" si="192"/>
        <v>48378106</v>
      </c>
      <c r="I778" s="96">
        <f t="shared" si="192"/>
        <v>58686397</v>
      </c>
      <c r="J778" s="92"/>
      <c r="K778" s="150">
        <f>K$762</f>
        <v>11.081300000000001</v>
      </c>
      <c r="L778" s="159" t="s">
        <v>90</v>
      </c>
      <c r="M778" s="96">
        <f>ROUND($K778*D778/100,0)</f>
        <v>62744493</v>
      </c>
    </row>
    <row r="779" spans="1:17">
      <c r="A779" s="93" t="s">
        <v>272</v>
      </c>
      <c r="C779" s="92">
        <v>390220069.57729995</v>
      </c>
      <c r="D779" s="92">
        <f>D783-D776-D777-D778-D781</f>
        <v>473367228.34288549</v>
      </c>
      <c r="E779" s="92"/>
      <c r="F779" s="150">
        <v>5.8023999999999996</v>
      </c>
      <c r="G779" s="159" t="s">
        <v>90</v>
      </c>
      <c r="H779" s="96">
        <f t="shared" si="192"/>
        <v>22642129</v>
      </c>
      <c r="I779" s="96">
        <f t="shared" si="192"/>
        <v>27466660</v>
      </c>
      <c r="J779" s="92"/>
      <c r="K779" s="150">
        <f>K$763</f>
        <v>6.2244000000000002</v>
      </c>
      <c r="L779" s="159" t="s">
        <v>90</v>
      </c>
      <c r="M779" s="96">
        <f>ROUND($K779*D779/100,0)</f>
        <v>29464270</v>
      </c>
    </row>
    <row r="780" spans="1:17">
      <c r="A780" s="93" t="s">
        <v>128</v>
      </c>
      <c r="C780" s="92">
        <v>14962.729166666701</v>
      </c>
      <c r="D780" s="92">
        <f>ROUND(D$783*$C780/$C$783,0)</f>
        <v>18088</v>
      </c>
      <c r="E780" s="92"/>
      <c r="F780" s="147">
        <v>-0.48</v>
      </c>
      <c r="G780" s="120"/>
      <c r="H780" s="96">
        <f>ROUND($F780*C780,0)</f>
        <v>-7182</v>
      </c>
      <c r="I780" s="96">
        <f>ROUND($F780*D780,0)</f>
        <v>-8682</v>
      </c>
      <c r="J780" s="92"/>
      <c r="K780" s="147">
        <f>K$764</f>
        <v>-0.48</v>
      </c>
      <c r="L780" s="120"/>
      <c r="M780" s="96">
        <f>ROUND($K780*D780,0)</f>
        <v>-8682</v>
      </c>
    </row>
    <row r="781" spans="1:17">
      <c r="A781" s="129" t="s">
        <v>101</v>
      </c>
      <c r="C781" s="92">
        <v>2949489</v>
      </c>
      <c r="D781" s="92">
        <f>ROUND(D$783*$C781/$C$783,0)</f>
        <v>3565468</v>
      </c>
      <c r="E781" s="92"/>
      <c r="F781" s="131">
        <v>10.3811</v>
      </c>
      <c r="G781" s="9" t="s">
        <v>90</v>
      </c>
      <c r="H781" s="96">
        <f>ROUND($F781*C781/100,0)</f>
        <v>306189</v>
      </c>
      <c r="I781" s="96">
        <f>ROUND($F781*D781/100,0)</f>
        <v>370135</v>
      </c>
      <c r="J781" s="92"/>
      <c r="K781" s="131">
        <f>K$765</f>
        <v>11.267099999999999</v>
      </c>
      <c r="L781" s="9" t="s">
        <v>90</v>
      </c>
      <c r="M781" s="96">
        <f>ROUND($K781*D781/100,0)</f>
        <v>401725</v>
      </c>
    </row>
    <row r="782" spans="1:17">
      <c r="A782" s="129" t="s">
        <v>103</v>
      </c>
      <c r="B782" s="130"/>
      <c r="C782" s="92">
        <v>10313585</v>
      </c>
      <c r="D782" s="92"/>
      <c r="E782" s="92"/>
      <c r="F782" s="131"/>
      <c r="G782" s="9"/>
      <c r="H782" s="96">
        <v>992633</v>
      </c>
      <c r="I782" s="96"/>
      <c r="J782" s="92"/>
      <c r="K782" s="131"/>
      <c r="L782" s="9"/>
      <c r="M782" s="96"/>
      <c r="N782" s="121"/>
      <c r="O782" s="121"/>
      <c r="P782" s="121"/>
    </row>
    <row r="783" spans="1:17" ht="16.5" thickBot="1">
      <c r="A783" s="133" t="s">
        <v>105</v>
      </c>
      <c r="B783" s="134"/>
      <c r="C783" s="135">
        <f>SUM(C776:C779,C781:C782)</f>
        <v>1354149603.4718366</v>
      </c>
      <c r="D783" s="135">
        <v>1636953880.8954892</v>
      </c>
      <c r="E783" s="135"/>
      <c r="F783" s="134"/>
      <c r="G783" s="134"/>
      <c r="H783" s="136">
        <f>SUM(H770:H782)</f>
        <v>131147969</v>
      </c>
      <c r="I783" s="136">
        <f>SUM(I770:I782)</f>
        <v>156626372</v>
      </c>
      <c r="J783" s="135"/>
      <c r="K783" s="134"/>
      <c r="L783" s="134"/>
      <c r="M783" s="136">
        <f>SUM(M770:M782)</f>
        <v>167987550</v>
      </c>
      <c r="O783" s="72" t="s">
        <v>86</v>
      </c>
      <c r="P783" s="121">
        <f>M783/I783-1</f>
        <v>7.2536813915347498E-2</v>
      </c>
    </row>
    <row r="784" spans="1:17" ht="16.5" thickTop="1">
      <c r="C784" s="92"/>
      <c r="D784" s="92"/>
      <c r="E784" s="92"/>
      <c r="J784" s="92"/>
    </row>
    <row r="785" spans="1:17">
      <c r="A785" s="90" t="s">
        <v>460</v>
      </c>
      <c r="C785" s="92"/>
      <c r="D785" s="92"/>
      <c r="E785" s="92"/>
      <c r="J785" s="92"/>
    </row>
    <row r="786" spans="1:17">
      <c r="A786" s="93" t="s">
        <v>121</v>
      </c>
      <c r="C786" s="92">
        <v>36346.2489999998</v>
      </c>
      <c r="D786" s="92">
        <v>36617.660706310984</v>
      </c>
      <c r="E786" s="92"/>
      <c r="F786" s="147">
        <v>10</v>
      </c>
      <c r="G786" s="147"/>
      <c r="H786" s="96">
        <f t="shared" ref="H786:I791" si="193">ROUND($F786*C786,0)</f>
        <v>363462</v>
      </c>
      <c r="I786" s="96">
        <f t="shared" si="193"/>
        <v>366177</v>
      </c>
      <c r="J786" s="92"/>
      <c r="K786" s="147">
        <f>K$754</f>
        <v>11</v>
      </c>
      <c r="L786" s="147"/>
      <c r="M786" s="96">
        <f t="shared" ref="M786:M791" si="194">ROUND($K786*D786,0)</f>
        <v>402794</v>
      </c>
    </row>
    <row r="787" spans="1:17">
      <c r="A787" s="93" t="s">
        <v>265</v>
      </c>
      <c r="C787" s="92">
        <v>6.9</v>
      </c>
      <c r="D787" s="92">
        <f>ROUND($C787*D$786/$C$786,0)</f>
        <v>7</v>
      </c>
      <c r="E787" s="92"/>
      <c r="F787" s="147">
        <v>10</v>
      </c>
      <c r="G787" s="147"/>
      <c r="H787" s="96">
        <f t="shared" si="193"/>
        <v>69</v>
      </c>
      <c r="I787" s="96">
        <f t="shared" si="193"/>
        <v>70</v>
      </c>
      <c r="J787" s="92"/>
      <c r="K787" s="147">
        <f>K$755</f>
        <v>11</v>
      </c>
      <c r="L787" s="147"/>
      <c r="M787" s="96">
        <f t="shared" si="194"/>
        <v>77</v>
      </c>
    </row>
    <row r="788" spans="1:17">
      <c r="A788" s="93" t="s">
        <v>84</v>
      </c>
      <c r="C788" s="92">
        <v>0</v>
      </c>
      <c r="D788" s="92">
        <f>ROUND($C788*D$786/$C$786,0)</f>
        <v>0</v>
      </c>
      <c r="E788" s="92"/>
      <c r="F788" s="95">
        <v>2</v>
      </c>
      <c r="G788" s="95"/>
      <c r="H788" s="96">
        <f t="shared" si="193"/>
        <v>0</v>
      </c>
      <c r="I788" s="96">
        <f t="shared" si="193"/>
        <v>0</v>
      </c>
      <c r="J788" s="92"/>
      <c r="K788" s="95">
        <f>K$756</f>
        <v>2</v>
      </c>
      <c r="L788" s="95"/>
      <c r="M788" s="96">
        <f t="shared" si="194"/>
        <v>0</v>
      </c>
      <c r="N788" s="105"/>
      <c r="O788" s="105"/>
      <c r="P788" s="105"/>
      <c r="Q788" s="105"/>
    </row>
    <row r="789" spans="1:17">
      <c r="A789" s="93" t="s">
        <v>87</v>
      </c>
      <c r="C789" s="92">
        <v>14701</v>
      </c>
      <c r="D789" s="92">
        <v>25452.687546645189</v>
      </c>
      <c r="E789" s="92"/>
      <c r="F789" s="95">
        <v>-0.5</v>
      </c>
      <c r="G789" s="95"/>
      <c r="H789" s="96">
        <f t="shared" si="193"/>
        <v>-7351</v>
      </c>
      <c r="I789" s="96">
        <f t="shared" si="193"/>
        <v>-12726</v>
      </c>
      <c r="J789" s="92"/>
      <c r="K789" s="95">
        <f>K$757</f>
        <v>-0.5</v>
      </c>
      <c r="L789" s="95"/>
      <c r="M789" s="96">
        <f t="shared" si="194"/>
        <v>-12726</v>
      </c>
    </row>
    <row r="790" spans="1:17">
      <c r="A790" s="93" t="s">
        <v>266</v>
      </c>
      <c r="C790" s="92">
        <v>11923.7829021372</v>
      </c>
      <c r="D790" s="92">
        <f>ROUND($C790*D$799/$C$799,0)</f>
        <v>13036</v>
      </c>
      <c r="E790" s="92"/>
      <c r="F790" s="147">
        <v>8.89</v>
      </c>
      <c r="G790" s="147"/>
      <c r="H790" s="96">
        <f t="shared" si="193"/>
        <v>106002</v>
      </c>
      <c r="I790" s="96">
        <f t="shared" si="193"/>
        <v>115890</v>
      </c>
      <c r="J790" s="92"/>
      <c r="K790" s="147">
        <f>K$758</f>
        <v>9.5399999999999991</v>
      </c>
      <c r="L790" s="147"/>
      <c r="M790" s="96">
        <f t="shared" si="194"/>
        <v>124363</v>
      </c>
    </row>
    <row r="791" spans="1:17">
      <c r="A791" s="93" t="s">
        <v>267</v>
      </c>
      <c r="C791" s="92">
        <v>18259.679796696299</v>
      </c>
      <c r="D791" s="92">
        <f>ROUND($C791*D$799/$C$799,0)</f>
        <v>19962</v>
      </c>
      <c r="E791" s="92"/>
      <c r="F791" s="147">
        <v>7.87</v>
      </c>
      <c r="G791" s="147"/>
      <c r="H791" s="96">
        <f t="shared" si="193"/>
        <v>143704</v>
      </c>
      <c r="I791" s="96">
        <f t="shared" si="193"/>
        <v>157101</v>
      </c>
      <c r="J791" s="92"/>
      <c r="K791" s="147">
        <f>K$759</f>
        <v>8.44</v>
      </c>
      <c r="L791" s="147"/>
      <c r="M791" s="96">
        <f t="shared" si="194"/>
        <v>168479</v>
      </c>
    </row>
    <row r="792" spans="1:17">
      <c r="A792" s="93" t="s">
        <v>268</v>
      </c>
      <c r="C792" s="92">
        <v>8021934</v>
      </c>
      <c r="D792" s="92">
        <v>9309448.3104247097</v>
      </c>
      <c r="E792" s="92"/>
      <c r="F792" s="150">
        <v>11.712</v>
      </c>
      <c r="G792" s="159" t="s">
        <v>90</v>
      </c>
      <c r="H792" s="96">
        <f t="shared" ref="H792:I795" si="195">ROUND($F792*C792/100,0)</f>
        <v>939529</v>
      </c>
      <c r="I792" s="96">
        <f t="shared" si="195"/>
        <v>1090323</v>
      </c>
      <c r="J792" s="92"/>
      <c r="K792" s="150">
        <f>K$760</f>
        <v>12.5219</v>
      </c>
      <c r="L792" s="159" t="s">
        <v>90</v>
      </c>
      <c r="M792" s="96">
        <f>ROUND($K792*D792/100,0)</f>
        <v>1165720</v>
      </c>
    </row>
    <row r="793" spans="1:17">
      <c r="A793" s="93" t="s">
        <v>269</v>
      </c>
      <c r="C793" s="92">
        <v>8027889</v>
      </c>
      <c r="D793" s="92">
        <v>9316359.083398981</v>
      </c>
      <c r="E793" s="92"/>
      <c r="F793" s="150">
        <v>6.5567000000000002</v>
      </c>
      <c r="G793" s="159" t="s">
        <v>90</v>
      </c>
      <c r="H793" s="96">
        <f t="shared" si="195"/>
        <v>526365</v>
      </c>
      <c r="I793" s="96">
        <f t="shared" si="195"/>
        <v>610846</v>
      </c>
      <c r="J793" s="92"/>
      <c r="K793" s="150">
        <f>K$761</f>
        <v>7.0335999999999999</v>
      </c>
      <c r="L793" s="159" t="s">
        <v>90</v>
      </c>
      <c r="M793" s="96">
        <f>ROUND($K793*D793/100,0)</f>
        <v>655275</v>
      </c>
    </row>
    <row r="794" spans="1:17">
      <c r="A794" s="93" t="s">
        <v>270</v>
      </c>
      <c r="C794" s="92">
        <v>16985677</v>
      </c>
      <c r="D794" s="92">
        <v>17999909.309717909</v>
      </c>
      <c r="E794" s="92"/>
      <c r="F794" s="150">
        <v>10.364599999999999</v>
      </c>
      <c r="G794" s="159" t="s">
        <v>90</v>
      </c>
      <c r="H794" s="96">
        <f t="shared" si="195"/>
        <v>1760497</v>
      </c>
      <c r="I794" s="96">
        <f t="shared" si="195"/>
        <v>1865619</v>
      </c>
      <c r="J794" s="92"/>
      <c r="K794" s="150">
        <f>K$762</f>
        <v>11.081300000000001</v>
      </c>
      <c r="L794" s="159" t="s">
        <v>90</v>
      </c>
      <c r="M794" s="96">
        <f>ROUND($K794*D794/100,0)</f>
        <v>1994624</v>
      </c>
    </row>
    <row r="795" spans="1:17">
      <c r="A795" s="93" t="s">
        <v>272</v>
      </c>
      <c r="C795" s="92">
        <v>14814563</v>
      </c>
      <c r="D795" s="92">
        <f>D799-D792-D793-D794-D797</f>
        <v>15699155.851315342</v>
      </c>
      <c r="E795" s="92"/>
      <c r="F795" s="150">
        <v>5.8023999999999996</v>
      </c>
      <c r="G795" s="159" t="s">
        <v>90</v>
      </c>
      <c r="H795" s="96">
        <f t="shared" si="195"/>
        <v>859600</v>
      </c>
      <c r="I795" s="96">
        <f t="shared" si="195"/>
        <v>910928</v>
      </c>
      <c r="J795" s="92"/>
      <c r="K795" s="150">
        <f>K$763</f>
        <v>6.2244000000000002</v>
      </c>
      <c r="L795" s="159" t="s">
        <v>90</v>
      </c>
      <c r="M795" s="96">
        <f>ROUND($K795*D795/100,0)</f>
        <v>977178</v>
      </c>
    </row>
    <row r="796" spans="1:17">
      <c r="A796" s="93" t="s">
        <v>128</v>
      </c>
      <c r="C796" s="92">
        <v>1598</v>
      </c>
      <c r="D796" s="92">
        <f>ROUND(D$799*$C796/$C$799,0)</f>
        <v>1747</v>
      </c>
      <c r="E796" s="92"/>
      <c r="F796" s="147">
        <v>-0.48</v>
      </c>
      <c r="G796" s="120"/>
      <c r="H796" s="96">
        <f>ROUND($F796*C796,0)</f>
        <v>-767</v>
      </c>
      <c r="I796" s="96">
        <f>ROUND($F796*D796,0)</f>
        <v>-839</v>
      </c>
      <c r="J796" s="92"/>
      <c r="K796" s="147">
        <f>K$764</f>
        <v>-0.48</v>
      </c>
      <c r="L796" s="120"/>
      <c r="M796" s="96">
        <f>ROUND($K796*D796,0)</f>
        <v>-839</v>
      </c>
    </row>
    <row r="797" spans="1:17">
      <c r="A797" s="129" t="s">
        <v>101</v>
      </c>
      <c r="C797" s="92">
        <v>204094</v>
      </c>
      <c r="D797" s="92">
        <f>ROUND(D$799*$C797/$C$799,0)</f>
        <v>223126</v>
      </c>
      <c r="E797" s="92"/>
      <c r="F797" s="131">
        <v>10.3811</v>
      </c>
      <c r="G797" s="9" t="s">
        <v>90</v>
      </c>
      <c r="H797" s="96">
        <f>ROUND($F797*C797/100,0)</f>
        <v>21187</v>
      </c>
      <c r="I797" s="96">
        <f>ROUND($F797*D797/100,0)</f>
        <v>23163</v>
      </c>
      <c r="J797" s="92"/>
      <c r="K797" s="131">
        <f>K$765</f>
        <v>11.267099999999999</v>
      </c>
      <c r="L797" s="9" t="s">
        <v>90</v>
      </c>
      <c r="M797" s="96">
        <f>ROUND($K797*D797/100,0)</f>
        <v>25140</v>
      </c>
    </row>
    <row r="798" spans="1:17">
      <c r="A798" s="129" t="s">
        <v>103</v>
      </c>
      <c r="B798" s="130"/>
      <c r="C798" s="92">
        <v>11601</v>
      </c>
      <c r="D798" s="92"/>
      <c r="E798" s="92"/>
      <c r="F798" s="131"/>
      <c r="G798" s="9"/>
      <c r="H798" s="96">
        <v>10665</v>
      </c>
      <c r="I798" s="96"/>
      <c r="J798" s="92"/>
      <c r="K798" s="131"/>
      <c r="L798" s="9"/>
      <c r="M798" s="96"/>
      <c r="N798" s="121"/>
      <c r="O798" s="121"/>
      <c r="P798" s="121"/>
    </row>
    <row r="799" spans="1:17" ht="16.5" thickBot="1">
      <c r="A799" s="133" t="s">
        <v>105</v>
      </c>
      <c r="B799" s="134"/>
      <c r="C799" s="135">
        <f>SUM(C792:C795,C797:C798)</f>
        <v>48065758</v>
      </c>
      <c r="D799" s="135">
        <v>52547998.554856941</v>
      </c>
      <c r="E799" s="135"/>
      <c r="F799" s="134"/>
      <c r="G799" s="134"/>
      <c r="H799" s="136">
        <f>SUM(H786:H798)</f>
        <v>4722962</v>
      </c>
      <c r="I799" s="136">
        <f>SUM(I786:I798)</f>
        <v>5126552</v>
      </c>
      <c r="J799" s="135"/>
      <c r="K799" s="134"/>
      <c r="L799" s="134"/>
      <c r="M799" s="136">
        <f>SUM(M786:M798)</f>
        <v>5500085</v>
      </c>
      <c r="O799" s="72" t="s">
        <v>86</v>
      </c>
      <c r="P799" s="121">
        <f>M799/I799-1</f>
        <v>7.2862422930656034E-2</v>
      </c>
    </row>
    <row r="800" spans="1:17" ht="16.5" thickTop="1">
      <c r="C800" s="92"/>
      <c r="D800" s="92"/>
      <c r="E800" s="92"/>
      <c r="J800" s="92"/>
    </row>
    <row r="801" spans="1:17">
      <c r="A801" s="90" t="s">
        <v>461</v>
      </c>
      <c r="C801" s="92"/>
      <c r="D801" s="92"/>
      <c r="E801" s="92"/>
      <c r="J801" s="92"/>
    </row>
    <row r="802" spans="1:17">
      <c r="A802" s="93" t="s">
        <v>121</v>
      </c>
      <c r="C802" s="92">
        <v>173915.051000009</v>
      </c>
      <c r="D802" s="92">
        <v>182040</v>
      </c>
      <c r="E802" s="92"/>
      <c r="F802" s="147">
        <v>10</v>
      </c>
      <c r="G802" s="147"/>
      <c r="H802" s="96">
        <f t="shared" ref="H802:I807" si="196">ROUND($F802*C802,0)</f>
        <v>1739151</v>
      </c>
      <c r="I802" s="96">
        <f t="shared" si="196"/>
        <v>1820400</v>
      </c>
      <c r="J802" s="92"/>
      <c r="K802" s="147">
        <f>K$754</f>
        <v>11</v>
      </c>
      <c r="L802" s="147"/>
      <c r="M802" s="96">
        <f t="shared" ref="M802:M807" si="197">ROUND($K802*D802,0)</f>
        <v>2002440</v>
      </c>
    </row>
    <row r="803" spans="1:17">
      <c r="A803" s="93" t="s">
        <v>265</v>
      </c>
      <c r="C803" s="92">
        <v>7.6669999999999998</v>
      </c>
      <c r="D803" s="92">
        <f>ROUND($C803*D$802/$C$802,0)</f>
        <v>8</v>
      </c>
      <c r="E803" s="92"/>
      <c r="F803" s="147">
        <v>10</v>
      </c>
      <c r="G803" s="147"/>
      <c r="H803" s="96">
        <f t="shared" si="196"/>
        <v>77</v>
      </c>
      <c r="I803" s="96">
        <f t="shared" si="196"/>
        <v>80</v>
      </c>
      <c r="J803" s="92"/>
      <c r="K803" s="147">
        <f>K$755</f>
        <v>11</v>
      </c>
      <c r="L803" s="147"/>
      <c r="M803" s="96">
        <f t="shared" si="197"/>
        <v>88</v>
      </c>
    </row>
    <row r="804" spans="1:17">
      <c r="A804" s="93" t="s">
        <v>84</v>
      </c>
      <c r="C804" s="92">
        <v>0</v>
      </c>
      <c r="D804" s="92">
        <f>ROUND($C804*D$802/$C$802,0)</f>
        <v>0</v>
      </c>
      <c r="E804" s="92"/>
      <c r="F804" s="95">
        <v>2</v>
      </c>
      <c r="G804" s="95"/>
      <c r="H804" s="96">
        <f t="shared" si="196"/>
        <v>0</v>
      </c>
      <c r="I804" s="96">
        <f t="shared" si="196"/>
        <v>0</v>
      </c>
      <c r="J804" s="92"/>
      <c r="K804" s="95">
        <f>K$756</f>
        <v>2</v>
      </c>
      <c r="L804" s="95"/>
      <c r="M804" s="96">
        <f t="shared" si="197"/>
        <v>0</v>
      </c>
      <c r="N804" s="105"/>
      <c r="O804" s="105"/>
      <c r="P804" s="105"/>
      <c r="Q804" s="105"/>
    </row>
    <row r="805" spans="1:17">
      <c r="A805" s="93" t="s">
        <v>87</v>
      </c>
      <c r="C805" s="92">
        <v>61370</v>
      </c>
      <c r="D805" s="92">
        <v>126534.76906002166</v>
      </c>
      <c r="E805" s="92"/>
      <c r="F805" s="95">
        <v>-0.5</v>
      </c>
      <c r="G805" s="95"/>
      <c r="H805" s="96">
        <f t="shared" si="196"/>
        <v>-30685</v>
      </c>
      <c r="I805" s="96">
        <f t="shared" si="196"/>
        <v>-63267</v>
      </c>
      <c r="J805" s="92"/>
      <c r="K805" s="95">
        <f>K$757</f>
        <v>-0.5</v>
      </c>
      <c r="L805" s="95"/>
      <c r="M805" s="96">
        <f t="shared" si="197"/>
        <v>-63267</v>
      </c>
    </row>
    <row r="806" spans="1:17">
      <c r="A806" s="93" t="s">
        <v>266</v>
      </c>
      <c r="C806" s="92">
        <v>7937.1158605174396</v>
      </c>
      <c r="D806" s="92">
        <f>ROUND($C806*D$815/$C$815,0)</f>
        <v>8060</v>
      </c>
      <c r="E806" s="92"/>
      <c r="F806" s="147">
        <v>8.89</v>
      </c>
      <c r="G806" s="147"/>
      <c r="H806" s="96">
        <f t="shared" si="196"/>
        <v>70561</v>
      </c>
      <c r="I806" s="96">
        <f t="shared" si="196"/>
        <v>71653</v>
      </c>
      <c r="J806" s="92"/>
      <c r="K806" s="147">
        <f>K$758</f>
        <v>9.5399999999999991</v>
      </c>
      <c r="L806" s="147"/>
      <c r="M806" s="96">
        <f t="shared" si="197"/>
        <v>76892</v>
      </c>
    </row>
    <row r="807" spans="1:17">
      <c r="A807" s="93" t="s">
        <v>267</v>
      </c>
      <c r="C807" s="92">
        <v>12610.6747141042</v>
      </c>
      <c r="D807" s="92">
        <f>ROUND($C807*D$815/$C$815,0)</f>
        <v>12806</v>
      </c>
      <c r="E807" s="92"/>
      <c r="F807" s="147">
        <v>7.87</v>
      </c>
      <c r="G807" s="147"/>
      <c r="H807" s="96">
        <f t="shared" si="196"/>
        <v>99246</v>
      </c>
      <c r="I807" s="96">
        <f t="shared" si="196"/>
        <v>100783</v>
      </c>
      <c r="J807" s="92"/>
      <c r="K807" s="147">
        <f>K$759</f>
        <v>8.44</v>
      </c>
      <c r="L807" s="147"/>
      <c r="M807" s="96">
        <f t="shared" si="197"/>
        <v>108083</v>
      </c>
    </row>
    <row r="808" spans="1:17">
      <c r="A808" s="93" t="s">
        <v>268</v>
      </c>
      <c r="C808" s="92">
        <v>19177836</v>
      </c>
      <c r="D808" s="92">
        <v>20338292.983990081</v>
      </c>
      <c r="E808" s="92"/>
      <c r="F808" s="150">
        <v>11.712</v>
      </c>
      <c r="G808" s="159" t="s">
        <v>90</v>
      </c>
      <c r="H808" s="96">
        <f t="shared" ref="H808:I811" si="198">ROUND($F808*C808/100,0)</f>
        <v>2246108</v>
      </c>
      <c r="I808" s="96">
        <f t="shared" si="198"/>
        <v>2382021</v>
      </c>
      <c r="J808" s="92"/>
      <c r="K808" s="150">
        <f>K$760</f>
        <v>12.5219</v>
      </c>
      <c r="L808" s="159" t="s">
        <v>90</v>
      </c>
      <c r="M808" s="96">
        <f>ROUND($K808*D808/100,0)</f>
        <v>2546741</v>
      </c>
    </row>
    <row r="809" spans="1:17">
      <c r="A809" s="93" t="s">
        <v>269</v>
      </c>
      <c r="C809" s="92">
        <v>12649619.179748476</v>
      </c>
      <c r="D809" s="92">
        <v>13415051.678073831</v>
      </c>
      <c r="E809" s="92"/>
      <c r="F809" s="150">
        <v>6.5567000000000002</v>
      </c>
      <c r="G809" s="159" t="s">
        <v>90</v>
      </c>
      <c r="H809" s="96">
        <f t="shared" si="198"/>
        <v>829398</v>
      </c>
      <c r="I809" s="96">
        <f t="shared" si="198"/>
        <v>879585</v>
      </c>
      <c r="J809" s="92"/>
      <c r="K809" s="150">
        <f>K$761</f>
        <v>7.0335999999999999</v>
      </c>
      <c r="L809" s="159" t="s">
        <v>90</v>
      </c>
      <c r="M809" s="96">
        <f>ROUND($K809*D809/100,0)</f>
        <v>943561</v>
      </c>
    </row>
    <row r="810" spans="1:17">
      <c r="A810" s="93" t="s">
        <v>270</v>
      </c>
      <c r="C810" s="92">
        <v>44297380</v>
      </c>
      <c r="D810" s="92">
        <v>44304085.025440149</v>
      </c>
      <c r="E810" s="92"/>
      <c r="F810" s="150">
        <v>10.364599999999999</v>
      </c>
      <c r="G810" s="159" t="s">
        <v>90</v>
      </c>
      <c r="H810" s="96">
        <f t="shared" si="198"/>
        <v>4591246</v>
      </c>
      <c r="I810" s="96">
        <f t="shared" si="198"/>
        <v>4591941</v>
      </c>
      <c r="J810" s="92"/>
      <c r="K810" s="150">
        <f>K$762</f>
        <v>11.081300000000001</v>
      </c>
      <c r="L810" s="159" t="s">
        <v>90</v>
      </c>
      <c r="M810" s="96">
        <f>ROUND($K810*D810/100,0)</f>
        <v>4909469</v>
      </c>
    </row>
    <row r="811" spans="1:17">
      <c r="A811" s="93" t="s">
        <v>272</v>
      </c>
      <c r="C811" s="92">
        <v>29344995.399959262</v>
      </c>
      <c r="D811" s="92">
        <f>D815-D808-D809-D810-D813</f>
        <v>29349437.173732288</v>
      </c>
      <c r="E811" s="92"/>
      <c r="F811" s="150">
        <v>5.8023999999999996</v>
      </c>
      <c r="G811" s="159" t="s">
        <v>90</v>
      </c>
      <c r="H811" s="96">
        <f t="shared" si="198"/>
        <v>1702714</v>
      </c>
      <c r="I811" s="96">
        <f t="shared" si="198"/>
        <v>1702972</v>
      </c>
      <c r="J811" s="92"/>
      <c r="K811" s="150">
        <f>K$763</f>
        <v>6.2244000000000002</v>
      </c>
      <c r="L811" s="159" t="s">
        <v>90</v>
      </c>
      <c r="M811" s="96">
        <f>ROUND($K811*D811/100,0)</f>
        <v>1826826</v>
      </c>
    </row>
    <row r="812" spans="1:17">
      <c r="A812" s="93" t="s">
        <v>128</v>
      </c>
      <c r="C812" s="92">
        <v>0</v>
      </c>
      <c r="D812" s="92">
        <f>ROUND($C812*D$815/$C$815,0)</f>
        <v>0</v>
      </c>
      <c r="E812" s="92"/>
      <c r="F812" s="147">
        <v>-0.48</v>
      </c>
      <c r="G812" s="120"/>
      <c r="H812" s="96">
        <f>ROUND($F812*C812,0)</f>
        <v>0</v>
      </c>
      <c r="I812" s="96">
        <f>ROUND($F812*D812,0)</f>
        <v>0</v>
      </c>
      <c r="J812" s="92"/>
      <c r="K812" s="147">
        <f>K$764</f>
        <v>-0.48</v>
      </c>
      <c r="L812" s="120"/>
      <c r="M812" s="96">
        <f>ROUND($K812*D812,0)</f>
        <v>0</v>
      </c>
    </row>
    <row r="813" spans="1:17">
      <c r="A813" s="129" t="s">
        <v>101</v>
      </c>
      <c r="C813" s="92">
        <v>48991</v>
      </c>
      <c r="D813" s="92">
        <f>ROUND($C813*D$815/$C$815,0)</f>
        <v>49749</v>
      </c>
      <c r="E813" s="92"/>
      <c r="F813" s="131">
        <v>10.3811</v>
      </c>
      <c r="G813" s="9" t="s">
        <v>90</v>
      </c>
      <c r="H813" s="96">
        <f>ROUND($F813*C813/100,0)</f>
        <v>5086</v>
      </c>
      <c r="I813" s="96">
        <f>ROUND($F813*D813/100,0)</f>
        <v>5164</v>
      </c>
      <c r="J813" s="92"/>
      <c r="K813" s="131">
        <f>K$765</f>
        <v>11.267099999999999</v>
      </c>
      <c r="L813" s="9" t="s">
        <v>90</v>
      </c>
      <c r="M813" s="96">
        <f>ROUND($K813*D813/100,0)</f>
        <v>5605</v>
      </c>
    </row>
    <row r="814" spans="1:17">
      <c r="A814" s="129" t="s">
        <v>103</v>
      </c>
      <c r="B814" s="130"/>
      <c r="C814" s="92">
        <v>299856</v>
      </c>
      <c r="D814" s="92"/>
      <c r="E814" s="92"/>
      <c r="F814" s="131"/>
      <c r="G814" s="9"/>
      <c r="H814" s="96">
        <v>37949</v>
      </c>
      <c r="I814" s="96"/>
      <c r="J814" s="92"/>
      <c r="K814" s="131"/>
      <c r="L814" s="9"/>
      <c r="M814" s="96"/>
      <c r="N814" s="121"/>
      <c r="O814" s="121"/>
      <c r="P814" s="121"/>
    </row>
    <row r="815" spans="1:17" ht="16.5" thickBot="1">
      <c r="A815" s="133" t="s">
        <v>105</v>
      </c>
      <c r="B815" s="134"/>
      <c r="C815" s="135">
        <f>SUM(C808:C811,C813:C814)</f>
        <v>105818677.57970774</v>
      </c>
      <c r="D815" s="135">
        <v>107456615.86123635</v>
      </c>
      <c r="E815" s="135"/>
      <c r="F815" s="134"/>
      <c r="G815" s="134"/>
      <c r="H815" s="136">
        <f>SUM(H802:H814)</f>
        <v>11290851</v>
      </c>
      <c r="I815" s="136">
        <f>SUM(I802:I814)</f>
        <v>11491332</v>
      </c>
      <c r="J815" s="135"/>
      <c r="K815" s="134"/>
      <c r="L815" s="134"/>
      <c r="M815" s="136">
        <f>SUM(M802:M814)</f>
        <v>12356438</v>
      </c>
      <c r="O815" s="72" t="s">
        <v>86</v>
      </c>
      <c r="P815" s="121">
        <f>M815/I815-1</f>
        <v>7.5283352704455853E-2</v>
      </c>
    </row>
    <row r="816" spans="1:17" ht="16.5" thickTop="1">
      <c r="C816" s="92"/>
      <c r="D816" s="92"/>
      <c r="E816" s="92"/>
      <c r="J816" s="92"/>
    </row>
    <row r="817" spans="1:17">
      <c r="A817" s="90" t="s">
        <v>273</v>
      </c>
      <c r="C817" s="92"/>
      <c r="D817" s="92"/>
      <c r="E817" s="92"/>
      <c r="J817" s="92"/>
    </row>
    <row r="818" spans="1:17">
      <c r="A818" s="93" t="s">
        <v>121</v>
      </c>
      <c r="C818" s="92">
        <f t="shared" ref="C818:D831" si="199">C834+C850+C866</f>
        <v>19614.536</v>
      </c>
      <c r="D818" s="92">
        <f t="shared" si="199"/>
        <v>23029</v>
      </c>
      <c r="E818" s="92"/>
      <c r="F818" s="147">
        <v>10</v>
      </c>
      <c r="G818" s="147"/>
      <c r="H818" s="96">
        <f t="shared" ref="H818:I823" si="200">ROUND($F818*C818,0)</f>
        <v>196145</v>
      </c>
      <c r="I818" s="96">
        <f t="shared" si="200"/>
        <v>230290</v>
      </c>
      <c r="J818" s="92"/>
      <c r="K818" s="147">
        <f>K$754</f>
        <v>11</v>
      </c>
      <c r="L818" s="147"/>
      <c r="M818" s="96">
        <f t="shared" ref="M818:M823" si="201">ROUND($K818*D818,0)</f>
        <v>253319</v>
      </c>
      <c r="O818" s="121" t="s">
        <v>106</v>
      </c>
      <c r="P818" s="116" t="s">
        <v>15</v>
      </c>
      <c r="Q818" s="72" t="s">
        <v>4</v>
      </c>
    </row>
    <row r="819" spans="1:17">
      <c r="A819" s="93" t="s">
        <v>265</v>
      </c>
      <c r="C819" s="92">
        <f t="shared" si="199"/>
        <v>5</v>
      </c>
      <c r="D819" s="92">
        <f t="shared" si="199"/>
        <v>6</v>
      </c>
      <c r="E819" s="92"/>
      <c r="F819" s="147">
        <v>10</v>
      </c>
      <c r="G819" s="147"/>
      <c r="H819" s="96">
        <f t="shared" si="200"/>
        <v>50</v>
      </c>
      <c r="I819" s="96">
        <f t="shared" si="200"/>
        <v>60</v>
      </c>
      <c r="J819" s="92"/>
      <c r="K819" s="147">
        <f>K$755</f>
        <v>11</v>
      </c>
      <c r="L819" s="147"/>
      <c r="M819" s="96">
        <f t="shared" si="201"/>
        <v>66</v>
      </c>
      <c r="O819" s="72" t="s">
        <v>83</v>
      </c>
      <c r="P819" s="102">
        <v>2.9561000000000002</v>
      </c>
      <c r="Q819" s="102">
        <f>Q821-Q820</f>
        <v>3.8420999999999994</v>
      </c>
    </row>
    <row r="820" spans="1:17">
      <c r="A820" s="93" t="s">
        <v>84</v>
      </c>
      <c r="C820" s="92">
        <f t="shared" si="199"/>
        <v>872.71500000000003</v>
      </c>
      <c r="D820" s="92">
        <f t="shared" si="199"/>
        <v>1043</v>
      </c>
      <c r="E820" s="92"/>
      <c r="F820" s="147">
        <v>2</v>
      </c>
      <c r="G820" s="147"/>
      <c r="H820" s="96">
        <f t="shared" si="200"/>
        <v>1745</v>
      </c>
      <c r="I820" s="96">
        <f t="shared" si="200"/>
        <v>2086</v>
      </c>
      <c r="J820" s="92"/>
      <c r="K820" s="95">
        <f>K$756</f>
        <v>2</v>
      </c>
      <c r="L820" s="147"/>
      <c r="M820" s="96">
        <f t="shared" si="201"/>
        <v>2086</v>
      </c>
      <c r="O820" s="72" t="s">
        <v>107</v>
      </c>
      <c r="P820" s="102">
        <v>7.4249999999999998</v>
      </c>
      <c r="Q820" s="102">
        <f>P820</f>
        <v>7.4249999999999998</v>
      </c>
    </row>
    <row r="821" spans="1:17">
      <c r="A821" s="93" t="s">
        <v>87</v>
      </c>
      <c r="C821" s="92">
        <f t="shared" si="199"/>
        <v>10437</v>
      </c>
      <c r="D821" s="92">
        <v>16007.30167371588</v>
      </c>
      <c r="E821" s="92"/>
      <c r="F821" s="95">
        <v>-0.5</v>
      </c>
      <c r="G821" s="95"/>
      <c r="H821" s="96">
        <f t="shared" si="200"/>
        <v>-5219</v>
      </c>
      <c r="I821" s="96">
        <f t="shared" si="200"/>
        <v>-8004</v>
      </c>
      <c r="J821" s="92"/>
      <c r="K821" s="95">
        <f>K$757</f>
        <v>-0.5</v>
      </c>
      <c r="L821" s="95"/>
      <c r="M821" s="96">
        <f t="shared" si="201"/>
        <v>-8004</v>
      </c>
      <c r="O821" s="72" t="s">
        <v>108</v>
      </c>
      <c r="P821" s="102">
        <f>F765</f>
        <v>10.3811</v>
      </c>
      <c r="Q821" s="102">
        <f>K765</f>
        <v>11.267099999999999</v>
      </c>
    </row>
    <row r="822" spans="1:17">
      <c r="A822" s="93" t="s">
        <v>266</v>
      </c>
      <c r="C822" s="92">
        <f t="shared" si="199"/>
        <v>7631.8796400449983</v>
      </c>
      <c r="D822" s="92">
        <f t="shared" si="199"/>
        <v>9542</v>
      </c>
      <c r="E822" s="92"/>
      <c r="F822" s="147">
        <v>8.89</v>
      </c>
      <c r="G822" s="147"/>
      <c r="H822" s="96">
        <f t="shared" si="200"/>
        <v>67847</v>
      </c>
      <c r="I822" s="96">
        <f t="shared" si="200"/>
        <v>84828</v>
      </c>
      <c r="J822" s="92"/>
      <c r="K822" s="147">
        <f>K$758</f>
        <v>9.5399999999999991</v>
      </c>
      <c r="L822" s="147"/>
      <c r="M822" s="96">
        <f t="shared" si="201"/>
        <v>91031</v>
      </c>
      <c r="Q822" s="102"/>
    </row>
    <row r="823" spans="1:17">
      <c r="A823" s="93" t="s">
        <v>267</v>
      </c>
      <c r="C823" s="92">
        <f t="shared" si="199"/>
        <v>11559.214739517101</v>
      </c>
      <c r="D823" s="92">
        <f t="shared" si="199"/>
        <v>14431</v>
      </c>
      <c r="E823" s="92"/>
      <c r="F823" s="147">
        <v>7.87</v>
      </c>
      <c r="G823" s="147"/>
      <c r="H823" s="96">
        <f t="shared" si="200"/>
        <v>90971</v>
      </c>
      <c r="I823" s="96">
        <f t="shared" si="200"/>
        <v>113572</v>
      </c>
      <c r="J823" s="92"/>
      <c r="K823" s="147">
        <f>K$759</f>
        <v>8.44</v>
      </c>
      <c r="L823" s="147"/>
      <c r="M823" s="96">
        <f t="shared" si="201"/>
        <v>121798</v>
      </c>
      <c r="Q823" s="102"/>
    </row>
    <row r="824" spans="1:17">
      <c r="A824" s="93" t="s">
        <v>268</v>
      </c>
      <c r="C824" s="92">
        <f t="shared" si="199"/>
        <v>3163039</v>
      </c>
      <c r="D824" s="92">
        <f t="shared" si="199"/>
        <v>4358713.0510266982</v>
      </c>
      <c r="E824" s="92"/>
      <c r="F824" s="150">
        <v>11.712</v>
      </c>
      <c r="G824" s="159" t="s">
        <v>90</v>
      </c>
      <c r="H824" s="96">
        <f t="shared" ref="H824:I827" si="202">ROUND($F824*C824/100,0)</f>
        <v>370455</v>
      </c>
      <c r="I824" s="96">
        <f t="shared" si="202"/>
        <v>510492</v>
      </c>
      <c r="J824" s="92"/>
      <c r="K824" s="150">
        <f>K$760</f>
        <v>12.5219</v>
      </c>
      <c r="L824" s="159" t="s">
        <v>90</v>
      </c>
      <c r="M824" s="96">
        <f>ROUND($K824*D824/100,0)</f>
        <v>545794</v>
      </c>
    </row>
    <row r="825" spans="1:17">
      <c r="A825" s="93" t="s">
        <v>269</v>
      </c>
      <c r="C825" s="92">
        <f t="shared" si="199"/>
        <v>2958600</v>
      </c>
      <c r="D825" s="92">
        <f t="shared" si="199"/>
        <v>4066457.9683057899</v>
      </c>
      <c r="E825" s="92"/>
      <c r="F825" s="150">
        <v>6.5567000000000002</v>
      </c>
      <c r="G825" s="159" t="s">
        <v>90</v>
      </c>
      <c r="H825" s="96">
        <f t="shared" si="202"/>
        <v>193987</v>
      </c>
      <c r="I825" s="96">
        <f t="shared" si="202"/>
        <v>266625</v>
      </c>
      <c r="J825" s="92"/>
      <c r="K825" s="150">
        <f>K$761</f>
        <v>7.0335999999999999</v>
      </c>
      <c r="L825" s="159" t="s">
        <v>90</v>
      </c>
      <c r="M825" s="96">
        <f>ROUND($K825*D825/100,0)</f>
        <v>286018</v>
      </c>
    </row>
    <row r="826" spans="1:17">
      <c r="A826" s="93" t="s">
        <v>270</v>
      </c>
      <c r="C826" s="92">
        <f t="shared" si="199"/>
        <v>7769554</v>
      </c>
      <c r="D826" s="92">
        <f t="shared" si="199"/>
        <v>9500741.9457801636</v>
      </c>
      <c r="E826" s="92"/>
      <c r="F826" s="150">
        <v>10.364599999999999</v>
      </c>
      <c r="G826" s="159" t="s">
        <v>90</v>
      </c>
      <c r="H826" s="96">
        <f t="shared" si="202"/>
        <v>805283</v>
      </c>
      <c r="I826" s="96">
        <f t="shared" si="202"/>
        <v>984714</v>
      </c>
      <c r="J826" s="92"/>
      <c r="K826" s="150">
        <f>K$762</f>
        <v>11.081300000000001</v>
      </c>
      <c r="L826" s="159" t="s">
        <v>90</v>
      </c>
      <c r="M826" s="96">
        <f>ROUND($K826*D826/100,0)</f>
        <v>1052806</v>
      </c>
    </row>
    <row r="827" spans="1:17">
      <c r="A827" s="93" t="s">
        <v>272</v>
      </c>
      <c r="C827" s="92">
        <f t="shared" si="199"/>
        <v>6660837</v>
      </c>
      <c r="D827" s="92">
        <f t="shared" si="199"/>
        <v>8168010.4363982277</v>
      </c>
      <c r="E827" s="92"/>
      <c r="F827" s="150">
        <v>5.8023999999999996</v>
      </c>
      <c r="G827" s="159" t="s">
        <v>90</v>
      </c>
      <c r="H827" s="96">
        <f t="shared" si="202"/>
        <v>386488</v>
      </c>
      <c r="I827" s="96">
        <f t="shared" si="202"/>
        <v>473941</v>
      </c>
      <c r="J827" s="92"/>
      <c r="K827" s="150">
        <f>K$763</f>
        <v>6.2244000000000002</v>
      </c>
      <c r="L827" s="159" t="s">
        <v>90</v>
      </c>
      <c r="M827" s="96">
        <f>ROUND($K827*D827/100,0)</f>
        <v>508410</v>
      </c>
    </row>
    <row r="828" spans="1:17">
      <c r="A828" s="93" t="s">
        <v>128</v>
      </c>
      <c r="C828" s="92">
        <f t="shared" si="199"/>
        <v>0</v>
      </c>
      <c r="D828" s="92">
        <f t="shared" si="199"/>
        <v>0</v>
      </c>
      <c r="E828" s="92"/>
      <c r="F828" s="147">
        <v>-0.48</v>
      </c>
      <c r="G828" s="120"/>
      <c r="H828" s="96">
        <f>ROUND($F828*C828,0)</f>
        <v>0</v>
      </c>
      <c r="I828" s="96">
        <f>ROUND($F828*D828,0)</f>
        <v>0</v>
      </c>
      <c r="J828" s="92"/>
      <c r="K828" s="147">
        <f>K$764</f>
        <v>-0.48</v>
      </c>
      <c r="L828" s="120"/>
      <c r="M828" s="96">
        <f>ROUND($K828*D828,0)</f>
        <v>0</v>
      </c>
    </row>
    <row r="829" spans="1:17">
      <c r="A829" s="129" t="s">
        <v>101</v>
      </c>
      <c r="C829" s="92">
        <f t="shared" si="199"/>
        <v>0</v>
      </c>
      <c r="D829" s="92">
        <f>ROUND($C829*D$815/$C$815,0)</f>
        <v>0</v>
      </c>
      <c r="E829" s="92"/>
      <c r="F829" s="131">
        <v>10.3811</v>
      </c>
      <c r="G829" s="9" t="s">
        <v>90</v>
      </c>
      <c r="H829" s="96">
        <f>ROUND($F829*C829/100,0)</f>
        <v>0</v>
      </c>
      <c r="I829" s="96">
        <f>ROUND($F829*D829/100,0)</f>
        <v>0</v>
      </c>
      <c r="J829" s="92"/>
      <c r="K829" s="131">
        <f>K$765</f>
        <v>11.267099999999999</v>
      </c>
      <c r="L829" s="9" t="s">
        <v>90</v>
      </c>
      <c r="M829" s="96">
        <f>ROUND($K829*D829/100,0)</f>
        <v>0</v>
      </c>
    </row>
    <row r="830" spans="1:17">
      <c r="A830" s="129" t="s">
        <v>103</v>
      </c>
      <c r="B830" s="130"/>
      <c r="C830" s="92">
        <f t="shared" si="199"/>
        <v>138544</v>
      </c>
      <c r="D830" s="92"/>
      <c r="E830" s="92"/>
      <c r="F830" s="131"/>
      <c r="G830" s="9"/>
      <c r="H830" s="96">
        <f t="shared" ref="H830" si="203">H846+H862+H878</f>
        <v>14264</v>
      </c>
      <c r="I830" s="96"/>
      <c r="J830" s="92"/>
      <c r="K830" s="131"/>
      <c r="L830" s="9"/>
      <c r="M830" s="96"/>
      <c r="N830" s="121"/>
      <c r="O830" s="121"/>
      <c r="P830" s="121"/>
    </row>
    <row r="831" spans="1:17" ht="16.5" thickBot="1">
      <c r="A831" s="133" t="s">
        <v>105</v>
      </c>
      <c r="B831" s="134"/>
      <c r="C831" s="135">
        <f t="shared" si="199"/>
        <v>20690574</v>
      </c>
      <c r="D831" s="135">
        <f>D847+D863+D879</f>
        <v>26093923.401510876</v>
      </c>
      <c r="E831" s="135"/>
      <c r="F831" s="134"/>
      <c r="G831" s="134"/>
      <c r="H831" s="136">
        <f>SUM(H818:H830)</f>
        <v>2122016</v>
      </c>
      <c r="I831" s="136">
        <f>SUM(I818:I830)</f>
        <v>2658604</v>
      </c>
      <c r="J831" s="135"/>
      <c r="K831" s="134"/>
      <c r="L831" s="134"/>
      <c r="M831" s="136">
        <f>SUM(M818:M830)</f>
        <v>2853324</v>
      </c>
      <c r="O831" s="72" t="s">
        <v>86</v>
      </c>
      <c r="P831" s="121">
        <f>M831/I831-1</f>
        <v>7.3241445510501046E-2</v>
      </c>
    </row>
    <row r="832" spans="1:17" ht="16.5" thickTop="1">
      <c r="C832" s="92"/>
      <c r="D832" s="92"/>
      <c r="E832" s="92"/>
      <c r="J832" s="92"/>
    </row>
    <row r="833" spans="1:16">
      <c r="A833" s="90" t="s">
        <v>462</v>
      </c>
      <c r="C833" s="92"/>
      <c r="D833" s="92"/>
      <c r="E833" s="92"/>
      <c r="J833" s="92"/>
    </row>
    <row r="834" spans="1:16">
      <c r="A834" s="93" t="s">
        <v>121</v>
      </c>
      <c r="C834" s="92">
        <v>13061.466</v>
      </c>
      <c r="D834" s="92">
        <v>15882</v>
      </c>
      <c r="E834" s="92"/>
      <c r="F834" s="147">
        <v>10</v>
      </c>
      <c r="G834" s="147"/>
      <c r="H834" s="96">
        <f t="shared" ref="H834:I839" si="204">ROUND($F834*C834,0)</f>
        <v>130615</v>
      </c>
      <c r="I834" s="96">
        <f t="shared" si="204"/>
        <v>158820</v>
      </c>
      <c r="J834" s="92"/>
      <c r="K834" s="147">
        <f>K$754</f>
        <v>11</v>
      </c>
      <c r="L834" s="147"/>
      <c r="M834" s="96">
        <f t="shared" ref="M834:M839" si="205">ROUND($K834*D834,0)</f>
        <v>174702</v>
      </c>
    </row>
    <row r="835" spans="1:16">
      <c r="A835" s="93" t="s">
        <v>265</v>
      </c>
      <c r="C835" s="92">
        <v>4</v>
      </c>
      <c r="D835" s="92">
        <f>ROUND($C835*D$834/$C$834,0)</f>
        <v>5</v>
      </c>
      <c r="E835" s="92"/>
      <c r="F835" s="147">
        <v>10</v>
      </c>
      <c r="G835" s="147"/>
      <c r="H835" s="96">
        <f t="shared" si="204"/>
        <v>40</v>
      </c>
      <c r="I835" s="96">
        <f t="shared" si="204"/>
        <v>50</v>
      </c>
      <c r="J835" s="92"/>
      <c r="K835" s="147">
        <f>K$755</f>
        <v>11</v>
      </c>
      <c r="L835" s="147"/>
      <c r="M835" s="96">
        <f t="shared" si="205"/>
        <v>55</v>
      </c>
    </row>
    <row r="836" spans="1:16">
      <c r="A836" s="93" t="s">
        <v>84</v>
      </c>
      <c r="C836" s="92">
        <v>740.71500000000003</v>
      </c>
      <c r="D836" s="92">
        <f>ROUND($C836*D$834/$C$834,0)</f>
        <v>901</v>
      </c>
      <c r="E836" s="92"/>
      <c r="F836" s="147">
        <v>2</v>
      </c>
      <c r="G836" s="147"/>
      <c r="H836" s="96">
        <f t="shared" si="204"/>
        <v>1481</v>
      </c>
      <c r="I836" s="96">
        <f t="shared" si="204"/>
        <v>1802</v>
      </c>
      <c r="J836" s="92"/>
      <c r="K836" s="95">
        <f>K$756</f>
        <v>2</v>
      </c>
      <c r="L836" s="147"/>
      <c r="M836" s="96">
        <f t="shared" si="205"/>
        <v>1802</v>
      </c>
    </row>
    <row r="837" spans="1:16">
      <c r="A837" s="93" t="s">
        <v>87</v>
      </c>
      <c r="C837" s="92">
        <v>6255</v>
      </c>
      <c r="D837" s="92">
        <v>11039.470458202944</v>
      </c>
      <c r="E837" s="92"/>
      <c r="F837" s="95">
        <v>-0.5</v>
      </c>
      <c r="G837" s="95"/>
      <c r="H837" s="96">
        <f t="shared" si="204"/>
        <v>-3128</v>
      </c>
      <c r="I837" s="96">
        <f t="shared" si="204"/>
        <v>-5520</v>
      </c>
      <c r="J837" s="92"/>
      <c r="K837" s="95">
        <f>K$757</f>
        <v>-0.5</v>
      </c>
      <c r="L837" s="95"/>
      <c r="M837" s="96">
        <f t="shared" si="205"/>
        <v>-5520</v>
      </c>
    </row>
    <row r="838" spans="1:16">
      <c r="A838" s="93" t="s">
        <v>266</v>
      </c>
      <c r="C838" s="92">
        <v>6635.4915635545603</v>
      </c>
      <c r="D838" s="92">
        <f>ROUND(D$847*$C838/$C$847,0)</f>
        <v>8382</v>
      </c>
      <c r="E838" s="92"/>
      <c r="F838" s="147">
        <v>8.89</v>
      </c>
      <c r="G838" s="147"/>
      <c r="H838" s="96">
        <f t="shared" si="204"/>
        <v>58990</v>
      </c>
      <c r="I838" s="96">
        <f t="shared" si="204"/>
        <v>74516</v>
      </c>
      <c r="J838" s="92"/>
      <c r="K838" s="147">
        <f>K$758</f>
        <v>9.5399999999999991</v>
      </c>
      <c r="L838" s="147"/>
      <c r="M838" s="96">
        <f t="shared" si="205"/>
        <v>79964</v>
      </c>
    </row>
    <row r="839" spans="1:16">
      <c r="A839" s="93" t="s">
        <v>267</v>
      </c>
      <c r="C839" s="92">
        <v>10028.3646759847</v>
      </c>
      <c r="D839" s="92">
        <f>ROUND(D$847*$C839/$C$847,0)</f>
        <v>12668</v>
      </c>
      <c r="E839" s="92"/>
      <c r="F839" s="147">
        <v>7.87</v>
      </c>
      <c r="G839" s="147"/>
      <c r="H839" s="96">
        <f t="shared" si="204"/>
        <v>78923</v>
      </c>
      <c r="I839" s="96">
        <f t="shared" si="204"/>
        <v>99697</v>
      </c>
      <c r="J839" s="92"/>
      <c r="K839" s="147">
        <f>K$759</f>
        <v>8.44</v>
      </c>
      <c r="L839" s="147"/>
      <c r="M839" s="96">
        <f t="shared" si="205"/>
        <v>106918</v>
      </c>
    </row>
    <row r="840" spans="1:16">
      <c r="A840" s="93" t="s">
        <v>268</v>
      </c>
      <c r="C840" s="92">
        <v>2669396</v>
      </c>
      <c r="D840" s="92">
        <v>3619906.584952781</v>
      </c>
      <c r="E840" s="92"/>
      <c r="F840" s="150">
        <v>11.712</v>
      </c>
      <c r="G840" s="159" t="s">
        <v>90</v>
      </c>
      <c r="H840" s="96">
        <f t="shared" ref="H840:I843" si="206">ROUND($F840*C840/100,0)</f>
        <v>312640</v>
      </c>
      <c r="I840" s="96">
        <f t="shared" si="206"/>
        <v>423963</v>
      </c>
      <c r="J840" s="92"/>
      <c r="K840" s="150">
        <f>K$760</f>
        <v>12.5219</v>
      </c>
      <c r="L840" s="159" t="s">
        <v>90</v>
      </c>
      <c r="M840" s="96">
        <f>ROUND($K840*D840/100,0)</f>
        <v>453281</v>
      </c>
    </row>
    <row r="841" spans="1:16">
      <c r="A841" s="93" t="s">
        <v>269</v>
      </c>
      <c r="C841" s="92">
        <v>2500151</v>
      </c>
      <c r="D841" s="92">
        <v>3390397.3289374374</v>
      </c>
      <c r="E841" s="92"/>
      <c r="F841" s="150">
        <v>6.5567000000000002</v>
      </c>
      <c r="G841" s="159" t="s">
        <v>90</v>
      </c>
      <c r="H841" s="96">
        <f t="shared" si="206"/>
        <v>163927</v>
      </c>
      <c r="I841" s="96">
        <f t="shared" si="206"/>
        <v>222298</v>
      </c>
      <c r="J841" s="92"/>
      <c r="K841" s="150">
        <f>K$761</f>
        <v>7.0335999999999999</v>
      </c>
      <c r="L841" s="159" t="s">
        <v>90</v>
      </c>
      <c r="M841" s="96">
        <f>ROUND($K841*D841/100,0)</f>
        <v>238467</v>
      </c>
    </row>
    <row r="842" spans="1:16">
      <c r="A842" s="93" t="s">
        <v>270</v>
      </c>
      <c r="C842" s="92">
        <v>6286652</v>
      </c>
      <c r="D842" s="92">
        <v>7771977.4180507306</v>
      </c>
      <c r="E842" s="92"/>
      <c r="F842" s="150">
        <v>10.364599999999999</v>
      </c>
      <c r="G842" s="159" t="s">
        <v>90</v>
      </c>
      <c r="H842" s="96">
        <f t="shared" si="206"/>
        <v>651586</v>
      </c>
      <c r="I842" s="96">
        <f t="shared" si="206"/>
        <v>805534</v>
      </c>
      <c r="J842" s="92"/>
      <c r="K842" s="150">
        <f>K$762</f>
        <v>11.081300000000001</v>
      </c>
      <c r="L842" s="159" t="s">
        <v>90</v>
      </c>
      <c r="M842" s="96">
        <f>ROUND($K842*D842/100,0)</f>
        <v>861236</v>
      </c>
    </row>
    <row r="843" spans="1:16">
      <c r="A843" s="93" t="s">
        <v>272</v>
      </c>
      <c r="C843" s="92">
        <v>5456720</v>
      </c>
      <c r="D843" s="92">
        <f>D847-D840-D841-D842-D845</f>
        <v>6745960.2689358015</v>
      </c>
      <c r="E843" s="92"/>
      <c r="F843" s="150">
        <v>5.8023999999999996</v>
      </c>
      <c r="G843" s="159" t="s">
        <v>90</v>
      </c>
      <c r="H843" s="96">
        <f t="shared" si="206"/>
        <v>316621</v>
      </c>
      <c r="I843" s="96">
        <f t="shared" si="206"/>
        <v>391428</v>
      </c>
      <c r="J843" s="92"/>
      <c r="K843" s="150">
        <f>K$763</f>
        <v>6.2244000000000002</v>
      </c>
      <c r="L843" s="159" t="s">
        <v>90</v>
      </c>
      <c r="M843" s="96">
        <f>ROUND($K843*D843/100,0)</f>
        <v>419896</v>
      </c>
    </row>
    <row r="844" spans="1:16">
      <c r="A844" s="93" t="s">
        <v>128</v>
      </c>
      <c r="C844" s="92">
        <v>0</v>
      </c>
      <c r="D844" s="92">
        <f>ROUND(D$847*$C844/$C$847,0)</f>
        <v>0</v>
      </c>
      <c r="E844" s="92"/>
      <c r="F844" s="147">
        <v>-0.48</v>
      </c>
      <c r="G844" s="120"/>
      <c r="H844" s="96">
        <f>ROUND($F844*C844,0)</f>
        <v>0</v>
      </c>
      <c r="I844" s="96">
        <f>ROUND($F844*D844,0)</f>
        <v>0</v>
      </c>
      <c r="J844" s="92"/>
      <c r="K844" s="147">
        <f>K$764</f>
        <v>-0.48</v>
      </c>
      <c r="L844" s="120"/>
      <c r="M844" s="96">
        <f>ROUND($K844*D844,0)</f>
        <v>0</v>
      </c>
    </row>
    <row r="845" spans="1:16">
      <c r="A845" s="129" t="s">
        <v>101</v>
      </c>
      <c r="C845" s="92">
        <v>0</v>
      </c>
      <c r="D845" s="92">
        <f>ROUND(D$847*$C845/$C$847,0)</f>
        <v>0</v>
      </c>
      <c r="E845" s="92"/>
      <c r="F845" s="131">
        <v>10.3811</v>
      </c>
      <c r="G845" s="9" t="s">
        <v>90</v>
      </c>
      <c r="H845" s="96">
        <f>ROUND($F845*C845/100,0)</f>
        <v>0</v>
      </c>
      <c r="I845" s="96">
        <f>ROUND($F845*D845/100,0)</f>
        <v>0</v>
      </c>
      <c r="J845" s="92"/>
      <c r="K845" s="131">
        <f>K$765</f>
        <v>11.267099999999999</v>
      </c>
      <c r="L845" s="9" t="s">
        <v>90</v>
      </c>
      <c r="M845" s="96">
        <f>ROUND($K845*D845/100,0)</f>
        <v>0</v>
      </c>
    </row>
    <row r="846" spans="1:16">
      <c r="A846" s="129" t="s">
        <v>103</v>
      </c>
      <c r="B846" s="130"/>
      <c r="C846" s="92">
        <v>128965</v>
      </c>
      <c r="D846" s="92"/>
      <c r="E846" s="92"/>
      <c r="F846" s="131"/>
      <c r="G846" s="9"/>
      <c r="H846" s="96">
        <v>12970</v>
      </c>
      <c r="I846" s="96"/>
      <c r="J846" s="92"/>
      <c r="K846" s="131"/>
      <c r="L846" s="9"/>
      <c r="M846" s="96"/>
      <c r="N846" s="121"/>
      <c r="O846" s="121"/>
      <c r="P846" s="121"/>
    </row>
    <row r="847" spans="1:16" ht="16.5" thickBot="1">
      <c r="A847" s="133" t="s">
        <v>105</v>
      </c>
      <c r="B847" s="134"/>
      <c r="C847" s="135">
        <f>SUM(C840:C843,C845:C846)</f>
        <v>17041884</v>
      </c>
      <c r="D847" s="135">
        <v>21528241.600876749</v>
      </c>
      <c r="E847" s="135"/>
      <c r="F847" s="134"/>
      <c r="G847" s="134"/>
      <c r="H847" s="136">
        <f>SUM(H834:H846)</f>
        <v>1724665</v>
      </c>
      <c r="I847" s="136">
        <f>SUM(I834:I846)</f>
        <v>2172588</v>
      </c>
      <c r="J847" s="135"/>
      <c r="K847" s="134"/>
      <c r="L847" s="134"/>
      <c r="M847" s="136">
        <f>SUM(M834:M846)</f>
        <v>2330801</v>
      </c>
      <c r="O847" s="72" t="s">
        <v>86</v>
      </c>
      <c r="P847" s="121">
        <f>M847/I847-1</f>
        <v>7.2822366688944262E-2</v>
      </c>
    </row>
    <row r="848" spans="1:16" ht="16.5" thickTop="1">
      <c r="C848" s="92"/>
      <c r="D848" s="92"/>
      <c r="E848" s="92"/>
      <c r="J848" s="92"/>
    </row>
    <row r="849" spans="1:16">
      <c r="A849" s="90" t="s">
        <v>463</v>
      </c>
      <c r="C849" s="92"/>
      <c r="D849" s="92"/>
      <c r="E849" s="92"/>
      <c r="J849" s="92"/>
    </row>
    <row r="850" spans="1:16">
      <c r="A850" s="93" t="s">
        <v>121</v>
      </c>
      <c r="C850" s="92">
        <v>249.06700000000001</v>
      </c>
      <c r="D850" s="92">
        <v>216</v>
      </c>
      <c r="E850" s="92"/>
      <c r="F850" s="147">
        <v>10</v>
      </c>
      <c r="G850" s="147"/>
      <c r="H850" s="96">
        <f t="shared" ref="H850:I855" si="207">ROUND($F850*C850,0)</f>
        <v>2491</v>
      </c>
      <c r="I850" s="96">
        <f t="shared" si="207"/>
        <v>2160</v>
      </c>
      <c r="J850" s="92"/>
      <c r="K850" s="147">
        <f>K$754</f>
        <v>11</v>
      </c>
      <c r="L850" s="147"/>
      <c r="M850" s="96">
        <f t="shared" ref="M850:M855" si="208">ROUND($K850*D850,0)</f>
        <v>2376</v>
      </c>
    </row>
    <row r="851" spans="1:16">
      <c r="A851" s="93" t="s">
        <v>265</v>
      </c>
      <c r="C851" s="92">
        <v>0</v>
      </c>
      <c r="D851" s="92">
        <f>ROUND($C851*D$850/$C$850,0)</f>
        <v>0</v>
      </c>
      <c r="E851" s="92"/>
      <c r="F851" s="147">
        <v>10</v>
      </c>
      <c r="G851" s="147"/>
      <c r="H851" s="96">
        <f t="shared" si="207"/>
        <v>0</v>
      </c>
      <c r="I851" s="96">
        <f t="shared" si="207"/>
        <v>0</v>
      </c>
      <c r="J851" s="92"/>
      <c r="K851" s="147">
        <f>K$755</f>
        <v>11</v>
      </c>
      <c r="L851" s="147"/>
      <c r="M851" s="96">
        <f t="shared" si="208"/>
        <v>0</v>
      </c>
    </row>
    <row r="852" spans="1:16">
      <c r="A852" s="93" t="s">
        <v>84</v>
      </c>
      <c r="C852" s="92">
        <v>12</v>
      </c>
      <c r="D852" s="92">
        <f>ROUND($C852*D$850/$C$850,0)</f>
        <v>10</v>
      </c>
      <c r="E852" s="92"/>
      <c r="F852" s="147">
        <v>2</v>
      </c>
      <c r="G852" s="147"/>
      <c r="H852" s="96">
        <f t="shared" si="207"/>
        <v>24</v>
      </c>
      <c r="I852" s="96">
        <f t="shared" si="207"/>
        <v>20</v>
      </c>
      <c r="J852" s="92"/>
      <c r="K852" s="95">
        <f>K$756</f>
        <v>2</v>
      </c>
      <c r="L852" s="147"/>
      <c r="M852" s="96">
        <f t="shared" si="208"/>
        <v>20</v>
      </c>
    </row>
    <row r="853" spans="1:16">
      <c r="A853" s="93" t="s">
        <v>87</v>
      </c>
      <c r="C853" s="92">
        <v>105</v>
      </c>
      <c r="D853" s="92">
        <v>150.14013467899736</v>
      </c>
      <c r="E853" s="92"/>
      <c r="F853" s="95">
        <v>-0.5</v>
      </c>
      <c r="G853" s="95"/>
      <c r="H853" s="96">
        <f t="shared" si="207"/>
        <v>-53</v>
      </c>
      <c r="I853" s="96">
        <f t="shared" si="207"/>
        <v>-75</v>
      </c>
      <c r="J853" s="92"/>
      <c r="K853" s="95">
        <f>K$757</f>
        <v>-0.5</v>
      </c>
      <c r="L853" s="95"/>
      <c r="M853" s="96">
        <f t="shared" si="208"/>
        <v>-75</v>
      </c>
    </row>
    <row r="854" spans="1:16">
      <c r="A854" s="93" t="s">
        <v>266</v>
      </c>
      <c r="C854" s="92">
        <v>176.34645669291299</v>
      </c>
      <c r="D854" s="92">
        <f>ROUND(D$863*$C854/$C$863,0)</f>
        <v>85</v>
      </c>
      <c r="E854" s="92"/>
      <c r="F854" s="147">
        <v>8.89</v>
      </c>
      <c r="G854" s="147"/>
      <c r="H854" s="96">
        <f t="shared" si="207"/>
        <v>1568</v>
      </c>
      <c r="I854" s="96">
        <f t="shared" si="207"/>
        <v>756</v>
      </c>
      <c r="J854" s="92"/>
      <c r="K854" s="147">
        <f>K$758</f>
        <v>9.5399999999999991</v>
      </c>
      <c r="L854" s="147"/>
      <c r="M854" s="96">
        <f t="shared" si="208"/>
        <v>811</v>
      </c>
    </row>
    <row r="855" spans="1:16">
      <c r="A855" s="93" t="s">
        <v>267</v>
      </c>
      <c r="C855" s="92">
        <v>293.48919949174098</v>
      </c>
      <c r="D855" s="92">
        <f>ROUND(D$863*$C855/$C$863,0)</f>
        <v>141</v>
      </c>
      <c r="E855" s="92"/>
      <c r="F855" s="147">
        <v>7.87</v>
      </c>
      <c r="G855" s="147"/>
      <c r="H855" s="96">
        <f t="shared" si="207"/>
        <v>2310</v>
      </c>
      <c r="I855" s="96">
        <f t="shared" si="207"/>
        <v>1110</v>
      </c>
      <c r="J855" s="92"/>
      <c r="K855" s="147">
        <f>K$759</f>
        <v>8.44</v>
      </c>
      <c r="L855" s="147"/>
      <c r="M855" s="96">
        <f t="shared" si="208"/>
        <v>1190</v>
      </c>
    </row>
    <row r="856" spans="1:16">
      <c r="A856" s="93" t="s">
        <v>268</v>
      </c>
      <c r="C856" s="92">
        <v>46878</v>
      </c>
      <c r="D856" s="92">
        <v>19162.588085249281</v>
      </c>
      <c r="E856" s="92"/>
      <c r="F856" s="150">
        <v>11.712</v>
      </c>
      <c r="G856" s="159" t="s">
        <v>90</v>
      </c>
      <c r="H856" s="96">
        <f t="shared" ref="H856:I859" si="209">ROUND($F856*C856/100,0)</f>
        <v>5490</v>
      </c>
      <c r="I856" s="96">
        <f t="shared" si="209"/>
        <v>2244</v>
      </c>
      <c r="J856" s="92"/>
      <c r="K856" s="150">
        <f>K$760</f>
        <v>12.5219</v>
      </c>
      <c r="L856" s="159" t="s">
        <v>90</v>
      </c>
      <c r="M856" s="96">
        <f>ROUND($K856*D856/100,0)</f>
        <v>2400</v>
      </c>
    </row>
    <row r="857" spans="1:16">
      <c r="A857" s="93" t="s">
        <v>269</v>
      </c>
      <c r="C857" s="92">
        <v>51916</v>
      </c>
      <c r="D857" s="92">
        <v>21222.000150044838</v>
      </c>
      <c r="E857" s="92"/>
      <c r="F857" s="150">
        <v>6.5567000000000002</v>
      </c>
      <c r="G857" s="159" t="s">
        <v>90</v>
      </c>
      <c r="H857" s="96">
        <f t="shared" si="209"/>
        <v>3404</v>
      </c>
      <c r="I857" s="96">
        <f t="shared" si="209"/>
        <v>1391</v>
      </c>
      <c r="J857" s="92"/>
      <c r="K857" s="150">
        <f>K$761</f>
        <v>7.0335999999999999</v>
      </c>
      <c r="L857" s="159" t="s">
        <v>90</v>
      </c>
      <c r="M857" s="96">
        <f>ROUND($K857*D857/100,0)</f>
        <v>1493</v>
      </c>
    </row>
    <row r="858" spans="1:16">
      <c r="A858" s="93" t="s">
        <v>270</v>
      </c>
      <c r="C858" s="92">
        <v>103559</v>
      </c>
      <c r="D858" s="92">
        <v>54132.170552106931</v>
      </c>
      <c r="E858" s="92"/>
      <c r="F858" s="150">
        <v>10.364599999999999</v>
      </c>
      <c r="G858" s="159" t="s">
        <v>90</v>
      </c>
      <c r="H858" s="96">
        <f t="shared" si="209"/>
        <v>10733</v>
      </c>
      <c r="I858" s="96">
        <f t="shared" si="209"/>
        <v>5611</v>
      </c>
      <c r="J858" s="92"/>
      <c r="K858" s="150">
        <f>K$762</f>
        <v>11.081300000000001</v>
      </c>
      <c r="L858" s="159" t="s">
        <v>90</v>
      </c>
      <c r="M858" s="96">
        <f>ROUND($K858*D858/100,0)</f>
        <v>5999</v>
      </c>
    </row>
    <row r="859" spans="1:16">
      <c r="A859" s="93" t="s">
        <v>272</v>
      </c>
      <c r="C859" s="92">
        <v>57631</v>
      </c>
      <c r="D859" s="92">
        <f>D863-D856-D857-D858-D861</f>
        <v>30124.770624363642</v>
      </c>
      <c r="E859" s="92"/>
      <c r="F859" s="150">
        <v>5.8023999999999996</v>
      </c>
      <c r="G859" s="159" t="s">
        <v>90</v>
      </c>
      <c r="H859" s="96">
        <f t="shared" si="209"/>
        <v>3344</v>
      </c>
      <c r="I859" s="96">
        <f t="shared" si="209"/>
        <v>1748</v>
      </c>
      <c r="J859" s="92"/>
      <c r="K859" s="150">
        <f>K$763</f>
        <v>6.2244000000000002</v>
      </c>
      <c r="L859" s="159" t="s">
        <v>90</v>
      </c>
      <c r="M859" s="96">
        <f>ROUND($K859*D859/100,0)</f>
        <v>1875</v>
      </c>
    </row>
    <row r="860" spans="1:16">
      <c r="A860" s="93" t="s">
        <v>128</v>
      </c>
      <c r="C860" s="92">
        <v>0</v>
      </c>
      <c r="D860" s="92">
        <f>ROUND(D$863*$C860/$C$863,0)</f>
        <v>0</v>
      </c>
      <c r="E860" s="92"/>
      <c r="F860" s="147">
        <v>-0.48</v>
      </c>
      <c r="G860" s="120"/>
      <c r="H860" s="96">
        <f>ROUND($F860*C860,0)</f>
        <v>0</v>
      </c>
      <c r="I860" s="96">
        <f>ROUND($F860*D860,0)</f>
        <v>0</v>
      </c>
      <c r="J860" s="92"/>
      <c r="K860" s="147">
        <f>K$764</f>
        <v>-0.48</v>
      </c>
      <c r="L860" s="120"/>
      <c r="M860" s="96">
        <f>ROUND($K860*D860,0)</f>
        <v>0</v>
      </c>
    </row>
    <row r="861" spans="1:16">
      <c r="A861" s="129" t="s">
        <v>101</v>
      </c>
      <c r="C861" s="92">
        <v>0</v>
      </c>
      <c r="D861" s="92">
        <f>ROUND(D$863*$C861/$C$863,0)</f>
        <v>0</v>
      </c>
      <c r="E861" s="92"/>
      <c r="F861" s="131">
        <v>10.3811</v>
      </c>
      <c r="G861" s="9" t="s">
        <v>90</v>
      </c>
      <c r="H861" s="96">
        <f>ROUND($F861*C861/100,0)</f>
        <v>0</v>
      </c>
      <c r="I861" s="96">
        <f>ROUND($F861*D861/100,0)</f>
        <v>0</v>
      </c>
      <c r="J861" s="92"/>
      <c r="K861" s="131">
        <f>K$765</f>
        <v>11.267099999999999</v>
      </c>
      <c r="L861" s="9" t="s">
        <v>90</v>
      </c>
      <c r="M861" s="96">
        <f>ROUND($K861*D861/100,0)</f>
        <v>0</v>
      </c>
    </row>
    <row r="862" spans="1:16">
      <c r="A862" s="129" t="s">
        <v>103</v>
      </c>
      <c r="B862" s="130"/>
      <c r="C862" s="92">
        <v>63</v>
      </c>
      <c r="D862" s="92"/>
      <c r="E862" s="92"/>
      <c r="F862" s="131"/>
      <c r="G862" s="9"/>
      <c r="H862" s="96">
        <v>66</v>
      </c>
      <c r="I862" s="96"/>
      <c r="J862" s="92"/>
      <c r="K862" s="131"/>
      <c r="L862" s="9"/>
      <c r="M862" s="96"/>
      <c r="N862" s="121"/>
      <c r="O862" s="121"/>
      <c r="P862" s="121"/>
    </row>
    <row r="863" spans="1:16" ht="16.5" thickBot="1">
      <c r="A863" s="133" t="s">
        <v>105</v>
      </c>
      <c r="B863" s="134"/>
      <c r="C863" s="135">
        <f>SUM(C856:C859,C861:C862)</f>
        <v>260047</v>
      </c>
      <c r="D863" s="135">
        <v>124641.5294117647</v>
      </c>
      <c r="E863" s="135"/>
      <c r="F863" s="134"/>
      <c r="G863" s="134"/>
      <c r="H863" s="136">
        <f>SUM(H850:H862)</f>
        <v>29377</v>
      </c>
      <c r="I863" s="136">
        <f>SUM(I850:I862)</f>
        <v>14965</v>
      </c>
      <c r="J863" s="135"/>
      <c r="K863" s="134"/>
      <c r="L863" s="134"/>
      <c r="M863" s="136">
        <f>SUM(M850:M862)</f>
        <v>16089</v>
      </c>
      <c r="O863" s="72" t="s">
        <v>86</v>
      </c>
      <c r="P863" s="121">
        <f>M863/I863-1</f>
        <v>7.5108586702305358E-2</v>
      </c>
    </row>
    <row r="864" spans="1:16" ht="16.5" thickTop="1">
      <c r="C864" s="92"/>
      <c r="D864" s="92"/>
      <c r="E864" s="92"/>
      <c r="J864" s="92"/>
    </row>
    <row r="865" spans="1:16">
      <c r="A865" s="90" t="s">
        <v>464</v>
      </c>
      <c r="C865" s="92"/>
      <c r="D865" s="92"/>
      <c r="E865" s="92"/>
      <c r="J865" s="92"/>
    </row>
    <row r="866" spans="1:16">
      <c r="A866" s="93" t="s">
        <v>121</v>
      </c>
      <c r="C866" s="92">
        <v>6304.0029999999997</v>
      </c>
      <c r="D866" s="92">
        <v>6931</v>
      </c>
      <c r="E866" s="92"/>
      <c r="F866" s="147">
        <v>10</v>
      </c>
      <c r="G866" s="147"/>
      <c r="H866" s="96">
        <f t="shared" ref="H866:I871" si="210">ROUND($F866*C866,0)</f>
        <v>63040</v>
      </c>
      <c r="I866" s="96">
        <f t="shared" si="210"/>
        <v>69310</v>
      </c>
      <c r="J866" s="92"/>
      <c r="K866" s="147">
        <f>K$754</f>
        <v>11</v>
      </c>
      <c r="L866" s="147"/>
      <c r="M866" s="96">
        <f t="shared" ref="M866:M871" si="211">ROUND($K866*D866,0)</f>
        <v>76241</v>
      </c>
    </row>
    <row r="867" spans="1:16">
      <c r="A867" s="93" t="s">
        <v>265</v>
      </c>
      <c r="C867" s="92">
        <v>1</v>
      </c>
      <c r="D867" s="92">
        <f>ROUND($C867*D$866/$C$866,0)</f>
        <v>1</v>
      </c>
      <c r="E867" s="92"/>
      <c r="F867" s="147">
        <v>10</v>
      </c>
      <c r="G867" s="147"/>
      <c r="H867" s="96">
        <f t="shared" si="210"/>
        <v>10</v>
      </c>
      <c r="I867" s="96">
        <f t="shared" si="210"/>
        <v>10</v>
      </c>
      <c r="J867" s="92"/>
      <c r="K867" s="147">
        <f>K$755</f>
        <v>11</v>
      </c>
      <c r="L867" s="147"/>
      <c r="M867" s="96">
        <f t="shared" si="211"/>
        <v>11</v>
      </c>
    </row>
    <row r="868" spans="1:16">
      <c r="A868" s="93" t="s">
        <v>84</v>
      </c>
      <c r="C868" s="92">
        <v>120</v>
      </c>
      <c r="D868" s="92">
        <f>ROUND($C868*D$866/$C$866,0)</f>
        <v>132</v>
      </c>
      <c r="E868" s="92"/>
      <c r="F868" s="147">
        <v>2</v>
      </c>
      <c r="G868" s="147"/>
      <c r="H868" s="96">
        <f t="shared" si="210"/>
        <v>240</v>
      </c>
      <c r="I868" s="96">
        <f t="shared" si="210"/>
        <v>264</v>
      </c>
      <c r="J868" s="92"/>
      <c r="K868" s="95">
        <f>K$756</f>
        <v>2</v>
      </c>
      <c r="L868" s="147"/>
      <c r="M868" s="96">
        <f t="shared" si="211"/>
        <v>264</v>
      </c>
    </row>
    <row r="869" spans="1:16">
      <c r="A869" s="93" t="s">
        <v>87</v>
      </c>
      <c r="C869" s="92">
        <v>4077</v>
      </c>
      <c r="D869" s="92">
        <v>4817.691080833938</v>
      </c>
      <c r="E869" s="92"/>
      <c r="F869" s="95">
        <v>-0.5</v>
      </c>
      <c r="G869" s="95"/>
      <c r="H869" s="96">
        <f t="shared" si="210"/>
        <v>-2039</v>
      </c>
      <c r="I869" s="96">
        <f t="shared" si="210"/>
        <v>-2409</v>
      </c>
      <c r="J869" s="92"/>
      <c r="K869" s="95">
        <f>K$757</f>
        <v>-0.5</v>
      </c>
      <c r="L869" s="95"/>
      <c r="M869" s="96">
        <f t="shared" si="211"/>
        <v>-2409</v>
      </c>
    </row>
    <row r="870" spans="1:16">
      <c r="A870" s="93" t="s">
        <v>266</v>
      </c>
      <c r="C870" s="92">
        <v>820.04161979752496</v>
      </c>
      <c r="D870" s="92">
        <f>ROUND($C870*D$879/$C$879,0)</f>
        <v>1075</v>
      </c>
      <c r="E870" s="92"/>
      <c r="F870" s="147">
        <v>8.89</v>
      </c>
      <c r="G870" s="147"/>
      <c r="H870" s="96">
        <f t="shared" si="210"/>
        <v>7290</v>
      </c>
      <c r="I870" s="96">
        <f t="shared" si="210"/>
        <v>9557</v>
      </c>
      <c r="J870" s="92"/>
      <c r="K870" s="147">
        <f>K$758</f>
        <v>9.5399999999999991</v>
      </c>
      <c r="L870" s="147"/>
      <c r="M870" s="96">
        <f t="shared" si="211"/>
        <v>10256</v>
      </c>
    </row>
    <row r="871" spans="1:16">
      <c r="A871" s="93" t="s">
        <v>267</v>
      </c>
      <c r="C871" s="92">
        <v>1237.3608640406601</v>
      </c>
      <c r="D871" s="92">
        <f>ROUND($C871*D$879/$C$879,0)</f>
        <v>1622</v>
      </c>
      <c r="E871" s="92"/>
      <c r="F871" s="147">
        <v>7.87</v>
      </c>
      <c r="G871" s="147"/>
      <c r="H871" s="96">
        <f t="shared" si="210"/>
        <v>9738</v>
      </c>
      <c r="I871" s="96">
        <f t="shared" si="210"/>
        <v>12765</v>
      </c>
      <c r="J871" s="92"/>
      <c r="K871" s="147">
        <f>K$759</f>
        <v>8.44</v>
      </c>
      <c r="L871" s="147"/>
      <c r="M871" s="96">
        <f t="shared" si="211"/>
        <v>13690</v>
      </c>
    </row>
    <row r="872" spans="1:16">
      <c r="A872" s="93" t="s">
        <v>268</v>
      </c>
      <c r="C872" s="92">
        <v>446765</v>
      </c>
      <c r="D872" s="92">
        <v>719643.87798866828</v>
      </c>
      <c r="E872" s="92"/>
      <c r="F872" s="150">
        <v>11.712</v>
      </c>
      <c r="G872" s="159" t="s">
        <v>90</v>
      </c>
      <c r="H872" s="96">
        <f t="shared" ref="H872:I875" si="212">ROUND($F872*C872/100,0)</f>
        <v>52325</v>
      </c>
      <c r="I872" s="96">
        <f t="shared" si="212"/>
        <v>84285</v>
      </c>
      <c r="J872" s="92"/>
      <c r="K872" s="150">
        <f>K$760</f>
        <v>12.5219</v>
      </c>
      <c r="L872" s="159" t="s">
        <v>90</v>
      </c>
      <c r="M872" s="96">
        <f>ROUND($K872*D872/100,0)</f>
        <v>90113</v>
      </c>
    </row>
    <row r="873" spans="1:16">
      <c r="A873" s="93" t="s">
        <v>269</v>
      </c>
      <c r="C873" s="92">
        <v>406533</v>
      </c>
      <c r="D873" s="92">
        <v>654838.63921830745</v>
      </c>
      <c r="E873" s="92"/>
      <c r="F873" s="150">
        <v>6.5567000000000002</v>
      </c>
      <c r="G873" s="159" t="s">
        <v>90</v>
      </c>
      <c r="H873" s="96">
        <f t="shared" si="212"/>
        <v>26655</v>
      </c>
      <c r="I873" s="96">
        <f t="shared" si="212"/>
        <v>42936</v>
      </c>
      <c r="J873" s="92"/>
      <c r="K873" s="150">
        <f>K$761</f>
        <v>7.0335999999999999</v>
      </c>
      <c r="L873" s="159" t="s">
        <v>90</v>
      </c>
      <c r="M873" s="96">
        <f>ROUND($K873*D873/100,0)</f>
        <v>46059</v>
      </c>
    </row>
    <row r="874" spans="1:16">
      <c r="A874" s="93" t="s">
        <v>270</v>
      </c>
      <c r="C874" s="92">
        <v>1379343</v>
      </c>
      <c r="D874" s="92">
        <v>1674632.3571773258</v>
      </c>
      <c r="E874" s="92"/>
      <c r="F874" s="150">
        <v>10.364599999999999</v>
      </c>
      <c r="G874" s="159" t="s">
        <v>90</v>
      </c>
      <c r="H874" s="96">
        <f t="shared" si="212"/>
        <v>142963</v>
      </c>
      <c r="I874" s="96">
        <f t="shared" si="212"/>
        <v>173569</v>
      </c>
      <c r="J874" s="92"/>
      <c r="K874" s="150">
        <f>K$762</f>
        <v>11.081300000000001</v>
      </c>
      <c r="L874" s="159" t="s">
        <v>90</v>
      </c>
      <c r="M874" s="96">
        <f>ROUND($K874*D874/100,0)</f>
        <v>185571</v>
      </c>
    </row>
    <row r="875" spans="1:16">
      <c r="A875" s="93" t="s">
        <v>272</v>
      </c>
      <c r="C875" s="92">
        <v>1146486</v>
      </c>
      <c r="D875" s="92">
        <f>D879-D872-D873-D874-D877</f>
        <v>1391925.3968380627</v>
      </c>
      <c r="E875" s="92"/>
      <c r="F875" s="150">
        <v>5.8023999999999996</v>
      </c>
      <c r="G875" s="159" t="s">
        <v>90</v>
      </c>
      <c r="H875" s="96">
        <f t="shared" si="212"/>
        <v>66524</v>
      </c>
      <c r="I875" s="96">
        <f t="shared" si="212"/>
        <v>80765</v>
      </c>
      <c r="J875" s="92"/>
      <c r="K875" s="150">
        <f>K$763</f>
        <v>6.2244000000000002</v>
      </c>
      <c r="L875" s="159" t="s">
        <v>90</v>
      </c>
      <c r="M875" s="96">
        <f>ROUND($K875*D875/100,0)</f>
        <v>86639</v>
      </c>
    </row>
    <row r="876" spans="1:16">
      <c r="A876" s="93" t="s">
        <v>128</v>
      </c>
      <c r="C876" s="92">
        <v>0</v>
      </c>
      <c r="D876" s="92">
        <f>ROUND($C876*D$879/$C$879,0)</f>
        <v>0</v>
      </c>
      <c r="E876" s="92"/>
      <c r="F876" s="147">
        <v>-0.48</v>
      </c>
      <c r="G876" s="120"/>
      <c r="H876" s="96">
        <f>ROUND($F876*C876,0)</f>
        <v>0</v>
      </c>
      <c r="I876" s="96">
        <f>ROUND($F876*D876,0)</f>
        <v>0</v>
      </c>
      <c r="J876" s="92"/>
      <c r="K876" s="147">
        <f>K$764</f>
        <v>-0.48</v>
      </c>
      <c r="L876" s="120"/>
      <c r="M876" s="96">
        <f>ROUND($K876*D876,0)</f>
        <v>0</v>
      </c>
    </row>
    <row r="877" spans="1:16">
      <c r="A877" s="129" t="s">
        <v>101</v>
      </c>
      <c r="C877" s="92">
        <v>0</v>
      </c>
      <c r="D877" s="92">
        <f>ROUND($C877*D$879/$C$879,0)</f>
        <v>0</v>
      </c>
      <c r="E877" s="92"/>
      <c r="F877" s="131">
        <v>10.3811</v>
      </c>
      <c r="G877" s="9" t="s">
        <v>90</v>
      </c>
      <c r="H877" s="96">
        <f>ROUND($F877*C877/100,0)</f>
        <v>0</v>
      </c>
      <c r="I877" s="96">
        <f>ROUND($F877*D877/100,0)</f>
        <v>0</v>
      </c>
      <c r="J877" s="92"/>
      <c r="K877" s="131">
        <f>K$765</f>
        <v>11.267099999999999</v>
      </c>
      <c r="L877" s="9" t="s">
        <v>90</v>
      </c>
      <c r="M877" s="96">
        <f>ROUND($K877*D877/100,0)</f>
        <v>0</v>
      </c>
    </row>
    <row r="878" spans="1:16">
      <c r="A878" s="129" t="s">
        <v>103</v>
      </c>
      <c r="B878" s="130"/>
      <c r="C878" s="92">
        <v>9516</v>
      </c>
      <c r="D878" s="92"/>
      <c r="E878" s="92"/>
      <c r="F878" s="131"/>
      <c r="G878" s="9"/>
      <c r="H878" s="96">
        <v>1228</v>
      </c>
      <c r="I878" s="96"/>
      <c r="J878" s="92"/>
      <c r="K878" s="131"/>
      <c r="L878" s="9"/>
      <c r="M878" s="96"/>
      <c r="N878" s="121"/>
      <c r="O878" s="121"/>
      <c r="P878" s="121"/>
    </row>
    <row r="879" spans="1:16" ht="16.5" thickBot="1">
      <c r="A879" s="133" t="s">
        <v>105</v>
      </c>
      <c r="B879" s="134"/>
      <c r="C879" s="135">
        <f>SUM(C872:C875,C877:C878)</f>
        <v>3388643</v>
      </c>
      <c r="D879" s="135">
        <v>4441040.2712223642</v>
      </c>
      <c r="E879" s="135"/>
      <c r="F879" s="134"/>
      <c r="G879" s="134"/>
      <c r="H879" s="136">
        <f>SUM(H866:H878)</f>
        <v>367974</v>
      </c>
      <c r="I879" s="136">
        <f>SUM(I866:I878)</f>
        <v>471052</v>
      </c>
      <c r="J879" s="135"/>
      <c r="K879" s="134"/>
      <c r="L879" s="134"/>
      <c r="M879" s="136">
        <f>SUM(M866:M878)</f>
        <v>506435</v>
      </c>
      <c r="O879" s="72" t="s">
        <v>86</v>
      </c>
      <c r="P879" s="121">
        <f>M879/I879-1</f>
        <v>7.5114849315998988E-2</v>
      </c>
    </row>
    <row r="880" spans="1:16" ht="16.5" thickTop="1"/>
    <row r="881" spans="1:16">
      <c r="A881" s="90" t="s">
        <v>274</v>
      </c>
      <c r="C881" s="92"/>
      <c r="D881" s="92"/>
      <c r="E881" s="92"/>
      <c r="F881" s="150"/>
      <c r="G881" s="150"/>
      <c r="J881" s="92"/>
      <c r="K881" s="150"/>
      <c r="L881" s="150"/>
    </row>
    <row r="882" spans="1:16">
      <c r="A882" s="192" t="s">
        <v>275</v>
      </c>
      <c r="C882" s="92"/>
      <c r="D882" s="92"/>
      <c r="E882" s="92"/>
      <c r="J882" s="92"/>
    </row>
    <row r="883" spans="1:16">
      <c r="A883" s="93" t="s">
        <v>276</v>
      </c>
      <c r="B883" s="177"/>
      <c r="C883" s="92">
        <f>C949+C1015</f>
        <v>0</v>
      </c>
      <c r="D883" s="92">
        <f t="shared" ref="D883" si="213">D949+D1015</f>
        <v>0</v>
      </c>
      <c r="E883" s="92"/>
      <c r="F883" s="95">
        <v>137</v>
      </c>
      <c r="G883" s="95"/>
      <c r="H883" s="96">
        <f t="shared" ref="H883:I885" si="214">ROUND($F883*C883,0)</f>
        <v>0</v>
      </c>
      <c r="I883" s="96">
        <f t="shared" si="214"/>
        <v>0</v>
      </c>
      <c r="J883" s="92"/>
      <c r="K883" s="95">
        <f>'Sch31-32 Rate'!F31</f>
        <v>142</v>
      </c>
      <c r="L883" s="95"/>
      <c r="M883" s="96">
        <f>ROUND($K883*D883,0)</f>
        <v>0</v>
      </c>
      <c r="O883" s="89" t="s">
        <v>277</v>
      </c>
      <c r="P883" s="193"/>
    </row>
    <row r="884" spans="1:16">
      <c r="A884" s="93" t="s">
        <v>87</v>
      </c>
      <c r="C884" s="92">
        <f>C950+C1016</f>
        <v>0</v>
      </c>
      <c r="D884" s="92">
        <f>D950+D1016</f>
        <v>0</v>
      </c>
      <c r="E884" s="92"/>
      <c r="F884" s="95">
        <v>-0.5</v>
      </c>
      <c r="G884" s="95"/>
      <c r="H884" s="96">
        <f t="shared" si="214"/>
        <v>0</v>
      </c>
      <c r="I884" s="96">
        <f t="shared" si="214"/>
        <v>0</v>
      </c>
      <c r="J884" s="92"/>
      <c r="K884" s="95">
        <f>F884</f>
        <v>-0.5</v>
      </c>
      <c r="L884" s="95"/>
      <c r="M884" s="96">
        <f>ROUND($K884*D884,0)</f>
        <v>0</v>
      </c>
      <c r="O884" s="103" t="s">
        <v>79</v>
      </c>
      <c r="P884" s="104">
        <f>M945</f>
        <v>19839987</v>
      </c>
    </row>
    <row r="885" spans="1:16">
      <c r="A885" s="93" t="s">
        <v>278</v>
      </c>
      <c r="B885" s="177"/>
      <c r="C885" s="92">
        <f>C951+C1017</f>
        <v>0</v>
      </c>
      <c r="D885" s="92">
        <f>D951+D1017</f>
        <v>0</v>
      </c>
      <c r="E885" s="92"/>
      <c r="F885" s="95">
        <v>5.75</v>
      </c>
      <c r="G885" s="95"/>
      <c r="H885" s="96">
        <f t="shared" si="214"/>
        <v>0</v>
      </c>
      <c r="I885" s="96">
        <f t="shared" si="214"/>
        <v>0</v>
      </c>
      <c r="J885" s="92"/>
      <c r="K885" s="95">
        <f>'Sch31-32 Rate'!L37</f>
        <v>6.16</v>
      </c>
      <c r="L885" s="95"/>
      <c r="M885" s="96">
        <f>ROUND($K885*D885,0)</f>
        <v>0</v>
      </c>
      <c r="O885" s="106" t="s">
        <v>81</v>
      </c>
      <c r="P885" s="107">
        <f>'Rate Spread'!M29*1000</f>
        <v>20177860.090343148</v>
      </c>
    </row>
    <row r="886" spans="1:16">
      <c r="A886" s="93" t="s">
        <v>279</v>
      </c>
      <c r="B886" s="177"/>
      <c r="C886" s="92"/>
      <c r="D886" s="92"/>
      <c r="E886" s="92"/>
      <c r="F886" s="147"/>
      <c r="G886" s="147"/>
      <c r="H886" s="96"/>
      <c r="I886" s="96"/>
      <c r="J886" s="92"/>
      <c r="K886" s="147"/>
      <c r="L886" s="147"/>
      <c r="M886" s="96"/>
      <c r="O886" s="109" t="s">
        <v>83</v>
      </c>
      <c r="P886" s="110">
        <f>P885-P884</f>
        <v>337873.09034314752</v>
      </c>
    </row>
    <row r="887" spans="1:16">
      <c r="A887" s="93" t="s">
        <v>280</v>
      </c>
      <c r="B887" s="177"/>
      <c r="C887" s="92"/>
      <c r="D887" s="92"/>
      <c r="E887" s="92"/>
      <c r="F887" s="194"/>
      <c r="G887" s="194"/>
      <c r="H887" s="96"/>
      <c r="I887" s="96"/>
      <c r="J887" s="92"/>
      <c r="K887" s="194"/>
      <c r="L887" s="194"/>
      <c r="M887" s="96"/>
      <c r="O887" s="103" t="s">
        <v>86</v>
      </c>
      <c r="P887" s="149">
        <f>P884/I945-1</f>
        <v>7.2639415912854055E-2</v>
      </c>
    </row>
    <row r="888" spans="1:16">
      <c r="A888" s="93" t="s">
        <v>281</v>
      </c>
      <c r="B888" s="177"/>
      <c r="C888" s="92">
        <f>C954+C1020</f>
        <v>0</v>
      </c>
      <c r="D888" s="92">
        <f t="shared" ref="D888:D889" si="215">D954+D1020</f>
        <v>0</v>
      </c>
      <c r="E888" s="92"/>
      <c r="F888" s="194">
        <v>0.9</v>
      </c>
      <c r="G888" s="194"/>
      <c r="H888" s="96">
        <f>ROUND($F888*C888,0)</f>
        <v>0</v>
      </c>
      <c r="I888" s="96">
        <f>ROUND($F888*D888,0)</f>
        <v>0</v>
      </c>
      <c r="J888" s="92"/>
      <c r="K888" s="95">
        <f>'Sch31-32 Rate'!L42</f>
        <v>0.75</v>
      </c>
      <c r="L888" s="194"/>
      <c r="M888" s="96">
        <f>ROUND($K888*D888,0)</f>
        <v>0</v>
      </c>
      <c r="O888" s="106" t="s">
        <v>88</v>
      </c>
      <c r="P888" s="148">
        <f>P885/I945-1</f>
        <v>9.0906363077605024E-2</v>
      </c>
    </row>
    <row r="889" spans="1:16">
      <c r="A889" s="93" t="s">
        <v>282</v>
      </c>
      <c r="B889" s="177"/>
      <c r="C889" s="92">
        <f>C955+C1021</f>
        <v>0</v>
      </c>
      <c r="D889" s="92">
        <f t="shared" si="215"/>
        <v>0</v>
      </c>
      <c r="E889" s="92"/>
      <c r="F889" s="194">
        <v>0.8</v>
      </c>
      <c r="G889" s="194"/>
      <c r="H889" s="96">
        <f>ROUND($F889*C889,0)</f>
        <v>0</v>
      </c>
      <c r="I889" s="96">
        <f>ROUND($F889*D889,0)</f>
        <v>0</v>
      </c>
      <c r="J889" s="92"/>
      <c r="K889" s="95">
        <f>'Sch31-32 Rate'!L43</f>
        <v>0.66</v>
      </c>
      <c r="L889" s="194"/>
      <c r="M889" s="96">
        <f>ROUND($K889*D889,0)</f>
        <v>0</v>
      </c>
      <c r="O889" s="124"/>
      <c r="P889" s="151"/>
    </row>
    <row r="890" spans="1:16">
      <c r="A890" s="93" t="s">
        <v>283</v>
      </c>
      <c r="B890" s="177"/>
      <c r="C890" s="92"/>
      <c r="D890" s="92"/>
      <c r="E890" s="92"/>
      <c r="F890" s="195"/>
      <c r="G890" s="195"/>
      <c r="H890" s="96"/>
      <c r="I890" s="96"/>
      <c r="J890" s="92"/>
      <c r="K890" s="195"/>
      <c r="L890" s="195"/>
      <c r="M890" s="96"/>
    </row>
    <row r="891" spans="1:16">
      <c r="A891" s="93" t="s">
        <v>281</v>
      </c>
      <c r="B891" s="177"/>
      <c r="C891" s="92">
        <f>C957+C1023</f>
        <v>0</v>
      </c>
      <c r="D891" s="92">
        <f t="shared" ref="D891:D892" si="216">D957+D1023</f>
        <v>0</v>
      </c>
      <c r="E891" s="92"/>
      <c r="F891" s="195">
        <v>0.45</v>
      </c>
      <c r="G891" s="195"/>
      <c r="H891" s="96">
        <f>ROUND($F891*C891,0)</f>
        <v>0</v>
      </c>
      <c r="I891" s="96">
        <f>ROUND($F891*D891,0)</f>
        <v>0</v>
      </c>
      <c r="J891" s="92"/>
      <c r="K891" s="95">
        <f>K888/2</f>
        <v>0.375</v>
      </c>
      <c r="L891" s="195"/>
      <c r="M891" s="96">
        <f>ROUND($K891*D891,0)</f>
        <v>0</v>
      </c>
    </row>
    <row r="892" spans="1:16">
      <c r="A892" s="93" t="s">
        <v>282</v>
      </c>
      <c r="B892" s="177"/>
      <c r="C892" s="92">
        <f>C958+C1024</f>
        <v>0</v>
      </c>
      <c r="D892" s="92">
        <f t="shared" si="216"/>
        <v>0</v>
      </c>
      <c r="E892" s="92"/>
      <c r="F892" s="195">
        <v>0.4</v>
      </c>
      <c r="G892" s="195"/>
      <c r="H892" s="96">
        <f>ROUND($F892*C892,0)</f>
        <v>0</v>
      </c>
      <c r="I892" s="96">
        <f>ROUND($F892*D892,0)</f>
        <v>0</v>
      </c>
      <c r="J892" s="92"/>
      <c r="K892" s="95">
        <f>K889/2</f>
        <v>0.33</v>
      </c>
      <c r="L892" s="195"/>
      <c r="M892" s="96">
        <f>ROUND($K892*D892,0)</f>
        <v>0</v>
      </c>
    </row>
    <row r="893" spans="1:16">
      <c r="A893" s="93" t="s">
        <v>284</v>
      </c>
      <c r="B893" s="177"/>
      <c r="C893" s="92"/>
      <c r="D893" s="92"/>
      <c r="E893" s="92"/>
      <c r="F893" s="95"/>
      <c r="G893" s="95"/>
      <c r="H893" s="96"/>
      <c r="I893" s="96"/>
      <c r="J893" s="92"/>
      <c r="K893" s="95"/>
      <c r="L893" s="95"/>
      <c r="M893" s="96"/>
    </row>
    <row r="894" spans="1:16">
      <c r="A894" s="93" t="s">
        <v>281</v>
      </c>
      <c r="B894" s="177"/>
      <c r="C894" s="92">
        <f>C960+C1026</f>
        <v>0</v>
      </c>
      <c r="D894" s="92">
        <f t="shared" ref="D894:D895" si="217">D960+D1026</f>
        <v>0</v>
      </c>
      <c r="E894" s="92"/>
      <c r="F894" s="95">
        <v>41.89</v>
      </c>
      <c r="G894" s="95"/>
      <c r="H894" s="96">
        <f>ROUND($F894*C894,0)</f>
        <v>0</v>
      </c>
      <c r="I894" s="96">
        <f>ROUND($F894*D894,0)</f>
        <v>0</v>
      </c>
      <c r="J894" s="92"/>
      <c r="K894" s="95">
        <f>'Sch31-32 Rate'!F51</f>
        <v>43.98</v>
      </c>
      <c r="L894" s="95"/>
      <c r="M894" s="96">
        <f>ROUND($K894*D894,0)</f>
        <v>0</v>
      </c>
    </row>
    <row r="895" spans="1:16">
      <c r="A895" s="93" t="s">
        <v>282</v>
      </c>
      <c r="B895" s="177"/>
      <c r="C895" s="92">
        <f>C961+C1027</f>
        <v>0</v>
      </c>
      <c r="D895" s="92">
        <f t="shared" si="217"/>
        <v>0</v>
      </c>
      <c r="E895" s="92"/>
      <c r="F895" s="95">
        <v>37.07</v>
      </c>
      <c r="G895" s="95"/>
      <c r="H895" s="96">
        <f>ROUND($F895*C895,0)</f>
        <v>0</v>
      </c>
      <c r="I895" s="96">
        <f>ROUND($F895*D895,0)</f>
        <v>0</v>
      </c>
      <c r="J895" s="92"/>
      <c r="K895" s="95">
        <f>'Sch31-32 Rate'!F52</f>
        <v>40.1</v>
      </c>
      <c r="L895" s="95"/>
      <c r="M895" s="96">
        <f>ROUND($K895*D895,0)</f>
        <v>0</v>
      </c>
    </row>
    <row r="896" spans="1:16">
      <c r="A896" s="192" t="s">
        <v>285</v>
      </c>
      <c r="C896" s="92"/>
      <c r="D896" s="92"/>
      <c r="E896" s="92"/>
      <c r="J896" s="92"/>
    </row>
    <row r="897" spans="1:13">
      <c r="A897" s="93" t="s">
        <v>276</v>
      </c>
      <c r="C897" s="92">
        <f>C963+C1029</f>
        <v>24</v>
      </c>
      <c r="D897" s="92">
        <f t="shared" ref="D897:D899" si="218">D963+D1029</f>
        <v>24</v>
      </c>
      <c r="E897" s="92"/>
      <c r="F897" s="95">
        <v>621</v>
      </c>
      <c r="G897" s="95"/>
      <c r="H897" s="96">
        <f t="shared" ref="H897:I899" si="219">ROUND($F897*C897,0)</f>
        <v>14904</v>
      </c>
      <c r="I897" s="96">
        <f t="shared" si="219"/>
        <v>14904</v>
      </c>
      <c r="J897" s="92"/>
      <c r="K897" s="95">
        <f>'Sch31-32 Rate'!F32</f>
        <v>626</v>
      </c>
      <c r="L897" s="95"/>
      <c r="M897" s="96">
        <f>ROUND($K897*D897,0)</f>
        <v>15024</v>
      </c>
    </row>
    <row r="898" spans="1:13">
      <c r="A898" s="93" t="s">
        <v>87</v>
      </c>
      <c r="C898" s="92">
        <f>C964+C1030</f>
        <v>0</v>
      </c>
      <c r="D898" s="92">
        <f t="shared" si="218"/>
        <v>16.682237186555263</v>
      </c>
      <c r="E898" s="92"/>
      <c r="F898" s="95">
        <v>-0.5</v>
      </c>
      <c r="G898" s="95"/>
      <c r="H898" s="96">
        <f t="shared" si="219"/>
        <v>0</v>
      </c>
      <c r="I898" s="96">
        <f t="shared" si="219"/>
        <v>-8</v>
      </c>
      <c r="J898" s="92"/>
      <c r="K898" s="95">
        <f>F898</f>
        <v>-0.5</v>
      </c>
      <c r="L898" s="95"/>
      <c r="M898" s="96">
        <f>ROUND($K898*D898,0)</f>
        <v>-8</v>
      </c>
    </row>
    <row r="899" spans="1:13">
      <c r="A899" s="93" t="s">
        <v>278</v>
      </c>
      <c r="C899" s="92">
        <f>C965+C1031</f>
        <v>36600</v>
      </c>
      <c r="D899" s="92">
        <f t="shared" si="218"/>
        <v>52401</v>
      </c>
      <c r="E899" s="92"/>
      <c r="F899" s="95">
        <v>4.58</v>
      </c>
      <c r="G899" s="95"/>
      <c r="H899" s="96">
        <f t="shared" si="219"/>
        <v>167628</v>
      </c>
      <c r="I899" s="96">
        <f t="shared" si="219"/>
        <v>239997</v>
      </c>
      <c r="J899" s="92"/>
      <c r="K899" s="95">
        <f>'Sch31-32 Rate'!L38</f>
        <v>4.91</v>
      </c>
      <c r="L899" s="95"/>
      <c r="M899" s="96">
        <f>ROUND($K899*D899,0)</f>
        <v>257289</v>
      </c>
    </row>
    <row r="900" spans="1:13">
      <c r="A900" s="93" t="s">
        <v>279</v>
      </c>
      <c r="C900" s="92"/>
      <c r="D900" s="92"/>
      <c r="E900" s="92"/>
      <c r="F900" s="95"/>
      <c r="G900" s="95"/>
      <c r="H900" s="96"/>
      <c r="I900" s="96"/>
      <c r="J900" s="92"/>
      <c r="K900" s="95"/>
      <c r="L900" s="95"/>
      <c r="M900" s="96"/>
    </row>
    <row r="901" spans="1:13">
      <c r="A901" s="93" t="s">
        <v>280</v>
      </c>
      <c r="C901" s="92"/>
      <c r="D901" s="92"/>
      <c r="E901" s="92"/>
      <c r="F901" s="194"/>
      <c r="G901" s="194"/>
      <c r="H901" s="96"/>
      <c r="I901" s="96"/>
      <c r="J901" s="92"/>
      <c r="K901" s="194"/>
      <c r="L901" s="194"/>
      <c r="M901" s="96"/>
    </row>
    <row r="902" spans="1:13">
      <c r="A902" s="93" t="s">
        <v>281</v>
      </c>
      <c r="B902" s="177"/>
      <c r="C902" s="92">
        <f>C968+C1034</f>
        <v>69545</v>
      </c>
      <c r="D902" s="92">
        <f t="shared" ref="D902:D903" si="220">D968+D1034</f>
        <v>99570</v>
      </c>
      <c r="E902" s="92"/>
      <c r="F902" s="194">
        <v>0.88</v>
      </c>
      <c r="G902" s="194"/>
      <c r="H902" s="96">
        <f>ROUND($F902*C902,0)</f>
        <v>61200</v>
      </c>
      <c r="I902" s="96">
        <f>ROUND($F902*D902,0)</f>
        <v>87622</v>
      </c>
      <c r="J902" s="92"/>
      <c r="K902" s="95">
        <f>'Sch31-32 Rate'!L44</f>
        <v>0.76</v>
      </c>
      <c r="L902" s="194"/>
      <c r="M902" s="96">
        <f>ROUND($K902*D902,0)</f>
        <v>75673</v>
      </c>
    </row>
    <row r="903" spans="1:13">
      <c r="A903" s="93" t="s">
        <v>282</v>
      </c>
      <c r="B903" s="177"/>
      <c r="C903" s="92">
        <f>C969+C1035</f>
        <v>76653</v>
      </c>
      <c r="D903" s="92">
        <f t="shared" si="220"/>
        <v>109747</v>
      </c>
      <c r="E903" s="92"/>
      <c r="F903" s="194">
        <v>0.78</v>
      </c>
      <c r="G903" s="194"/>
      <c r="H903" s="96">
        <f>ROUND($F903*C903,0)</f>
        <v>59789</v>
      </c>
      <c r="I903" s="96">
        <f>ROUND($F903*D903,0)</f>
        <v>85603</v>
      </c>
      <c r="J903" s="92"/>
      <c r="K903" s="95">
        <f>'Sch31-32 Rate'!L45</f>
        <v>0.67</v>
      </c>
      <c r="L903" s="194"/>
      <c r="M903" s="96">
        <f>ROUND($K903*D903,0)</f>
        <v>73530</v>
      </c>
    </row>
    <row r="904" spans="1:13">
      <c r="A904" s="93" t="s">
        <v>283</v>
      </c>
      <c r="C904" s="92"/>
      <c r="D904" s="92"/>
      <c r="E904" s="92"/>
      <c r="F904" s="195"/>
      <c r="G904" s="195"/>
      <c r="H904" s="96"/>
      <c r="I904" s="96"/>
      <c r="J904" s="92"/>
      <c r="K904" s="195"/>
      <c r="L904" s="195"/>
      <c r="M904" s="96"/>
    </row>
    <row r="905" spans="1:13">
      <c r="A905" s="93" t="s">
        <v>281</v>
      </c>
      <c r="B905" s="177"/>
      <c r="C905" s="92">
        <f>C971+C1037</f>
        <v>0</v>
      </c>
      <c r="D905" s="92">
        <f t="shared" ref="D905:D906" si="221">D971+D1037</f>
        <v>0</v>
      </c>
      <c r="E905" s="92"/>
      <c r="F905" s="195">
        <v>0.44</v>
      </c>
      <c r="G905" s="195"/>
      <c r="H905" s="96">
        <f>ROUND($F905*C905,0)</f>
        <v>0</v>
      </c>
      <c r="I905" s="96">
        <f>ROUND($F905*D905,0)</f>
        <v>0</v>
      </c>
      <c r="J905" s="92"/>
      <c r="K905" s="95">
        <f>K902/2</f>
        <v>0.38</v>
      </c>
      <c r="L905" s="195"/>
      <c r="M905" s="96">
        <f>ROUND($K905*D905,0)</f>
        <v>0</v>
      </c>
    </row>
    <row r="906" spans="1:13">
      <c r="A906" s="93" t="s">
        <v>282</v>
      </c>
      <c r="B906" s="177"/>
      <c r="C906" s="92">
        <f>C972+C1038</f>
        <v>0</v>
      </c>
      <c r="D906" s="92">
        <f t="shared" si="221"/>
        <v>0</v>
      </c>
      <c r="E906" s="92"/>
      <c r="F906" s="195">
        <v>0.39</v>
      </c>
      <c r="G906" s="195"/>
      <c r="H906" s="96">
        <f>ROUND($F906*C906,0)</f>
        <v>0</v>
      </c>
      <c r="I906" s="96">
        <f>ROUND($F906*D906,0)</f>
        <v>0</v>
      </c>
      <c r="J906" s="92"/>
      <c r="K906" s="95">
        <f>K903/2</f>
        <v>0.33500000000000002</v>
      </c>
      <c r="L906" s="195"/>
      <c r="M906" s="96">
        <f>ROUND($K906*D906,0)</f>
        <v>0</v>
      </c>
    </row>
    <row r="907" spans="1:13">
      <c r="A907" s="93" t="s">
        <v>284</v>
      </c>
      <c r="C907" s="92"/>
      <c r="D907" s="92"/>
      <c r="E907" s="92"/>
      <c r="F907" s="95"/>
      <c r="G907" s="95"/>
      <c r="H907" s="96"/>
      <c r="I907" s="96"/>
      <c r="J907" s="92"/>
      <c r="K907" s="95"/>
      <c r="L907" s="95"/>
      <c r="M907" s="96"/>
    </row>
    <row r="908" spans="1:13">
      <c r="A908" s="93" t="s">
        <v>281</v>
      </c>
      <c r="B908" s="177"/>
      <c r="C908" s="92">
        <f>C974+C1040</f>
        <v>218</v>
      </c>
      <c r="D908" s="92">
        <f t="shared" ref="D908:D909" si="222">D974+D1040</f>
        <v>312</v>
      </c>
      <c r="E908" s="92"/>
      <c r="F908" s="95">
        <v>39.56</v>
      </c>
      <c r="G908" s="95"/>
      <c r="H908" s="96">
        <f>ROUND($F908*C908,0)</f>
        <v>8624</v>
      </c>
      <c r="I908" s="96">
        <f>ROUND($F908*D908,0)</f>
        <v>12343</v>
      </c>
      <c r="J908" s="92"/>
      <c r="K908" s="95">
        <f>'Sch31-32 Rate'!F53</f>
        <v>41.72</v>
      </c>
      <c r="L908" s="95"/>
      <c r="M908" s="96">
        <f>ROUND($K908*D908,0)</f>
        <v>13017</v>
      </c>
    </row>
    <row r="909" spans="1:13">
      <c r="A909" s="93" t="s">
        <v>282</v>
      </c>
      <c r="B909" s="177"/>
      <c r="C909" s="92">
        <f>C975+C1041</f>
        <v>12</v>
      </c>
      <c r="D909" s="92">
        <f t="shared" si="222"/>
        <v>17</v>
      </c>
      <c r="E909" s="92"/>
      <c r="F909" s="95">
        <v>35.01</v>
      </c>
      <c r="G909" s="95"/>
      <c r="H909" s="96">
        <f>ROUND($F909*C909,0)</f>
        <v>420</v>
      </c>
      <c r="I909" s="96">
        <f>ROUND($F909*D909,0)</f>
        <v>595</v>
      </c>
      <c r="J909" s="92"/>
      <c r="K909" s="95">
        <f>'Sch31-32 Rate'!F54</f>
        <v>37.840000000000003</v>
      </c>
      <c r="L909" s="95"/>
      <c r="M909" s="96">
        <f>ROUND($K909*D909,0)</f>
        <v>643</v>
      </c>
    </row>
    <row r="910" spans="1:13">
      <c r="A910" s="192" t="s">
        <v>286</v>
      </c>
      <c r="C910" s="92"/>
      <c r="D910" s="92"/>
      <c r="E910" s="92"/>
      <c r="J910" s="92"/>
    </row>
    <row r="911" spans="1:13">
      <c r="A911" s="93" t="s">
        <v>276</v>
      </c>
      <c r="C911" s="92">
        <f>C977+C1043</f>
        <v>60</v>
      </c>
      <c r="D911" s="92">
        <f t="shared" ref="D911:D913" si="223">D977+D1043</f>
        <v>60</v>
      </c>
      <c r="E911" s="92"/>
      <c r="F911" s="95">
        <v>696</v>
      </c>
      <c r="G911" s="95"/>
      <c r="H911" s="96">
        <f t="shared" ref="H911:I913" si="224">ROUND($F911*C911,0)</f>
        <v>41760</v>
      </c>
      <c r="I911" s="96">
        <f t="shared" si="224"/>
        <v>41760</v>
      </c>
      <c r="J911" s="92"/>
      <c r="K911" s="95">
        <f>'Sch31-32 Rate'!F33</f>
        <v>829</v>
      </c>
      <c r="L911" s="95"/>
      <c r="M911" s="96">
        <f>ROUND($K911*D911,0)</f>
        <v>49740</v>
      </c>
    </row>
    <row r="912" spans="1:13">
      <c r="A912" s="93" t="s">
        <v>87</v>
      </c>
      <c r="C912" s="92">
        <f>C978+C1044</f>
        <v>60</v>
      </c>
      <c r="D912" s="92">
        <f t="shared" si="223"/>
        <v>41.705592966388153</v>
      </c>
      <c r="E912" s="92"/>
      <c r="F912" s="95">
        <v>-0.5</v>
      </c>
      <c r="G912" s="95"/>
      <c r="H912" s="96">
        <f t="shared" si="224"/>
        <v>-30</v>
      </c>
      <c r="I912" s="96">
        <f t="shared" si="224"/>
        <v>-21</v>
      </c>
      <c r="J912" s="92"/>
      <c r="K912" s="95">
        <f>F912</f>
        <v>-0.5</v>
      </c>
      <c r="L912" s="95"/>
      <c r="M912" s="96">
        <f>ROUND($K912*D912,0)</f>
        <v>-21</v>
      </c>
    </row>
    <row r="913" spans="1:13">
      <c r="A913" s="93" t="s">
        <v>278</v>
      </c>
      <c r="C913" s="92">
        <f>C979+C1045</f>
        <v>294600</v>
      </c>
      <c r="D913" s="92">
        <f t="shared" si="223"/>
        <v>219614</v>
      </c>
      <c r="E913" s="92"/>
      <c r="F913" s="95">
        <v>2.7</v>
      </c>
      <c r="G913" s="95"/>
      <c r="H913" s="96">
        <f t="shared" si="224"/>
        <v>795420</v>
      </c>
      <c r="I913" s="96">
        <f t="shared" si="224"/>
        <v>592958</v>
      </c>
      <c r="J913" s="92"/>
      <c r="K913" s="95">
        <f>'Sch31-32 Rate'!L39</f>
        <v>3.16</v>
      </c>
      <c r="L913" s="95"/>
      <c r="M913" s="96">
        <f>ROUND($K913*D913,0)</f>
        <v>693980</v>
      </c>
    </row>
    <row r="914" spans="1:13">
      <c r="A914" s="93" t="s">
        <v>279</v>
      </c>
      <c r="C914" s="92"/>
      <c r="D914" s="92"/>
      <c r="E914" s="92"/>
      <c r="F914" s="147"/>
      <c r="G914" s="147"/>
      <c r="H914" s="96"/>
      <c r="I914" s="96"/>
      <c r="J914" s="92"/>
      <c r="K914" s="147"/>
      <c r="L914" s="147"/>
      <c r="M914" s="96"/>
    </row>
    <row r="915" spans="1:13">
      <c r="A915" s="93" t="s">
        <v>280</v>
      </c>
      <c r="C915" s="92"/>
      <c r="D915" s="92"/>
      <c r="E915" s="92"/>
      <c r="F915" s="194"/>
      <c r="G915" s="194"/>
      <c r="H915" s="96"/>
      <c r="I915" s="96"/>
      <c r="J915" s="92"/>
      <c r="K915" s="194"/>
      <c r="L915" s="194"/>
      <c r="M915" s="96"/>
    </row>
    <row r="916" spans="1:13">
      <c r="A916" s="93" t="s">
        <v>281</v>
      </c>
      <c r="B916" s="177"/>
      <c r="C916" s="92">
        <f>C982+C1048</f>
        <v>1143915</v>
      </c>
      <c r="D916" s="92">
        <f t="shared" ref="D916:D917" si="225">D982+D1048</f>
        <v>641525</v>
      </c>
      <c r="E916" s="92"/>
      <c r="F916" s="194">
        <v>0.78</v>
      </c>
      <c r="G916" s="194"/>
      <c r="H916" s="96">
        <f>ROUND($F916*C916,0)</f>
        <v>892254</v>
      </c>
      <c r="I916" s="96">
        <f>ROUND($F916*D916,0)</f>
        <v>500390</v>
      </c>
      <c r="J916" s="92"/>
      <c r="K916" s="95">
        <f>'Sch31-32 Rate'!L46</f>
        <v>0.71</v>
      </c>
      <c r="L916" s="194"/>
      <c r="M916" s="96">
        <f>ROUND($K916*D916,0)</f>
        <v>455483</v>
      </c>
    </row>
    <row r="917" spans="1:13">
      <c r="A917" s="93" t="s">
        <v>282</v>
      </c>
      <c r="B917" s="177"/>
      <c r="C917" s="92">
        <f>C983+C1049</f>
        <v>1623127</v>
      </c>
      <c r="D917" s="92">
        <f t="shared" si="225"/>
        <v>979536</v>
      </c>
      <c r="E917" s="92"/>
      <c r="F917" s="194">
        <v>0.69</v>
      </c>
      <c r="G917" s="194"/>
      <c r="H917" s="96">
        <f>ROUND($F917*C917,0)</f>
        <v>1119958</v>
      </c>
      <c r="I917" s="96">
        <f>ROUND($F917*D917,0)</f>
        <v>675880</v>
      </c>
      <c r="J917" s="92"/>
      <c r="K917" s="95">
        <f>'Sch31-32 Rate'!L47</f>
        <v>0.62</v>
      </c>
      <c r="L917" s="194"/>
      <c r="M917" s="96">
        <f>ROUND($K917*D917,0)</f>
        <v>607312</v>
      </c>
    </row>
    <row r="918" spans="1:13">
      <c r="A918" s="93" t="s">
        <v>283</v>
      </c>
      <c r="C918" s="92"/>
      <c r="D918" s="92"/>
      <c r="E918" s="92"/>
      <c r="F918" s="195"/>
      <c r="G918" s="195"/>
      <c r="H918" s="96"/>
      <c r="I918" s="96"/>
      <c r="J918" s="92"/>
      <c r="K918" s="195"/>
      <c r="L918" s="195"/>
      <c r="M918" s="96"/>
    </row>
    <row r="919" spans="1:13">
      <c r="A919" s="93" t="s">
        <v>281</v>
      </c>
      <c r="B919" s="177"/>
      <c r="C919" s="92">
        <f>C985+C1051</f>
        <v>9400</v>
      </c>
      <c r="D919" s="92">
        <f t="shared" ref="D919:D920" si="226">D985+D1051</f>
        <v>13458</v>
      </c>
      <c r="E919" s="92"/>
      <c r="F919" s="195">
        <v>0.39</v>
      </c>
      <c r="G919" s="195"/>
      <c r="H919" s="96">
        <f>ROUND($F919*C919,0)</f>
        <v>3666</v>
      </c>
      <c r="I919" s="96">
        <f>ROUND($F919*D919,0)</f>
        <v>5249</v>
      </c>
      <c r="J919" s="92"/>
      <c r="K919" s="95">
        <f>K916/2</f>
        <v>0.35499999999999998</v>
      </c>
      <c r="L919" s="195"/>
      <c r="M919" s="96">
        <f>ROUND($K919*D919,0)</f>
        <v>4778</v>
      </c>
    </row>
    <row r="920" spans="1:13">
      <c r="A920" s="93" t="s">
        <v>282</v>
      </c>
      <c r="B920" s="177"/>
      <c r="C920" s="92">
        <f>C986+C1052</f>
        <v>0</v>
      </c>
      <c r="D920" s="92">
        <f t="shared" si="226"/>
        <v>0</v>
      </c>
      <c r="E920" s="92"/>
      <c r="F920" s="195">
        <v>0.34499999999999997</v>
      </c>
      <c r="G920" s="195"/>
      <c r="H920" s="96">
        <f>ROUND($F920*C920,0)</f>
        <v>0</v>
      </c>
      <c r="I920" s="96">
        <f>ROUND($F920*D920,0)</f>
        <v>0</v>
      </c>
      <c r="J920" s="92"/>
      <c r="K920" s="95">
        <f>K917/2</f>
        <v>0.31</v>
      </c>
      <c r="L920" s="195"/>
      <c r="M920" s="96">
        <f>ROUND($K920*D920,0)</f>
        <v>0</v>
      </c>
    </row>
    <row r="921" spans="1:13">
      <c r="A921" s="93" t="s">
        <v>284</v>
      </c>
      <c r="C921" s="92"/>
      <c r="D921" s="92"/>
      <c r="E921" s="92"/>
      <c r="F921" s="95"/>
      <c r="G921" s="95"/>
      <c r="H921" s="96"/>
      <c r="I921" s="96"/>
      <c r="J921" s="92"/>
      <c r="K921" s="95"/>
      <c r="L921" s="95"/>
      <c r="M921" s="96"/>
    </row>
    <row r="922" spans="1:13">
      <c r="A922" s="93" t="s">
        <v>281</v>
      </c>
      <c r="B922" s="177"/>
      <c r="C922" s="92">
        <f>C988+C1054</f>
        <v>20</v>
      </c>
      <c r="D922" s="92">
        <f t="shared" ref="D922:D923" si="227">D988+D1054</f>
        <v>10</v>
      </c>
      <c r="E922" s="92"/>
      <c r="F922" s="95">
        <v>33.21</v>
      </c>
      <c r="G922" s="95"/>
      <c r="H922" s="96">
        <f>ROUND($F922*C922,0)</f>
        <v>664</v>
      </c>
      <c r="I922" s="96">
        <f>ROUND($F922*D922,0)</f>
        <v>332</v>
      </c>
      <c r="J922" s="92"/>
      <c r="K922" s="95">
        <f>'Sch31-32 Rate'!F55</f>
        <v>36.020000000000003</v>
      </c>
      <c r="L922" s="95"/>
      <c r="M922" s="96">
        <f>ROUND($K922*D922,0)</f>
        <v>360</v>
      </c>
    </row>
    <row r="923" spans="1:13">
      <c r="A923" s="93" t="s">
        <v>282</v>
      </c>
      <c r="B923" s="177"/>
      <c r="C923" s="92">
        <f>C989+C1055</f>
        <v>48</v>
      </c>
      <c r="D923" s="92">
        <f t="shared" si="227"/>
        <v>25</v>
      </c>
      <c r="E923" s="92"/>
      <c r="F923" s="95">
        <v>29.39</v>
      </c>
      <c r="G923" s="95"/>
      <c r="H923" s="96">
        <f>ROUND($F923*C923,0)</f>
        <v>1411</v>
      </c>
      <c r="I923" s="96">
        <f>ROUND($F923*D923,0)</f>
        <v>735</v>
      </c>
      <c r="J923" s="92"/>
      <c r="K923" s="95">
        <f>'Sch31-32 Rate'!F56</f>
        <v>32.44</v>
      </c>
      <c r="L923" s="95"/>
      <c r="M923" s="96">
        <f>ROUND($K923*D923,0)</f>
        <v>811</v>
      </c>
    </row>
    <row r="924" spans="1:13">
      <c r="A924" s="93" t="s">
        <v>287</v>
      </c>
      <c r="C924" s="187"/>
      <c r="D924" s="187"/>
      <c r="E924" s="94"/>
      <c r="F924" s="150"/>
      <c r="G924" s="150"/>
      <c r="H924" s="185">
        <f>SUM(H883:H923)</f>
        <v>3167668</v>
      </c>
      <c r="I924" s="185">
        <f>SUM(I883:I923)</f>
        <v>2258339</v>
      </c>
      <c r="J924" s="94"/>
      <c r="K924" s="150"/>
      <c r="L924" s="150"/>
      <c r="M924" s="185">
        <f>SUM(M883:M923)</f>
        <v>2247611</v>
      </c>
    </row>
    <row r="925" spans="1:13">
      <c r="A925" s="192" t="s">
        <v>288</v>
      </c>
    </row>
    <row r="926" spans="1:13">
      <c r="A926" s="90" t="s">
        <v>289</v>
      </c>
      <c r="C926" s="92"/>
      <c r="D926" s="92"/>
      <c r="E926" s="92"/>
      <c r="F926" s="147"/>
      <c r="G926" s="147"/>
      <c r="H926" s="96"/>
      <c r="I926" s="96"/>
      <c r="J926" s="92"/>
      <c r="K926" s="147"/>
      <c r="L926" s="147"/>
      <c r="M926" s="96"/>
    </row>
    <row r="927" spans="1:13">
      <c r="A927" s="93" t="s">
        <v>122</v>
      </c>
      <c r="C927" s="92">
        <f t="shared" ref="C927:D934" si="228">C993+C1059</f>
        <v>30245</v>
      </c>
      <c r="D927" s="92">
        <f t="shared" si="228"/>
        <v>43303</v>
      </c>
      <c r="E927" s="92"/>
      <c r="F927" s="147">
        <v>4.8099999999999996</v>
      </c>
      <c r="G927" s="147"/>
      <c r="H927" s="96">
        <f t="shared" ref="H927:I929" si="229">ROUND($F927*C927,0)</f>
        <v>145478</v>
      </c>
      <c r="I927" s="96">
        <f t="shared" si="229"/>
        <v>208287</v>
      </c>
      <c r="J927" s="92"/>
      <c r="K927" s="95">
        <f>K$391</f>
        <v>5.15</v>
      </c>
      <c r="L927" s="147"/>
      <c r="M927" s="96">
        <f>ROUND($K927*D927,0)</f>
        <v>223010</v>
      </c>
    </row>
    <row r="928" spans="1:13">
      <c r="A928" s="93" t="s">
        <v>156</v>
      </c>
      <c r="C928" s="92">
        <f t="shared" si="228"/>
        <v>4000</v>
      </c>
      <c r="D928" s="92">
        <f t="shared" si="228"/>
        <v>5727</v>
      </c>
      <c r="E928" s="92"/>
      <c r="F928" s="147">
        <v>15.73</v>
      </c>
      <c r="G928" s="147"/>
      <c r="H928" s="96">
        <f t="shared" si="229"/>
        <v>62920</v>
      </c>
      <c r="I928" s="96">
        <f t="shared" si="229"/>
        <v>90086</v>
      </c>
      <c r="J928" s="92"/>
      <c r="K928" s="95">
        <f>K$392</f>
        <v>16.84</v>
      </c>
      <c r="L928" s="147"/>
      <c r="M928" s="96">
        <f>ROUND($K928*D928,0)</f>
        <v>96443</v>
      </c>
    </row>
    <row r="929" spans="1:16">
      <c r="A929" s="93" t="s">
        <v>157</v>
      </c>
      <c r="C929" s="92">
        <f t="shared" si="228"/>
        <v>21226</v>
      </c>
      <c r="D929" s="92">
        <f t="shared" si="228"/>
        <v>30390</v>
      </c>
      <c r="E929" s="92"/>
      <c r="F929" s="147">
        <v>13.92</v>
      </c>
      <c r="G929" s="147"/>
      <c r="H929" s="96">
        <f t="shared" si="229"/>
        <v>295466</v>
      </c>
      <c r="I929" s="96">
        <f t="shared" si="229"/>
        <v>423029</v>
      </c>
      <c r="J929" s="92"/>
      <c r="K929" s="95">
        <f>K$393</f>
        <v>14.9</v>
      </c>
      <c r="L929" s="147"/>
      <c r="M929" s="96">
        <f>ROUND($K929*D929,0)</f>
        <v>452811</v>
      </c>
    </row>
    <row r="930" spans="1:16">
      <c r="A930" s="93" t="s">
        <v>89</v>
      </c>
      <c r="C930" s="92">
        <f t="shared" si="228"/>
        <v>976800</v>
      </c>
      <c r="D930" s="92">
        <f t="shared" si="228"/>
        <v>1409179</v>
      </c>
      <c r="E930" s="92"/>
      <c r="F930" s="150">
        <v>5.8281999999999998</v>
      </c>
      <c r="G930" s="120" t="s">
        <v>90</v>
      </c>
      <c r="H930" s="96">
        <f t="shared" ref="H930:I933" si="230">ROUND($F930*C930/100,0)</f>
        <v>56930</v>
      </c>
      <c r="I930" s="96">
        <f t="shared" si="230"/>
        <v>82130</v>
      </c>
      <c r="J930" s="92"/>
      <c r="K930" s="161">
        <f>K$394</f>
        <v>6.2394999999999996</v>
      </c>
      <c r="L930" s="120" t="s">
        <v>90</v>
      </c>
      <c r="M930" s="96">
        <f>ROUND($K930*D930/100,0)</f>
        <v>87926</v>
      </c>
    </row>
    <row r="931" spans="1:16">
      <c r="A931" s="93" t="s">
        <v>92</v>
      </c>
      <c r="C931" s="92">
        <f t="shared" si="228"/>
        <v>3976800</v>
      </c>
      <c r="D931" s="92">
        <f t="shared" si="228"/>
        <v>5737125</v>
      </c>
      <c r="E931" s="92"/>
      <c r="F931" s="150">
        <v>2.9624000000000001</v>
      </c>
      <c r="G931" s="120" t="s">
        <v>90</v>
      </c>
      <c r="H931" s="96">
        <f t="shared" si="230"/>
        <v>117809</v>
      </c>
      <c r="I931" s="96">
        <f t="shared" si="230"/>
        <v>169957</v>
      </c>
      <c r="J931" s="92"/>
      <c r="K931" s="161">
        <f>K$395</f>
        <v>3.1714000000000002</v>
      </c>
      <c r="L931" s="120" t="s">
        <v>90</v>
      </c>
      <c r="M931" s="96">
        <f>ROUND($K931*D931/100,0)</f>
        <v>181947</v>
      </c>
    </row>
    <row r="932" spans="1:16">
      <c r="A932" s="93" t="s">
        <v>159</v>
      </c>
      <c r="C932" s="92">
        <f t="shared" si="228"/>
        <v>2678400</v>
      </c>
      <c r="D932" s="92">
        <f t="shared" si="228"/>
        <v>3863990</v>
      </c>
      <c r="E932" s="92"/>
      <c r="F932" s="150">
        <v>5.1577000000000002</v>
      </c>
      <c r="G932" s="120" t="s">
        <v>90</v>
      </c>
      <c r="H932" s="96">
        <f t="shared" si="230"/>
        <v>138144</v>
      </c>
      <c r="I932" s="96">
        <f t="shared" si="230"/>
        <v>199293</v>
      </c>
      <c r="J932" s="92"/>
      <c r="K932" s="161">
        <f>K$396</f>
        <v>5.5217000000000001</v>
      </c>
      <c r="L932" s="120" t="s">
        <v>90</v>
      </c>
      <c r="M932" s="96">
        <f>ROUND($K932*D932/100,0)</f>
        <v>213358</v>
      </c>
    </row>
    <row r="933" spans="1:16">
      <c r="A933" s="93" t="s">
        <v>161</v>
      </c>
      <c r="C933" s="92">
        <f t="shared" si="228"/>
        <v>10783200</v>
      </c>
      <c r="D933" s="92">
        <f t="shared" si="228"/>
        <v>15556369</v>
      </c>
      <c r="E933" s="92"/>
      <c r="F933" s="150">
        <v>2.6215999999999999</v>
      </c>
      <c r="G933" s="120" t="s">
        <v>90</v>
      </c>
      <c r="H933" s="96">
        <f t="shared" si="230"/>
        <v>282692</v>
      </c>
      <c r="I933" s="96">
        <f t="shared" si="230"/>
        <v>407826</v>
      </c>
      <c r="J933" s="92"/>
      <c r="K933" s="161">
        <f>K$397</f>
        <v>2.8069999999999999</v>
      </c>
      <c r="L933" s="120" t="s">
        <v>90</v>
      </c>
      <c r="M933" s="96">
        <f>ROUND($K933*D933/100,0)</f>
        <v>436667</v>
      </c>
    </row>
    <row r="934" spans="1:16">
      <c r="A934" s="93" t="s">
        <v>128</v>
      </c>
      <c r="C934" s="92">
        <f t="shared" si="228"/>
        <v>25226</v>
      </c>
      <c r="D934" s="92">
        <f t="shared" si="228"/>
        <v>36117</v>
      </c>
      <c r="E934" s="92"/>
      <c r="F934" s="147">
        <v>-1.1299999999999999</v>
      </c>
      <c r="G934" s="147"/>
      <c r="H934" s="96">
        <f>ROUND($F934*C934,0)</f>
        <v>-28505</v>
      </c>
      <c r="I934" s="96">
        <f>ROUND($F934*D934,0)</f>
        <v>-40812</v>
      </c>
      <c r="J934" s="92"/>
      <c r="K934" s="95">
        <f>K$398</f>
        <v>-1.1299999999999999</v>
      </c>
      <c r="L934" s="147"/>
      <c r="M934" s="96">
        <f>ROUND($K934*D934,0)</f>
        <v>-40812</v>
      </c>
    </row>
    <row r="935" spans="1:16">
      <c r="A935" s="90" t="s">
        <v>290</v>
      </c>
      <c r="C935" s="92"/>
      <c r="D935" s="92"/>
      <c r="E935" s="92"/>
      <c r="F935" s="147"/>
      <c r="G935" s="147"/>
      <c r="H935" s="96"/>
      <c r="I935" s="96"/>
      <c r="J935" s="92"/>
      <c r="K935" s="147"/>
      <c r="L935" s="147"/>
      <c r="M935" s="96"/>
    </row>
    <row r="936" spans="1:16">
      <c r="A936" s="93" t="s">
        <v>122</v>
      </c>
      <c r="C936" s="92">
        <f t="shared" ref="C936:D944" si="231">C1002+C1068</f>
        <v>344498</v>
      </c>
      <c r="D936" s="92">
        <f t="shared" si="231"/>
        <v>411595</v>
      </c>
      <c r="E936" s="92"/>
      <c r="F936" s="147">
        <v>2.2799999999999998</v>
      </c>
      <c r="G936" s="147"/>
      <c r="H936" s="96">
        <f t="shared" ref="H936:I938" si="232">ROUND($F936*C936,0)</f>
        <v>785455</v>
      </c>
      <c r="I936" s="96">
        <f t="shared" si="232"/>
        <v>938437</v>
      </c>
      <c r="J936" s="92"/>
      <c r="K936" s="147">
        <f>K$462</f>
        <v>2.4700000000000002</v>
      </c>
      <c r="L936" s="147"/>
      <c r="M936" s="96">
        <f>ROUND($K936*D936,0)</f>
        <v>1016640</v>
      </c>
    </row>
    <row r="937" spans="1:16">
      <c r="A937" s="93" t="s">
        <v>156</v>
      </c>
      <c r="C937" s="92">
        <f t="shared" si="231"/>
        <v>109941</v>
      </c>
      <c r="D937" s="92">
        <f t="shared" si="231"/>
        <v>132547</v>
      </c>
      <c r="E937" s="92"/>
      <c r="F937" s="147">
        <v>14.33</v>
      </c>
      <c r="G937" s="147"/>
      <c r="H937" s="96">
        <f t="shared" si="232"/>
        <v>1575455</v>
      </c>
      <c r="I937" s="96">
        <f t="shared" si="232"/>
        <v>1899399</v>
      </c>
      <c r="J937" s="92"/>
      <c r="K937" s="147">
        <f>K$463</f>
        <v>15.54</v>
      </c>
      <c r="L937" s="147"/>
      <c r="M937" s="96">
        <f>ROUND($K937*D937,0)</f>
        <v>2059780</v>
      </c>
    </row>
    <row r="938" spans="1:16">
      <c r="A938" s="93" t="s">
        <v>157</v>
      </c>
      <c r="C938" s="92">
        <f t="shared" si="231"/>
        <v>223967</v>
      </c>
      <c r="D938" s="92">
        <f t="shared" si="231"/>
        <v>264522</v>
      </c>
      <c r="E938" s="92"/>
      <c r="F938" s="147">
        <v>12.68</v>
      </c>
      <c r="G938" s="147"/>
      <c r="H938" s="96">
        <f t="shared" si="232"/>
        <v>2839902</v>
      </c>
      <c r="I938" s="96">
        <f t="shared" si="232"/>
        <v>3354139</v>
      </c>
      <c r="J938" s="92"/>
      <c r="K938" s="147">
        <f>K$464</f>
        <v>13.75</v>
      </c>
      <c r="L938" s="147"/>
      <c r="M938" s="96">
        <f>ROUND($K938*D938,0)</f>
        <v>3637178</v>
      </c>
    </row>
    <row r="939" spans="1:16">
      <c r="A939" s="93" t="s">
        <v>89</v>
      </c>
      <c r="C939" s="92">
        <f t="shared" si="231"/>
        <v>20955522</v>
      </c>
      <c r="D939" s="92">
        <f t="shared" si="231"/>
        <v>21260017</v>
      </c>
      <c r="E939" s="92"/>
      <c r="F939" s="155">
        <v>5.1477000000000004</v>
      </c>
      <c r="G939" s="120" t="s">
        <v>90</v>
      </c>
      <c r="H939" s="96">
        <f t="shared" ref="H939:I942" si="233">ROUND($F939*C939/100,0)</f>
        <v>1078727</v>
      </c>
      <c r="I939" s="96">
        <f t="shared" si="233"/>
        <v>1094402</v>
      </c>
      <c r="J939" s="92"/>
      <c r="K939" s="155">
        <f>K$465</f>
        <v>5.5841000000000003</v>
      </c>
      <c r="L939" s="120" t="s">
        <v>90</v>
      </c>
      <c r="M939" s="96">
        <f>ROUND($K939*D939/100,0)</f>
        <v>1187181</v>
      </c>
    </row>
    <row r="940" spans="1:16">
      <c r="A940" s="93" t="s">
        <v>92</v>
      </c>
      <c r="C940" s="92">
        <f t="shared" si="231"/>
        <v>80102179</v>
      </c>
      <c r="D940" s="92">
        <f t="shared" si="231"/>
        <v>81766769</v>
      </c>
      <c r="E940" s="92"/>
      <c r="F940" s="155">
        <v>2.6164999999999998</v>
      </c>
      <c r="G940" s="120" t="s">
        <v>90</v>
      </c>
      <c r="H940" s="96">
        <f t="shared" si="233"/>
        <v>2095874</v>
      </c>
      <c r="I940" s="96">
        <f t="shared" si="233"/>
        <v>2139428</v>
      </c>
      <c r="J940" s="92"/>
      <c r="K940" s="155">
        <f>K$466</f>
        <v>2.8382999999999998</v>
      </c>
      <c r="L940" s="120" t="s">
        <v>90</v>
      </c>
      <c r="M940" s="96">
        <f>ROUND($K940*D940/100,0)</f>
        <v>2320786</v>
      </c>
    </row>
    <row r="941" spans="1:16">
      <c r="A941" s="93" t="s">
        <v>159</v>
      </c>
      <c r="C941" s="92">
        <f t="shared" si="231"/>
        <v>36942649</v>
      </c>
      <c r="D941" s="92">
        <f t="shared" si="231"/>
        <v>39248473</v>
      </c>
      <c r="E941" s="92"/>
      <c r="F941" s="155">
        <v>4.5555000000000003</v>
      </c>
      <c r="G941" s="120" t="s">
        <v>90</v>
      </c>
      <c r="H941" s="96">
        <f t="shared" si="233"/>
        <v>1682922</v>
      </c>
      <c r="I941" s="96">
        <f t="shared" si="233"/>
        <v>1787964</v>
      </c>
      <c r="J941" s="92"/>
      <c r="K941" s="155">
        <f>K$467</f>
        <v>4.9417</v>
      </c>
      <c r="L941" s="120" t="s">
        <v>90</v>
      </c>
      <c r="M941" s="96">
        <f>ROUND($K941*D941/100,0)</f>
        <v>1939542</v>
      </c>
    </row>
    <row r="942" spans="1:16">
      <c r="A942" s="93" t="s">
        <v>161</v>
      </c>
      <c r="C942" s="171">
        <f t="shared" si="231"/>
        <v>140816628</v>
      </c>
      <c r="D942" s="171">
        <f t="shared" si="231"/>
        <v>150486461</v>
      </c>
      <c r="E942" s="171"/>
      <c r="F942" s="196">
        <v>2.3155000000000001</v>
      </c>
      <c r="G942" s="120" t="s">
        <v>90</v>
      </c>
      <c r="H942" s="174">
        <f t="shared" si="233"/>
        <v>3260609</v>
      </c>
      <c r="I942" s="174">
        <f t="shared" si="233"/>
        <v>3484514</v>
      </c>
      <c r="J942" s="171"/>
      <c r="K942" s="155">
        <f>K$468</f>
        <v>2.5118</v>
      </c>
      <c r="L942" s="120" t="s">
        <v>90</v>
      </c>
      <c r="M942" s="174">
        <f>ROUND($K942*D942/100,0)</f>
        <v>3779919</v>
      </c>
    </row>
    <row r="943" spans="1:16">
      <c r="A943" s="93" t="s">
        <v>287</v>
      </c>
      <c r="C943" s="92"/>
      <c r="D943" s="92"/>
      <c r="E943" s="92"/>
      <c r="F943" s="155"/>
      <c r="G943" s="120"/>
      <c r="H943" s="96">
        <f>SUM(H927:H942)</f>
        <v>14389878</v>
      </c>
      <c r="I943" s="96">
        <f>SUM(I927:I942)</f>
        <v>16238079</v>
      </c>
      <c r="J943" s="92"/>
      <c r="K943" s="155"/>
      <c r="L943" s="120"/>
      <c r="M943" s="96">
        <f>SUM(M927:M942)</f>
        <v>17592376</v>
      </c>
    </row>
    <row r="944" spans="1:16">
      <c r="A944" s="129" t="s">
        <v>103</v>
      </c>
      <c r="B944" s="130"/>
      <c r="C944" s="92">
        <f t="shared" si="231"/>
        <v>1389262</v>
      </c>
      <c r="D944" s="92"/>
      <c r="E944" s="92"/>
      <c r="F944" s="131"/>
      <c r="G944" s="9"/>
      <c r="H944" s="96">
        <f t="shared" ref="H944" si="234">H1010+H1076</f>
        <v>93986</v>
      </c>
      <c r="I944" s="96"/>
      <c r="J944" s="92"/>
      <c r="K944" s="131"/>
      <c r="L944" s="9"/>
      <c r="M944" s="96"/>
      <c r="N944" s="121"/>
      <c r="O944" s="121"/>
      <c r="P944" s="121"/>
    </row>
    <row r="945" spans="1:16" ht="16.5" thickBot="1">
      <c r="A945" s="133" t="s">
        <v>291</v>
      </c>
      <c r="B945" s="134"/>
      <c r="C945" s="135">
        <f>C1011+C1077</f>
        <v>298621440</v>
      </c>
      <c r="D945" s="135">
        <f t="shared" ref="D945" si="235">D1011+D1077</f>
        <v>319328383.47723126</v>
      </c>
      <c r="E945" s="135"/>
      <c r="F945" s="134"/>
      <c r="G945" s="134"/>
      <c r="H945" s="136">
        <f>H924+H943+H944</f>
        <v>17651532</v>
      </c>
      <c r="I945" s="136">
        <f>I924+I943+I944</f>
        <v>18496418</v>
      </c>
      <c r="J945" s="135"/>
      <c r="K945" s="134"/>
      <c r="L945" s="134"/>
      <c r="M945" s="136">
        <f>M924+M943+M944</f>
        <v>19839987</v>
      </c>
      <c r="O945" s="72" t="s">
        <v>86</v>
      </c>
      <c r="P945" s="121">
        <f>M945/I945-1</f>
        <v>7.2639415912854055E-2</v>
      </c>
    </row>
    <row r="946" spans="1:16" ht="16.5" thickTop="1"/>
    <row r="947" spans="1:16">
      <c r="A947" s="90" t="s">
        <v>465</v>
      </c>
      <c r="C947" s="92"/>
      <c r="D947" s="92"/>
      <c r="E947" s="92"/>
      <c r="F947" s="150"/>
      <c r="G947" s="150"/>
      <c r="J947" s="92"/>
      <c r="K947" s="150"/>
      <c r="L947" s="150"/>
    </row>
    <row r="948" spans="1:16">
      <c r="A948" s="192" t="s">
        <v>275</v>
      </c>
      <c r="C948" s="92"/>
      <c r="D948" s="92"/>
      <c r="E948" s="92"/>
      <c r="J948" s="92"/>
    </row>
    <row r="949" spans="1:16">
      <c r="A949" s="93" t="s">
        <v>276</v>
      </c>
      <c r="B949" s="177"/>
      <c r="C949" s="92">
        <v>0</v>
      </c>
      <c r="D949" s="92">
        <v>0</v>
      </c>
      <c r="E949" s="92"/>
      <c r="F949" s="95">
        <v>137</v>
      </c>
      <c r="G949" s="95"/>
      <c r="H949" s="96">
        <f t="shared" ref="H949:I951" si="236">ROUND($F949*C949,0)</f>
        <v>0</v>
      </c>
      <c r="I949" s="96">
        <f t="shared" si="236"/>
        <v>0</v>
      </c>
      <c r="J949" s="92"/>
      <c r="K949" s="95">
        <f>K$883</f>
        <v>142</v>
      </c>
      <c r="L949" s="95"/>
      <c r="M949" s="96">
        <f>ROUND($K949*D949,0)</f>
        <v>0</v>
      </c>
    </row>
    <row r="950" spans="1:16">
      <c r="A950" s="93" t="s">
        <v>87</v>
      </c>
      <c r="C950" s="92">
        <v>0</v>
      </c>
      <c r="D950" s="92">
        <v>0</v>
      </c>
      <c r="E950" s="92"/>
      <c r="F950" s="95">
        <v>-0.5</v>
      </c>
      <c r="G950" s="95"/>
      <c r="H950" s="96">
        <f t="shared" si="236"/>
        <v>0</v>
      </c>
      <c r="I950" s="96">
        <f t="shared" si="236"/>
        <v>0</v>
      </c>
      <c r="J950" s="92"/>
      <c r="K950" s="95">
        <f>K$884</f>
        <v>-0.5</v>
      </c>
      <c r="L950" s="95"/>
      <c r="M950" s="96">
        <f>ROUND($K950*D950,0)</f>
        <v>0</v>
      </c>
    </row>
    <row r="951" spans="1:16">
      <c r="A951" s="93" t="s">
        <v>278</v>
      </c>
      <c r="B951" s="177"/>
      <c r="C951" s="92">
        <v>0</v>
      </c>
      <c r="D951" s="92">
        <f>ROUND($C951*D$1011/$C$1011,0)</f>
        <v>0</v>
      </c>
      <c r="E951" s="92"/>
      <c r="F951" s="95">
        <v>5.75</v>
      </c>
      <c r="G951" s="95"/>
      <c r="H951" s="96">
        <f t="shared" si="236"/>
        <v>0</v>
      </c>
      <c r="I951" s="96">
        <f t="shared" si="236"/>
        <v>0</v>
      </c>
      <c r="J951" s="92"/>
      <c r="K951" s="95">
        <f>K$885</f>
        <v>6.16</v>
      </c>
      <c r="L951" s="95"/>
      <c r="M951" s="96">
        <f>ROUND($K951*D951,0)</f>
        <v>0</v>
      </c>
    </row>
    <row r="952" spans="1:16">
      <c r="A952" s="93" t="s">
        <v>279</v>
      </c>
      <c r="B952" s="177"/>
      <c r="C952" s="92"/>
      <c r="D952" s="92"/>
      <c r="E952" s="92"/>
      <c r="F952" s="147"/>
      <c r="G952" s="147"/>
      <c r="H952" s="96"/>
      <c r="I952" s="96"/>
      <c r="J952" s="92"/>
      <c r="K952" s="147"/>
      <c r="L952" s="147"/>
      <c r="M952" s="96"/>
    </row>
    <row r="953" spans="1:16">
      <c r="A953" s="93" t="s">
        <v>280</v>
      </c>
      <c r="B953" s="177"/>
      <c r="C953" s="92"/>
      <c r="D953" s="92"/>
      <c r="E953" s="92"/>
      <c r="F953" s="194"/>
      <c r="G953" s="194"/>
      <c r="H953" s="96"/>
      <c r="I953" s="96"/>
      <c r="J953" s="92"/>
      <c r="K953" s="194"/>
      <c r="L953" s="194"/>
      <c r="M953" s="96"/>
    </row>
    <row r="954" spans="1:16">
      <c r="A954" s="93" t="s">
        <v>281</v>
      </c>
      <c r="B954" s="177"/>
      <c r="C954" s="92">
        <v>0</v>
      </c>
      <c r="D954" s="92">
        <f>ROUND($C954*D$1011/$C$1011,0)</f>
        <v>0</v>
      </c>
      <c r="E954" s="92"/>
      <c r="F954" s="194">
        <v>0.9</v>
      </c>
      <c r="G954" s="194"/>
      <c r="H954" s="96">
        <f>ROUND($F954*C954,0)</f>
        <v>0</v>
      </c>
      <c r="I954" s="96">
        <f>ROUND($F954*D954,0)</f>
        <v>0</v>
      </c>
      <c r="J954" s="92"/>
      <c r="K954" s="194">
        <f>K$888</f>
        <v>0.75</v>
      </c>
      <c r="L954" s="194"/>
      <c r="M954" s="96">
        <f>ROUND($K954*D954,0)</f>
        <v>0</v>
      </c>
    </row>
    <row r="955" spans="1:16">
      <c r="A955" s="93" t="s">
        <v>282</v>
      </c>
      <c r="B955" s="177"/>
      <c r="C955" s="92">
        <v>0</v>
      </c>
      <c r="D955" s="92">
        <f>ROUND($C955*D$1011/$C$1011,0)</f>
        <v>0</v>
      </c>
      <c r="E955" s="92"/>
      <c r="F955" s="194">
        <v>0.8</v>
      </c>
      <c r="G955" s="194"/>
      <c r="H955" s="96">
        <f>ROUND($F955*C955,0)</f>
        <v>0</v>
      </c>
      <c r="I955" s="96">
        <f>ROUND($F955*D955,0)</f>
        <v>0</v>
      </c>
      <c r="J955" s="92"/>
      <c r="K955" s="194">
        <f>K$889</f>
        <v>0.66</v>
      </c>
      <c r="L955" s="194"/>
      <c r="M955" s="96">
        <f>ROUND($K955*D955,0)</f>
        <v>0</v>
      </c>
    </row>
    <row r="956" spans="1:16">
      <c r="A956" s="93" t="s">
        <v>283</v>
      </c>
      <c r="B956" s="177"/>
      <c r="C956" s="92"/>
      <c r="D956" s="92"/>
      <c r="E956" s="92"/>
      <c r="F956" s="195"/>
      <c r="G956" s="195"/>
      <c r="H956" s="96"/>
      <c r="I956" s="96"/>
      <c r="J956" s="92"/>
      <c r="K956" s="195"/>
      <c r="L956" s="195"/>
      <c r="M956" s="96"/>
    </row>
    <row r="957" spans="1:16">
      <c r="A957" s="93" t="s">
        <v>281</v>
      </c>
      <c r="B957" s="177"/>
      <c r="C957" s="92">
        <v>0</v>
      </c>
      <c r="D957" s="92">
        <f>ROUND($C957*D$1011/$C$1011,0)</f>
        <v>0</v>
      </c>
      <c r="E957" s="92"/>
      <c r="F957" s="194">
        <v>0.45</v>
      </c>
      <c r="G957" s="194"/>
      <c r="H957" s="96">
        <f>ROUND($F957*C957,0)</f>
        <v>0</v>
      </c>
      <c r="I957" s="96">
        <f>ROUND($F957*D957,0)</f>
        <v>0</v>
      </c>
      <c r="J957" s="92"/>
      <c r="K957" s="194">
        <f>K$891</f>
        <v>0.375</v>
      </c>
      <c r="L957" s="194"/>
      <c r="M957" s="96">
        <f>ROUND($K957*D957,0)</f>
        <v>0</v>
      </c>
    </row>
    <row r="958" spans="1:16">
      <c r="A958" s="93" t="s">
        <v>282</v>
      </c>
      <c r="B958" s="177"/>
      <c r="C958" s="92">
        <v>0</v>
      </c>
      <c r="D958" s="92">
        <f>ROUND($C958*D$1011/$C$1011,0)</f>
        <v>0</v>
      </c>
      <c r="E958" s="92"/>
      <c r="F958" s="194">
        <v>0.4</v>
      </c>
      <c r="G958" s="194"/>
      <c r="H958" s="96">
        <f>ROUND($F958*C958,0)</f>
        <v>0</v>
      </c>
      <c r="I958" s="96">
        <f>ROUND($F958*D958,0)</f>
        <v>0</v>
      </c>
      <c r="J958" s="92"/>
      <c r="K958" s="194">
        <f>K$892</f>
        <v>0.33</v>
      </c>
      <c r="L958" s="194"/>
      <c r="M958" s="96">
        <f>ROUND($K958*D958,0)</f>
        <v>0</v>
      </c>
    </row>
    <row r="959" spans="1:16">
      <c r="A959" s="93" t="s">
        <v>284</v>
      </c>
      <c r="B959" s="177"/>
      <c r="C959" s="92"/>
      <c r="D959" s="92"/>
      <c r="E959" s="92"/>
      <c r="F959" s="95"/>
      <c r="G959" s="95"/>
      <c r="H959" s="96"/>
      <c r="I959" s="96"/>
      <c r="J959" s="92"/>
      <c r="K959" s="95"/>
      <c r="L959" s="95"/>
      <c r="M959" s="96"/>
    </row>
    <row r="960" spans="1:16">
      <c r="A960" s="93" t="s">
        <v>281</v>
      </c>
      <c r="B960" s="177"/>
      <c r="C960" s="92">
        <v>0</v>
      </c>
      <c r="D960" s="92">
        <f>ROUND($C960*D$1011/$C$1011,0)</f>
        <v>0</v>
      </c>
      <c r="E960" s="92"/>
      <c r="F960" s="194">
        <v>41.89</v>
      </c>
      <c r="G960" s="194"/>
      <c r="H960" s="96">
        <f>ROUND($F960*C960,0)</f>
        <v>0</v>
      </c>
      <c r="I960" s="96">
        <f>ROUND($F960*D960,0)</f>
        <v>0</v>
      </c>
      <c r="J960" s="92"/>
      <c r="K960" s="194">
        <f>K$894</f>
        <v>43.98</v>
      </c>
      <c r="L960" s="194"/>
      <c r="M960" s="96">
        <f>ROUND($K960*D960,0)</f>
        <v>0</v>
      </c>
    </row>
    <row r="961" spans="1:13">
      <c r="A961" s="93" t="s">
        <v>282</v>
      </c>
      <c r="B961" s="177"/>
      <c r="C961" s="92">
        <v>0</v>
      </c>
      <c r="D961" s="92">
        <f>ROUND($C961*D$1011/$C$1011,0)</f>
        <v>0</v>
      </c>
      <c r="E961" s="92"/>
      <c r="F961" s="194">
        <v>37.07</v>
      </c>
      <c r="G961" s="194"/>
      <c r="H961" s="96">
        <f>ROUND($F961*C961,0)</f>
        <v>0</v>
      </c>
      <c r="I961" s="96">
        <f>ROUND($F961*D961,0)</f>
        <v>0</v>
      </c>
      <c r="J961" s="92"/>
      <c r="K961" s="194">
        <f>K$895</f>
        <v>40.1</v>
      </c>
      <c r="L961" s="194"/>
      <c r="M961" s="96">
        <f>ROUND($K961*D961,0)</f>
        <v>0</v>
      </c>
    </row>
    <row r="962" spans="1:13">
      <c r="A962" s="192" t="s">
        <v>285</v>
      </c>
      <c r="C962" s="92"/>
      <c r="D962" s="92"/>
      <c r="E962" s="92"/>
      <c r="J962" s="92"/>
    </row>
    <row r="963" spans="1:13">
      <c r="A963" s="93" t="s">
        <v>276</v>
      </c>
      <c r="C963" s="92">
        <v>24</v>
      </c>
      <c r="D963" s="92">
        <v>24</v>
      </c>
      <c r="E963" s="92"/>
      <c r="F963" s="95">
        <v>621</v>
      </c>
      <c r="G963" s="95"/>
      <c r="H963" s="96">
        <f t="shared" ref="H963:I965" si="237">ROUND($F963*C963,0)</f>
        <v>14904</v>
      </c>
      <c r="I963" s="96">
        <f t="shared" si="237"/>
        <v>14904</v>
      </c>
      <c r="J963" s="92"/>
      <c r="K963" s="95">
        <f>K$897</f>
        <v>626</v>
      </c>
      <c r="L963" s="95"/>
      <c r="M963" s="96">
        <f>ROUND($K963*D963,0)</f>
        <v>15024</v>
      </c>
    </row>
    <row r="964" spans="1:13">
      <c r="A964" s="93" t="s">
        <v>87</v>
      </c>
      <c r="C964" s="92">
        <v>0</v>
      </c>
      <c r="D964" s="92">
        <v>16.682237186555263</v>
      </c>
      <c r="E964" s="92"/>
      <c r="F964" s="95">
        <v>-0.5</v>
      </c>
      <c r="G964" s="95"/>
      <c r="H964" s="96">
        <f t="shared" si="237"/>
        <v>0</v>
      </c>
      <c r="I964" s="96">
        <f t="shared" si="237"/>
        <v>-8</v>
      </c>
      <c r="J964" s="92"/>
      <c r="K964" s="95">
        <f>K$898</f>
        <v>-0.5</v>
      </c>
      <c r="L964" s="95"/>
      <c r="M964" s="96">
        <f>ROUND($K964*D964,0)</f>
        <v>-8</v>
      </c>
    </row>
    <row r="965" spans="1:13">
      <c r="A965" s="93" t="s">
        <v>278</v>
      </c>
      <c r="C965" s="92">
        <v>36600</v>
      </c>
      <c r="D965" s="92">
        <f>ROUND($C965*D$1011/$C$1011,0)</f>
        <v>52401</v>
      </c>
      <c r="E965" s="92"/>
      <c r="F965" s="95">
        <v>4.58</v>
      </c>
      <c r="G965" s="95"/>
      <c r="H965" s="96">
        <f t="shared" si="237"/>
        <v>167628</v>
      </c>
      <c r="I965" s="96">
        <f t="shared" si="237"/>
        <v>239997</v>
      </c>
      <c r="J965" s="92"/>
      <c r="K965" s="95">
        <f>K$899</f>
        <v>4.91</v>
      </c>
      <c r="L965" s="95"/>
      <c r="M965" s="96">
        <f>ROUND($K965*D965,0)</f>
        <v>257289</v>
      </c>
    </row>
    <row r="966" spans="1:13">
      <c r="A966" s="93" t="s">
        <v>279</v>
      </c>
      <c r="C966" s="92"/>
      <c r="D966" s="92"/>
      <c r="E966" s="92"/>
      <c r="F966" s="95"/>
      <c r="G966" s="95"/>
      <c r="H966" s="96"/>
      <c r="I966" s="96"/>
      <c r="J966" s="92"/>
      <c r="K966" s="95"/>
      <c r="L966" s="95"/>
      <c r="M966" s="96"/>
    </row>
    <row r="967" spans="1:13">
      <c r="A967" s="93" t="s">
        <v>280</v>
      </c>
      <c r="C967" s="92"/>
      <c r="D967" s="92"/>
      <c r="E967" s="92"/>
      <c r="F967" s="194"/>
      <c r="G967" s="194"/>
      <c r="H967" s="96"/>
      <c r="I967" s="96"/>
      <c r="J967" s="92"/>
      <c r="K967" s="194"/>
      <c r="L967" s="194"/>
      <c r="M967" s="96"/>
    </row>
    <row r="968" spans="1:13">
      <c r="A968" s="93" t="s">
        <v>281</v>
      </c>
      <c r="B968" s="177"/>
      <c r="C968" s="92">
        <v>69545</v>
      </c>
      <c r="D968" s="92">
        <f>ROUND($C968*D$1011/$C$1011,0)</f>
        <v>99570</v>
      </c>
      <c r="E968" s="92"/>
      <c r="F968" s="194">
        <v>0.88</v>
      </c>
      <c r="G968" s="194"/>
      <c r="H968" s="96">
        <f>ROUND($F968*C968,0)</f>
        <v>61200</v>
      </c>
      <c r="I968" s="96">
        <f>ROUND($F968*D968,0)</f>
        <v>87622</v>
      </c>
      <c r="J968" s="92"/>
      <c r="K968" s="194">
        <f>K$902</f>
        <v>0.76</v>
      </c>
      <c r="L968" s="194"/>
      <c r="M968" s="96">
        <f>ROUND($K968*D968,0)</f>
        <v>75673</v>
      </c>
    </row>
    <row r="969" spans="1:13">
      <c r="A969" s="93" t="s">
        <v>282</v>
      </c>
      <c r="B969" s="177"/>
      <c r="C969" s="92">
        <v>76653</v>
      </c>
      <c r="D969" s="92">
        <f>ROUND($C969*D$1011/$C$1011,0)</f>
        <v>109747</v>
      </c>
      <c r="E969" s="92"/>
      <c r="F969" s="194">
        <v>0.78</v>
      </c>
      <c r="G969" s="194"/>
      <c r="H969" s="96">
        <f>ROUND($F969*C969,0)</f>
        <v>59789</v>
      </c>
      <c r="I969" s="96">
        <f>ROUND($F969*D969,0)</f>
        <v>85603</v>
      </c>
      <c r="J969" s="92"/>
      <c r="K969" s="194">
        <f>K$903</f>
        <v>0.67</v>
      </c>
      <c r="L969" s="194"/>
      <c r="M969" s="96">
        <f>ROUND($K969*D969,0)</f>
        <v>73530</v>
      </c>
    </row>
    <row r="970" spans="1:13">
      <c r="A970" s="93" t="s">
        <v>283</v>
      </c>
      <c r="C970" s="92"/>
      <c r="D970" s="92"/>
      <c r="E970" s="92"/>
      <c r="F970" s="195"/>
      <c r="G970" s="195"/>
      <c r="H970" s="96"/>
      <c r="I970" s="96"/>
      <c r="J970" s="92"/>
      <c r="K970" s="195"/>
      <c r="L970" s="195"/>
      <c r="M970" s="96"/>
    </row>
    <row r="971" spans="1:13">
      <c r="A971" s="93" t="s">
        <v>281</v>
      </c>
      <c r="B971" s="177"/>
      <c r="C971" s="92">
        <v>0</v>
      </c>
      <c r="D971" s="92">
        <f>ROUND($C971*D$1011/$C$1011,0)</f>
        <v>0</v>
      </c>
      <c r="E971" s="92"/>
      <c r="F971" s="194">
        <v>0.44</v>
      </c>
      <c r="G971" s="194"/>
      <c r="H971" s="96">
        <f>ROUND($F971*C971,0)</f>
        <v>0</v>
      </c>
      <c r="I971" s="96">
        <f>ROUND($F971*D971,0)</f>
        <v>0</v>
      </c>
      <c r="J971" s="92"/>
      <c r="K971" s="194">
        <f>K$905</f>
        <v>0.38</v>
      </c>
      <c r="L971" s="194"/>
      <c r="M971" s="96">
        <f>ROUND($K971*D971,0)</f>
        <v>0</v>
      </c>
    </row>
    <row r="972" spans="1:13">
      <c r="A972" s="93" t="s">
        <v>282</v>
      </c>
      <c r="B972" s="177"/>
      <c r="C972" s="92">
        <v>0</v>
      </c>
      <c r="D972" s="92">
        <f>ROUND($C972*D$1011/$C$1011,0)</f>
        <v>0</v>
      </c>
      <c r="E972" s="92"/>
      <c r="F972" s="194">
        <v>0.39</v>
      </c>
      <c r="G972" s="194"/>
      <c r="H972" s="96">
        <f>ROUND($F972*C972,0)</f>
        <v>0</v>
      </c>
      <c r="I972" s="96">
        <f>ROUND($F972*D972,0)</f>
        <v>0</v>
      </c>
      <c r="J972" s="92"/>
      <c r="K972" s="194">
        <f>K$906</f>
        <v>0.33500000000000002</v>
      </c>
      <c r="L972" s="194"/>
      <c r="M972" s="96">
        <f>ROUND($K972*D972,0)</f>
        <v>0</v>
      </c>
    </row>
    <row r="973" spans="1:13">
      <c r="A973" s="93" t="s">
        <v>284</v>
      </c>
      <c r="C973" s="92"/>
      <c r="D973" s="92"/>
      <c r="E973" s="92"/>
      <c r="F973" s="95"/>
      <c r="G973" s="95"/>
      <c r="H973" s="96"/>
      <c r="I973" s="96"/>
      <c r="J973" s="92"/>
      <c r="K973" s="95"/>
      <c r="L973" s="95"/>
      <c r="M973" s="96"/>
    </row>
    <row r="974" spans="1:13">
      <c r="A974" s="93" t="s">
        <v>281</v>
      </c>
      <c r="B974" s="177"/>
      <c r="C974" s="92">
        <v>218</v>
      </c>
      <c r="D974" s="92">
        <f>ROUND($C974*D$1011/$C$1011,0)</f>
        <v>312</v>
      </c>
      <c r="E974" s="92"/>
      <c r="F974" s="194">
        <v>39.56</v>
      </c>
      <c r="G974" s="194"/>
      <c r="H974" s="96">
        <f>ROUND($F974*C974,0)</f>
        <v>8624</v>
      </c>
      <c r="I974" s="96">
        <f>ROUND($F974*D974,0)</f>
        <v>12343</v>
      </c>
      <c r="J974" s="92"/>
      <c r="K974" s="194">
        <f>K$908</f>
        <v>41.72</v>
      </c>
      <c r="L974" s="194"/>
      <c r="M974" s="96">
        <f>ROUND($K974*D974,0)</f>
        <v>13017</v>
      </c>
    </row>
    <row r="975" spans="1:13">
      <c r="A975" s="93" t="s">
        <v>282</v>
      </c>
      <c r="B975" s="177"/>
      <c r="C975" s="92">
        <v>12</v>
      </c>
      <c r="D975" s="92">
        <f>ROUND($C975*D$1011/$C$1011,0)</f>
        <v>17</v>
      </c>
      <c r="E975" s="92"/>
      <c r="F975" s="194">
        <v>35.01</v>
      </c>
      <c r="G975" s="194"/>
      <c r="H975" s="96">
        <f>ROUND($F975*C975,0)</f>
        <v>420</v>
      </c>
      <c r="I975" s="96">
        <f>ROUND($F975*D975,0)</f>
        <v>595</v>
      </c>
      <c r="J975" s="92"/>
      <c r="K975" s="194">
        <f>K$909</f>
        <v>37.840000000000003</v>
      </c>
      <c r="L975" s="194"/>
      <c r="M975" s="96">
        <f>ROUND($K975*D975,0)</f>
        <v>643</v>
      </c>
    </row>
    <row r="976" spans="1:13">
      <c r="A976" s="192" t="s">
        <v>286</v>
      </c>
      <c r="C976" s="92"/>
      <c r="D976" s="92"/>
      <c r="E976" s="92"/>
      <c r="J976" s="92"/>
    </row>
    <row r="977" spans="1:13">
      <c r="A977" s="93" t="s">
        <v>276</v>
      </c>
      <c r="C977" s="92">
        <v>24</v>
      </c>
      <c r="D977" s="92">
        <v>24</v>
      </c>
      <c r="E977" s="92"/>
      <c r="F977" s="95">
        <v>696</v>
      </c>
      <c r="G977" s="95"/>
      <c r="H977" s="96">
        <f t="shared" ref="H977:I979" si="238">ROUND($F977*C977,0)</f>
        <v>16704</v>
      </c>
      <c r="I977" s="96">
        <f t="shared" si="238"/>
        <v>16704</v>
      </c>
      <c r="J977" s="92"/>
      <c r="K977" s="95">
        <f>K$911</f>
        <v>829</v>
      </c>
      <c r="L977" s="95"/>
      <c r="M977" s="96">
        <f>ROUND($K977*D977,0)</f>
        <v>19896</v>
      </c>
    </row>
    <row r="978" spans="1:13">
      <c r="A978" s="93" t="s">
        <v>87</v>
      </c>
      <c r="C978" s="92">
        <v>24</v>
      </c>
      <c r="D978" s="92">
        <v>16.682237186555263</v>
      </c>
      <c r="E978" s="92"/>
      <c r="F978" s="95">
        <v>-0.5</v>
      </c>
      <c r="G978" s="95"/>
      <c r="H978" s="96">
        <f t="shared" si="238"/>
        <v>-12</v>
      </c>
      <c r="I978" s="96">
        <f t="shared" si="238"/>
        <v>-8</v>
      </c>
      <c r="J978" s="92"/>
      <c r="K978" s="95">
        <f>K$912</f>
        <v>-0.5</v>
      </c>
      <c r="L978" s="95"/>
      <c r="M978" s="96">
        <f>ROUND($K978*D978,0)</f>
        <v>-8</v>
      </c>
    </row>
    <row r="979" spans="1:13">
      <c r="A979" s="93" t="s">
        <v>278</v>
      </c>
      <c r="C979" s="92">
        <v>72600</v>
      </c>
      <c r="D979" s="92">
        <f>ROUND($C979*D$1011/$C$1011,0)</f>
        <v>103944</v>
      </c>
      <c r="E979" s="92"/>
      <c r="F979" s="95">
        <v>2.7</v>
      </c>
      <c r="G979" s="95"/>
      <c r="H979" s="96">
        <f t="shared" si="238"/>
        <v>196020</v>
      </c>
      <c r="I979" s="96">
        <f t="shared" si="238"/>
        <v>280649</v>
      </c>
      <c r="J979" s="92"/>
      <c r="K979" s="95">
        <f>K$913</f>
        <v>3.16</v>
      </c>
      <c r="L979" s="95"/>
      <c r="M979" s="96">
        <f>ROUND($K979*D979,0)</f>
        <v>328463</v>
      </c>
    </row>
    <row r="980" spans="1:13">
      <c r="A980" s="93" t="s">
        <v>279</v>
      </c>
      <c r="C980" s="92"/>
      <c r="D980" s="92"/>
      <c r="E980" s="92"/>
      <c r="F980" s="147"/>
      <c r="G980" s="147"/>
      <c r="H980" s="96"/>
      <c r="I980" s="96"/>
      <c r="J980" s="92"/>
      <c r="K980" s="147"/>
      <c r="L980" s="147"/>
      <c r="M980" s="96"/>
    </row>
    <row r="981" spans="1:13">
      <c r="A981" s="93" t="s">
        <v>280</v>
      </c>
      <c r="C981" s="92"/>
      <c r="D981" s="92">
        <f>ROUND($C981*D$1011/$C$1011,0)</f>
        <v>0</v>
      </c>
      <c r="E981" s="92"/>
      <c r="F981" s="194"/>
      <c r="G981" s="194"/>
      <c r="H981" s="96"/>
      <c r="I981" s="96"/>
      <c r="J981" s="92"/>
      <c r="K981" s="194"/>
      <c r="L981" s="194"/>
      <c r="M981" s="96"/>
    </row>
    <row r="982" spans="1:13">
      <c r="A982" s="93" t="s">
        <v>281</v>
      </c>
      <c r="B982" s="177"/>
      <c r="C982" s="92">
        <v>49964</v>
      </c>
      <c r="D982" s="92">
        <f>ROUND($C982*D$1011/$C$1011,0)</f>
        <v>71535</v>
      </c>
      <c r="E982" s="92"/>
      <c r="F982" s="194">
        <v>0.78</v>
      </c>
      <c r="G982" s="194"/>
      <c r="H982" s="96">
        <f>ROUND($F982*C982,0)</f>
        <v>38972</v>
      </c>
      <c r="I982" s="96">
        <f>ROUND($F982*D982,0)</f>
        <v>55797</v>
      </c>
      <c r="J982" s="92"/>
      <c r="K982" s="194">
        <f>K$916</f>
        <v>0.71</v>
      </c>
      <c r="L982" s="194"/>
      <c r="M982" s="96">
        <f>ROUND($K982*D982,0)</f>
        <v>50790</v>
      </c>
    </row>
    <row r="983" spans="1:13">
      <c r="A983" s="93" t="s">
        <v>282</v>
      </c>
      <c r="B983" s="177"/>
      <c r="C983" s="92">
        <v>146948</v>
      </c>
      <c r="D983" s="92">
        <f>ROUND($C983*D$1011/$C$1011,0)</f>
        <v>210390</v>
      </c>
      <c r="E983" s="92"/>
      <c r="F983" s="194">
        <v>0.69</v>
      </c>
      <c r="G983" s="194"/>
      <c r="H983" s="96">
        <f>ROUND($F983*C983,0)</f>
        <v>101394</v>
      </c>
      <c r="I983" s="96">
        <f>ROUND($F983*D983,0)</f>
        <v>145169</v>
      </c>
      <c r="J983" s="92"/>
      <c r="K983" s="194">
        <f>K$917</f>
        <v>0.62</v>
      </c>
      <c r="L983" s="194"/>
      <c r="M983" s="96">
        <f>ROUND($K983*D983,0)</f>
        <v>130442</v>
      </c>
    </row>
    <row r="984" spans="1:13">
      <c r="A984" s="93" t="s">
        <v>283</v>
      </c>
      <c r="C984" s="92"/>
      <c r="D984" s="92"/>
      <c r="E984" s="92"/>
      <c r="F984" s="195"/>
      <c r="G984" s="195"/>
      <c r="H984" s="96"/>
      <c r="I984" s="96"/>
      <c r="J984" s="92"/>
      <c r="K984" s="195"/>
      <c r="L984" s="195"/>
      <c r="M984" s="96"/>
    </row>
    <row r="985" spans="1:13">
      <c r="A985" s="93" t="s">
        <v>281</v>
      </c>
      <c r="B985" s="177"/>
      <c r="C985" s="92">
        <v>9400</v>
      </c>
      <c r="D985" s="92">
        <f>ROUND($C985*D$1011/$C$1011,0)</f>
        <v>13458</v>
      </c>
      <c r="E985" s="92"/>
      <c r="F985" s="194">
        <v>0.39</v>
      </c>
      <c r="G985" s="194"/>
      <c r="H985" s="96">
        <f>ROUND($F985*C985,0)</f>
        <v>3666</v>
      </c>
      <c r="I985" s="96">
        <f>ROUND($F985*D985,0)</f>
        <v>5249</v>
      </c>
      <c r="J985" s="92"/>
      <c r="K985" s="194">
        <f>K$919</f>
        <v>0.35499999999999998</v>
      </c>
      <c r="L985" s="194"/>
      <c r="M985" s="96">
        <f>ROUND($K985*D985,0)</f>
        <v>4778</v>
      </c>
    </row>
    <row r="986" spans="1:13">
      <c r="A986" s="93" t="s">
        <v>282</v>
      </c>
      <c r="B986" s="177"/>
      <c r="C986" s="92">
        <v>0</v>
      </c>
      <c r="D986" s="92">
        <f>ROUND($C986*D$1011/$C$1011,0)</f>
        <v>0</v>
      </c>
      <c r="E986" s="92"/>
      <c r="F986" s="194">
        <v>0.34499999999999997</v>
      </c>
      <c r="G986" s="194"/>
      <c r="H986" s="96">
        <f>ROUND($F986*C986,0)</f>
        <v>0</v>
      </c>
      <c r="I986" s="96">
        <f>ROUND($F986*D986,0)</f>
        <v>0</v>
      </c>
      <c r="J986" s="92"/>
      <c r="K986" s="194">
        <f>K$920</f>
        <v>0.31</v>
      </c>
      <c r="L986" s="194"/>
      <c r="M986" s="96">
        <f>ROUND($K986*D986,0)</f>
        <v>0</v>
      </c>
    </row>
    <row r="987" spans="1:13">
      <c r="A987" s="93" t="s">
        <v>284</v>
      </c>
      <c r="C987" s="92"/>
      <c r="D987" s="92"/>
      <c r="E987" s="92"/>
      <c r="F987" s="95"/>
      <c r="G987" s="95"/>
      <c r="H987" s="96"/>
      <c r="I987" s="96"/>
      <c r="J987" s="92"/>
      <c r="K987" s="95"/>
      <c r="L987" s="95"/>
      <c r="M987" s="96"/>
    </row>
    <row r="988" spans="1:13">
      <c r="A988" s="93" t="s">
        <v>281</v>
      </c>
      <c r="B988" s="177"/>
      <c r="C988" s="92">
        <v>0</v>
      </c>
      <c r="D988" s="92">
        <f>ROUND($C988*D$1011/$C$1011,0)</f>
        <v>0</v>
      </c>
      <c r="E988" s="92"/>
      <c r="F988" s="194">
        <v>33.21</v>
      </c>
      <c r="G988" s="194"/>
      <c r="H988" s="96">
        <f>ROUND($F988*C988,0)</f>
        <v>0</v>
      </c>
      <c r="I988" s="96">
        <f>ROUND($F988*D988,0)</f>
        <v>0</v>
      </c>
      <c r="J988" s="92"/>
      <c r="K988" s="194">
        <f>K$922</f>
        <v>36.020000000000003</v>
      </c>
      <c r="L988" s="194"/>
      <c r="M988" s="96">
        <f>ROUND($K988*D988,0)</f>
        <v>0</v>
      </c>
    </row>
    <row r="989" spans="1:13">
      <c r="A989" s="93" t="s">
        <v>282</v>
      </c>
      <c r="B989" s="177"/>
      <c r="C989" s="92">
        <v>0</v>
      </c>
      <c r="D989" s="92">
        <f>ROUND($C989*D$1011/$C$1011,0)</f>
        <v>0</v>
      </c>
      <c r="E989" s="92"/>
      <c r="F989" s="194">
        <v>29.39</v>
      </c>
      <c r="G989" s="194"/>
      <c r="H989" s="96">
        <f>ROUND($F989*C989,0)</f>
        <v>0</v>
      </c>
      <c r="I989" s="96">
        <f>ROUND($F989*D989,0)</f>
        <v>0</v>
      </c>
      <c r="J989" s="92"/>
      <c r="K989" s="194">
        <f>K$923</f>
        <v>32.44</v>
      </c>
      <c r="L989" s="194"/>
      <c r="M989" s="96">
        <f>ROUND($K989*D989,0)</f>
        <v>0</v>
      </c>
    </row>
    <row r="990" spans="1:13">
      <c r="A990" s="93" t="s">
        <v>287</v>
      </c>
      <c r="C990" s="187"/>
      <c r="D990" s="187"/>
      <c r="E990" s="94"/>
      <c r="F990" s="150"/>
      <c r="G990" s="150"/>
      <c r="H990" s="185">
        <f>SUM(H949:H989)</f>
        <v>669309</v>
      </c>
      <c r="I990" s="185">
        <f>SUM(I949:I989)</f>
        <v>944616</v>
      </c>
      <c r="J990" s="94"/>
      <c r="K990" s="150"/>
      <c r="L990" s="150"/>
      <c r="M990" s="185">
        <f>SUM(M949:M989)</f>
        <v>969529</v>
      </c>
    </row>
    <row r="991" spans="1:13">
      <c r="A991" s="192" t="s">
        <v>288</v>
      </c>
    </row>
    <row r="992" spans="1:13">
      <c r="A992" s="90" t="s">
        <v>444</v>
      </c>
      <c r="C992" s="92"/>
      <c r="D992" s="92"/>
      <c r="E992" s="92"/>
      <c r="F992" s="147"/>
      <c r="G992" s="147"/>
      <c r="H992" s="96"/>
      <c r="I992" s="96"/>
      <c r="J992" s="92"/>
      <c r="K992" s="147"/>
      <c r="L992" s="147"/>
      <c r="M992" s="96"/>
    </row>
    <row r="993" spans="1:13">
      <c r="A993" s="93" t="s">
        <v>122</v>
      </c>
      <c r="C993" s="92">
        <v>30245</v>
      </c>
      <c r="D993" s="92">
        <f>ROUND($C993*D$1011/$C$1011,0)</f>
        <v>43303</v>
      </c>
      <c r="E993" s="92"/>
      <c r="F993" s="147">
        <v>4.8099999999999996</v>
      </c>
      <c r="G993" s="147"/>
      <c r="H993" s="96">
        <f t="shared" ref="H993:I995" si="239">ROUND($F993*C993,0)</f>
        <v>145478</v>
      </c>
      <c r="I993" s="96">
        <f t="shared" si="239"/>
        <v>208287</v>
      </c>
      <c r="J993" s="92"/>
      <c r="K993" s="147">
        <f>K$927</f>
        <v>5.15</v>
      </c>
      <c r="L993" s="147"/>
      <c r="M993" s="96">
        <f>ROUND($K993*D993,0)</f>
        <v>223010</v>
      </c>
    </row>
    <row r="994" spans="1:13">
      <c r="A994" s="93" t="s">
        <v>156</v>
      </c>
      <c r="C994" s="92">
        <v>4000</v>
      </c>
      <c r="D994" s="92">
        <f>ROUND($C994*D$1011/$C$1011,0)</f>
        <v>5727</v>
      </c>
      <c r="E994" s="92"/>
      <c r="F994" s="147">
        <v>15.73</v>
      </c>
      <c r="G994" s="147"/>
      <c r="H994" s="96">
        <f t="shared" si="239"/>
        <v>62920</v>
      </c>
      <c r="I994" s="96">
        <f t="shared" si="239"/>
        <v>90086</v>
      </c>
      <c r="J994" s="92"/>
      <c r="K994" s="147">
        <f>K$928</f>
        <v>16.84</v>
      </c>
      <c r="L994" s="147"/>
      <c r="M994" s="96">
        <f>ROUND($K994*D994,0)</f>
        <v>96443</v>
      </c>
    </row>
    <row r="995" spans="1:13">
      <c r="A995" s="93" t="s">
        <v>157</v>
      </c>
      <c r="C995" s="92">
        <v>21226</v>
      </c>
      <c r="D995" s="92">
        <f>ROUND($C995*D$1011/$C$1011,0)</f>
        <v>30390</v>
      </c>
      <c r="E995" s="92"/>
      <c r="F995" s="147">
        <v>13.92</v>
      </c>
      <c r="G995" s="147"/>
      <c r="H995" s="96">
        <f t="shared" si="239"/>
        <v>295466</v>
      </c>
      <c r="I995" s="96">
        <f t="shared" si="239"/>
        <v>423029</v>
      </c>
      <c r="J995" s="92"/>
      <c r="K995" s="147">
        <f>K$929</f>
        <v>14.9</v>
      </c>
      <c r="L995" s="147"/>
      <c r="M995" s="96">
        <f>ROUND($K995*D995,0)</f>
        <v>452811</v>
      </c>
    </row>
    <row r="996" spans="1:13">
      <c r="A996" s="93" t="s">
        <v>89</v>
      </c>
      <c r="C996" s="92">
        <v>976800</v>
      </c>
      <c r="D996" s="92">
        <f>ROUND($C996*D$1011/($C$1011-$C$1010),0)</f>
        <v>1409179</v>
      </c>
      <c r="E996" s="92"/>
      <c r="F996" s="150">
        <v>5.8281999999999998</v>
      </c>
      <c r="G996" s="120" t="s">
        <v>90</v>
      </c>
      <c r="H996" s="96">
        <f t="shared" ref="H996:I999" si="240">ROUND($F996*C996/100,0)</f>
        <v>56930</v>
      </c>
      <c r="I996" s="96">
        <f t="shared" si="240"/>
        <v>82130</v>
      </c>
      <c r="J996" s="92"/>
      <c r="K996" s="150">
        <f>K$930</f>
        <v>6.2394999999999996</v>
      </c>
      <c r="L996" s="120" t="s">
        <v>90</v>
      </c>
      <c r="M996" s="96">
        <f>ROUND($K996*D996/100,0)</f>
        <v>87926</v>
      </c>
    </row>
    <row r="997" spans="1:13">
      <c r="A997" s="93" t="s">
        <v>92</v>
      </c>
      <c r="C997" s="92">
        <v>3976800</v>
      </c>
      <c r="D997" s="92">
        <f t="shared" ref="D997:D999" si="241">ROUND($C997*D$1011/($C$1011-$C$1010),0)</f>
        <v>5737125</v>
      </c>
      <c r="E997" s="92"/>
      <c r="F997" s="150">
        <v>2.9624000000000001</v>
      </c>
      <c r="G997" s="120" t="s">
        <v>90</v>
      </c>
      <c r="H997" s="96">
        <f t="shared" si="240"/>
        <v>117809</v>
      </c>
      <c r="I997" s="96">
        <f t="shared" si="240"/>
        <v>169957</v>
      </c>
      <c r="J997" s="92"/>
      <c r="K997" s="150">
        <f>K$931</f>
        <v>3.1714000000000002</v>
      </c>
      <c r="L997" s="120" t="s">
        <v>90</v>
      </c>
      <c r="M997" s="96">
        <f>ROUND($K997*D997/100,0)</f>
        <v>181947</v>
      </c>
    </row>
    <row r="998" spans="1:13">
      <c r="A998" s="93" t="s">
        <v>159</v>
      </c>
      <c r="C998" s="92">
        <v>2678400</v>
      </c>
      <c r="D998" s="92">
        <f t="shared" si="241"/>
        <v>3863990</v>
      </c>
      <c r="E998" s="92"/>
      <c r="F998" s="150">
        <v>5.1577000000000002</v>
      </c>
      <c r="G998" s="120" t="s">
        <v>90</v>
      </c>
      <c r="H998" s="96">
        <f t="shared" si="240"/>
        <v>138144</v>
      </c>
      <c r="I998" s="96">
        <f t="shared" si="240"/>
        <v>199293</v>
      </c>
      <c r="J998" s="92"/>
      <c r="K998" s="150">
        <f>K$932</f>
        <v>5.5217000000000001</v>
      </c>
      <c r="L998" s="120" t="s">
        <v>90</v>
      </c>
      <c r="M998" s="96">
        <f>ROUND($K998*D998/100,0)</f>
        <v>213358</v>
      </c>
    </row>
    <row r="999" spans="1:13">
      <c r="A999" s="93" t="s">
        <v>161</v>
      </c>
      <c r="C999" s="92">
        <v>10783200</v>
      </c>
      <c r="D999" s="92">
        <f t="shared" si="241"/>
        <v>15556369</v>
      </c>
      <c r="E999" s="92"/>
      <c r="F999" s="150">
        <v>2.6215999999999999</v>
      </c>
      <c r="G999" s="120" t="s">
        <v>90</v>
      </c>
      <c r="H999" s="96">
        <f t="shared" si="240"/>
        <v>282692</v>
      </c>
      <c r="I999" s="96">
        <f t="shared" si="240"/>
        <v>407826</v>
      </c>
      <c r="J999" s="92"/>
      <c r="K999" s="150">
        <f>K$933</f>
        <v>2.8069999999999999</v>
      </c>
      <c r="L999" s="120" t="s">
        <v>90</v>
      </c>
      <c r="M999" s="96">
        <f>ROUND($K999*D999/100,0)</f>
        <v>436667</v>
      </c>
    </row>
    <row r="1000" spans="1:13">
      <c r="A1000" s="93" t="s">
        <v>128</v>
      </c>
      <c r="C1000" s="92">
        <v>25226</v>
      </c>
      <c r="D1000" s="92">
        <f>ROUND($C1000*D$1011/$C$1011,0)</f>
        <v>36117</v>
      </c>
      <c r="E1000" s="92"/>
      <c r="F1000" s="147">
        <v>-1.1299999999999999</v>
      </c>
      <c r="G1000" s="147"/>
      <c r="H1000" s="96">
        <f>ROUND($F1000*C1000,0)</f>
        <v>-28505</v>
      </c>
      <c r="I1000" s="96">
        <f>ROUND($F1000*D1000,0)</f>
        <v>-40812</v>
      </c>
      <c r="J1000" s="92"/>
      <c r="K1000" s="147">
        <f>K$934</f>
        <v>-1.1299999999999999</v>
      </c>
      <c r="L1000" s="147"/>
      <c r="M1000" s="96">
        <f>ROUND($K1000*D1000,0)</f>
        <v>-40812</v>
      </c>
    </row>
    <row r="1001" spans="1:13">
      <c r="A1001" s="90" t="s">
        <v>447</v>
      </c>
      <c r="C1001" s="92"/>
      <c r="D1001" s="92"/>
      <c r="E1001" s="92"/>
      <c r="F1001" s="147"/>
      <c r="G1001" s="147"/>
      <c r="H1001" s="96"/>
      <c r="I1001" s="96"/>
      <c r="J1001" s="92"/>
      <c r="K1001" s="147"/>
      <c r="L1001" s="147"/>
      <c r="M1001" s="96"/>
    </row>
    <row r="1002" spans="1:13">
      <c r="A1002" s="93" t="s">
        <v>122</v>
      </c>
      <c r="C1002" s="92">
        <v>254859</v>
      </c>
      <c r="D1002" s="92">
        <f>ROUND($C1002*D$1011/$C$1011,0)</f>
        <v>364890</v>
      </c>
      <c r="E1002" s="92"/>
      <c r="F1002" s="147">
        <v>2.2799999999999998</v>
      </c>
      <c r="G1002" s="147"/>
      <c r="H1002" s="96">
        <f t="shared" ref="H1002:I1004" si="242">ROUND($F1002*C1002,0)</f>
        <v>581079</v>
      </c>
      <c r="I1002" s="96">
        <f t="shared" si="242"/>
        <v>831949</v>
      </c>
      <c r="J1002" s="92"/>
      <c r="K1002" s="147">
        <f>K$936</f>
        <v>2.4700000000000002</v>
      </c>
      <c r="L1002" s="147"/>
      <c r="M1002" s="96">
        <f>ROUND($K1002*D1002,0)</f>
        <v>901278</v>
      </c>
    </row>
    <row r="1003" spans="1:13">
      <c r="A1003" s="93" t="s">
        <v>156</v>
      </c>
      <c r="C1003" s="92">
        <v>82644</v>
      </c>
      <c r="D1003" s="92">
        <f>ROUND($C1003*D$1011/$C$1011,0)</f>
        <v>118324</v>
      </c>
      <c r="E1003" s="92"/>
      <c r="F1003" s="147">
        <v>14.33</v>
      </c>
      <c r="G1003" s="147"/>
      <c r="H1003" s="96">
        <f t="shared" si="242"/>
        <v>1184289</v>
      </c>
      <c r="I1003" s="96">
        <f t="shared" si="242"/>
        <v>1695583</v>
      </c>
      <c r="J1003" s="92"/>
      <c r="K1003" s="147">
        <f>K$937</f>
        <v>15.54</v>
      </c>
      <c r="L1003" s="147"/>
      <c r="M1003" s="96">
        <f>ROUND($K1003*D1003,0)</f>
        <v>1838755</v>
      </c>
    </row>
    <row r="1004" spans="1:13">
      <c r="A1004" s="93" t="s">
        <v>157</v>
      </c>
      <c r="C1004" s="92">
        <v>162323</v>
      </c>
      <c r="D1004" s="92">
        <f>ROUND($C1004*D$1011/$C$1011,0)</f>
        <v>232403</v>
      </c>
      <c r="E1004" s="92"/>
      <c r="F1004" s="147">
        <v>12.68</v>
      </c>
      <c r="G1004" s="147"/>
      <c r="H1004" s="96">
        <f t="shared" si="242"/>
        <v>2058256</v>
      </c>
      <c r="I1004" s="96">
        <f t="shared" si="242"/>
        <v>2946870</v>
      </c>
      <c r="J1004" s="92"/>
      <c r="K1004" s="147">
        <f>K$938</f>
        <v>13.75</v>
      </c>
      <c r="L1004" s="147"/>
      <c r="M1004" s="96">
        <f>ROUND($K1004*D1004,0)</f>
        <v>3195541</v>
      </c>
    </row>
    <row r="1005" spans="1:13">
      <c r="A1005" s="93" t="s">
        <v>89</v>
      </c>
      <c r="C1005" s="92">
        <v>11219669</v>
      </c>
      <c r="D1005" s="92">
        <f>ROUND($C1005*D$1011/($C$1011-$C$1010),0)</f>
        <v>16186041</v>
      </c>
      <c r="E1005" s="92"/>
      <c r="F1005" s="155">
        <v>5.1477000000000004</v>
      </c>
      <c r="G1005" s="120" t="s">
        <v>90</v>
      </c>
      <c r="H1005" s="96">
        <f t="shared" ref="H1005:I1008" si="243">ROUND($F1005*C1005/100,0)</f>
        <v>577555</v>
      </c>
      <c r="I1005" s="96">
        <f t="shared" si="243"/>
        <v>833209</v>
      </c>
      <c r="J1005" s="92"/>
      <c r="K1005" s="155">
        <f>K$939</f>
        <v>5.5841000000000003</v>
      </c>
      <c r="L1005" s="120" t="s">
        <v>90</v>
      </c>
      <c r="M1005" s="96">
        <f>ROUND($K1005*D1005/100,0)</f>
        <v>903845</v>
      </c>
    </row>
    <row r="1006" spans="1:13">
      <c r="A1006" s="93" t="s">
        <v>92</v>
      </c>
      <c r="C1006" s="92">
        <v>43430347</v>
      </c>
      <c r="D1006" s="92">
        <f t="shared" ref="D1006:D1008" si="244">ROUND($C1006*D$1011/($C$1011-$C$1010),0)</f>
        <v>62654732</v>
      </c>
      <c r="E1006" s="92"/>
      <c r="F1006" s="155">
        <v>2.6164999999999998</v>
      </c>
      <c r="G1006" s="120" t="s">
        <v>90</v>
      </c>
      <c r="H1006" s="96">
        <f t="shared" si="243"/>
        <v>1136355</v>
      </c>
      <c r="I1006" s="96">
        <f t="shared" si="243"/>
        <v>1639361</v>
      </c>
      <c r="J1006" s="92"/>
      <c r="K1006" s="155">
        <f>K$940</f>
        <v>2.8382999999999998</v>
      </c>
      <c r="L1006" s="120" t="s">
        <v>90</v>
      </c>
      <c r="M1006" s="96">
        <f>ROUND($K1006*D1006/100,0)</f>
        <v>1778329</v>
      </c>
    </row>
    <row r="1007" spans="1:13">
      <c r="A1007" s="93" t="s">
        <v>159</v>
      </c>
      <c r="C1007" s="92">
        <v>21699000</v>
      </c>
      <c r="D1007" s="92">
        <f t="shared" si="244"/>
        <v>31304033</v>
      </c>
      <c r="E1007" s="92"/>
      <c r="F1007" s="155">
        <v>4.5555000000000003</v>
      </c>
      <c r="G1007" s="120" t="s">
        <v>90</v>
      </c>
      <c r="H1007" s="96">
        <f t="shared" si="243"/>
        <v>988498</v>
      </c>
      <c r="I1007" s="96">
        <f t="shared" si="243"/>
        <v>1426055</v>
      </c>
      <c r="J1007" s="92"/>
      <c r="K1007" s="155">
        <f>K$941</f>
        <v>4.9417</v>
      </c>
      <c r="L1007" s="120" t="s">
        <v>90</v>
      </c>
      <c r="M1007" s="96">
        <f>ROUND($K1007*D1007/100,0)</f>
        <v>1546951</v>
      </c>
    </row>
    <row r="1008" spans="1:13">
      <c r="A1008" s="93" t="s">
        <v>161</v>
      </c>
      <c r="C1008" s="92">
        <v>83667053</v>
      </c>
      <c r="D1008" s="92">
        <f t="shared" si="244"/>
        <v>120702163</v>
      </c>
      <c r="E1008" s="171"/>
      <c r="F1008" s="196">
        <v>2.3155000000000001</v>
      </c>
      <c r="G1008" s="120" t="s">
        <v>90</v>
      </c>
      <c r="H1008" s="174">
        <f t="shared" si="243"/>
        <v>1937311</v>
      </c>
      <c r="I1008" s="174">
        <f t="shared" si="243"/>
        <v>2794859</v>
      </c>
      <c r="J1008" s="171"/>
      <c r="K1008" s="196">
        <f>K$942</f>
        <v>2.5118</v>
      </c>
      <c r="L1008" s="120" t="s">
        <v>90</v>
      </c>
      <c r="M1008" s="174">
        <f>ROUND($K1008*D1008/100,0)</f>
        <v>3031797</v>
      </c>
    </row>
    <row r="1009" spans="1:16">
      <c r="A1009" s="93" t="s">
        <v>287</v>
      </c>
      <c r="C1009" s="92"/>
      <c r="D1009" s="92"/>
      <c r="E1009" s="92"/>
      <c r="F1009" s="155"/>
      <c r="G1009" s="120"/>
      <c r="H1009" s="96">
        <f>SUM(H993:H1008)</f>
        <v>9534277</v>
      </c>
      <c r="I1009" s="96">
        <f>SUM(I993:I1008)</f>
        <v>13707682</v>
      </c>
      <c r="J1009" s="92"/>
      <c r="K1009" s="155"/>
      <c r="L1009" s="120"/>
      <c r="M1009" s="96">
        <f>SUM(M993:M1008)</f>
        <v>14847846</v>
      </c>
    </row>
    <row r="1010" spans="1:16">
      <c r="A1010" s="129" t="s">
        <v>103</v>
      </c>
      <c r="B1010" s="130"/>
      <c r="C1010" s="92">
        <v>1360583</v>
      </c>
      <c r="D1010" s="92"/>
      <c r="E1010" s="92"/>
      <c r="F1010" s="131"/>
      <c r="G1010" s="9"/>
      <c r="H1010" s="96">
        <v>77340</v>
      </c>
      <c r="I1010" s="96"/>
      <c r="J1010" s="92"/>
      <c r="K1010" s="131"/>
      <c r="L1010" s="9"/>
      <c r="M1010" s="96"/>
      <c r="N1010" s="121"/>
      <c r="O1010" s="121"/>
      <c r="P1010" s="121"/>
    </row>
    <row r="1011" spans="1:16" ht="16.5" thickBot="1">
      <c r="A1011" s="133" t="s">
        <v>291</v>
      </c>
      <c r="B1011" s="134"/>
      <c r="C1011" s="135">
        <f>SUM(C996:C999,C1005:C1008,C1010)</f>
        <v>179791852</v>
      </c>
      <c r="D1011" s="135">
        <v>257413632.47723129</v>
      </c>
      <c r="E1011" s="135"/>
      <c r="F1011" s="134"/>
      <c r="G1011" s="134"/>
      <c r="H1011" s="136">
        <f>H990+H1009+H1010</f>
        <v>10280926</v>
      </c>
      <c r="I1011" s="136">
        <f>I990+I1009+I1010</f>
        <v>14652298</v>
      </c>
      <c r="J1011" s="135"/>
      <c r="K1011" s="134"/>
      <c r="L1011" s="134"/>
      <c r="M1011" s="136">
        <f>M990+M1009+M1010</f>
        <v>15817375</v>
      </c>
      <c r="O1011" s="72" t="s">
        <v>86</v>
      </c>
      <c r="P1011" s="121">
        <f>M1011/I1011-1</f>
        <v>7.9514967549800142E-2</v>
      </c>
    </row>
    <row r="1012" spans="1:16" ht="16.5" thickTop="1"/>
    <row r="1013" spans="1:16">
      <c r="A1013" s="90" t="s">
        <v>466</v>
      </c>
      <c r="C1013" s="92"/>
      <c r="D1013" s="92"/>
      <c r="E1013" s="92"/>
      <c r="F1013" s="150"/>
      <c r="G1013" s="150"/>
      <c r="J1013" s="92"/>
      <c r="K1013" s="150"/>
      <c r="L1013" s="150"/>
    </row>
    <row r="1014" spans="1:16">
      <c r="A1014" s="192" t="s">
        <v>275</v>
      </c>
      <c r="C1014" s="92"/>
      <c r="D1014" s="92"/>
      <c r="E1014" s="92"/>
      <c r="J1014" s="92"/>
    </row>
    <row r="1015" spans="1:16">
      <c r="A1015" s="93" t="s">
        <v>276</v>
      </c>
      <c r="B1015" s="177"/>
      <c r="C1015" s="92">
        <v>0</v>
      </c>
      <c r="D1015" s="92"/>
      <c r="E1015" s="92"/>
      <c r="F1015" s="95">
        <v>137</v>
      </c>
      <c r="G1015" s="95"/>
      <c r="H1015" s="96">
        <f t="shared" ref="H1015:I1017" si="245">ROUND($F1015*C1015,0)</f>
        <v>0</v>
      </c>
      <c r="I1015" s="96">
        <f t="shared" si="245"/>
        <v>0</v>
      </c>
      <c r="J1015" s="92"/>
      <c r="K1015" s="95">
        <f>K$883</f>
        <v>142</v>
      </c>
      <c r="L1015" s="95"/>
      <c r="M1015" s="96">
        <f>ROUND($K1015*D1015,0)</f>
        <v>0</v>
      </c>
    </row>
    <row r="1016" spans="1:16">
      <c r="A1016" s="93" t="s">
        <v>87</v>
      </c>
      <c r="C1016" s="92">
        <v>0</v>
      </c>
      <c r="D1016" s="92"/>
      <c r="E1016" s="92"/>
      <c r="F1016" s="95">
        <v>-0.5</v>
      </c>
      <c r="G1016" s="95"/>
      <c r="H1016" s="96">
        <f t="shared" si="245"/>
        <v>0</v>
      </c>
      <c r="I1016" s="96">
        <f t="shared" si="245"/>
        <v>0</v>
      </c>
      <c r="J1016" s="92"/>
      <c r="K1016" s="95">
        <f>K$884</f>
        <v>-0.5</v>
      </c>
      <c r="L1016" s="95"/>
      <c r="M1016" s="96">
        <f>ROUND($K1016*D1016,0)</f>
        <v>0</v>
      </c>
    </row>
    <row r="1017" spans="1:16">
      <c r="A1017" s="93" t="s">
        <v>278</v>
      </c>
      <c r="B1017" s="177"/>
      <c r="C1017" s="92">
        <v>0</v>
      </c>
      <c r="D1017" s="92"/>
      <c r="E1017" s="92"/>
      <c r="F1017" s="95">
        <v>5.75</v>
      </c>
      <c r="G1017" s="95"/>
      <c r="H1017" s="96">
        <f t="shared" si="245"/>
        <v>0</v>
      </c>
      <c r="I1017" s="96">
        <f t="shared" si="245"/>
        <v>0</v>
      </c>
      <c r="J1017" s="92"/>
      <c r="K1017" s="95">
        <f>K$885</f>
        <v>6.16</v>
      </c>
      <c r="L1017" s="95"/>
      <c r="M1017" s="96">
        <f>ROUND($K1017*D1017,0)</f>
        <v>0</v>
      </c>
    </row>
    <row r="1018" spans="1:16">
      <c r="A1018" s="93" t="s">
        <v>279</v>
      </c>
      <c r="B1018" s="177"/>
      <c r="C1018" s="92"/>
      <c r="D1018" s="92"/>
      <c r="E1018" s="92"/>
      <c r="F1018" s="147"/>
      <c r="G1018" s="147"/>
      <c r="H1018" s="96"/>
      <c r="I1018" s="96"/>
      <c r="J1018" s="92"/>
      <c r="K1018" s="147"/>
      <c r="L1018" s="147"/>
      <c r="M1018" s="96"/>
    </row>
    <row r="1019" spans="1:16">
      <c r="A1019" s="93" t="s">
        <v>280</v>
      </c>
      <c r="B1019" s="177"/>
      <c r="C1019" s="92"/>
      <c r="D1019" s="92"/>
      <c r="E1019" s="92"/>
      <c r="F1019" s="194"/>
      <c r="G1019" s="194"/>
      <c r="H1019" s="96"/>
      <c r="I1019" s="96"/>
      <c r="J1019" s="92"/>
      <c r="K1019" s="194"/>
      <c r="L1019" s="194"/>
      <c r="M1019" s="96"/>
    </row>
    <row r="1020" spans="1:16">
      <c r="A1020" s="93" t="s">
        <v>281</v>
      </c>
      <c r="B1020" s="177"/>
      <c r="C1020" s="92">
        <v>0</v>
      </c>
      <c r="D1020" s="92"/>
      <c r="E1020" s="92"/>
      <c r="F1020" s="194">
        <v>0.9</v>
      </c>
      <c r="G1020" s="194"/>
      <c r="H1020" s="96">
        <f>ROUND($F1020*C1020,0)</f>
        <v>0</v>
      </c>
      <c r="I1020" s="96">
        <f>ROUND($F1020*D1020,0)</f>
        <v>0</v>
      </c>
      <c r="J1020" s="92"/>
      <c r="K1020" s="194">
        <f>K$888</f>
        <v>0.75</v>
      </c>
      <c r="L1020" s="194"/>
      <c r="M1020" s="96">
        <f>ROUND($K1020*D1020,0)</f>
        <v>0</v>
      </c>
    </row>
    <row r="1021" spans="1:16">
      <c r="A1021" s="93" t="s">
        <v>282</v>
      </c>
      <c r="B1021" s="177"/>
      <c r="C1021" s="92">
        <v>0</v>
      </c>
      <c r="D1021" s="92"/>
      <c r="E1021" s="92"/>
      <c r="F1021" s="194">
        <v>0.8</v>
      </c>
      <c r="G1021" s="194"/>
      <c r="H1021" s="96">
        <f>ROUND($F1021*C1021,0)</f>
        <v>0</v>
      </c>
      <c r="I1021" s="96">
        <f>ROUND($F1021*D1021,0)</f>
        <v>0</v>
      </c>
      <c r="J1021" s="92"/>
      <c r="K1021" s="194">
        <f>K$889</f>
        <v>0.66</v>
      </c>
      <c r="L1021" s="194"/>
      <c r="M1021" s="96">
        <f>ROUND($K1021*D1021,0)</f>
        <v>0</v>
      </c>
    </row>
    <row r="1022" spans="1:16">
      <c r="A1022" s="93" t="s">
        <v>283</v>
      </c>
      <c r="B1022" s="177"/>
      <c r="C1022" s="92"/>
      <c r="D1022" s="92"/>
      <c r="E1022" s="92"/>
      <c r="F1022" s="195"/>
      <c r="G1022" s="195"/>
      <c r="H1022" s="96"/>
      <c r="I1022" s="96"/>
      <c r="J1022" s="92"/>
      <c r="K1022" s="195"/>
      <c r="L1022" s="195"/>
      <c r="M1022" s="96"/>
    </row>
    <row r="1023" spans="1:16">
      <c r="A1023" s="93" t="s">
        <v>281</v>
      </c>
      <c r="B1023" s="177"/>
      <c r="C1023" s="92">
        <v>0</v>
      </c>
      <c r="D1023" s="92"/>
      <c r="E1023" s="92"/>
      <c r="F1023" s="195">
        <v>0.45</v>
      </c>
      <c r="G1023" s="195"/>
      <c r="H1023" s="96">
        <f>ROUND($F1023*C1023,0)</f>
        <v>0</v>
      </c>
      <c r="I1023" s="96">
        <f>ROUND($F1023*D1023,0)</f>
        <v>0</v>
      </c>
      <c r="J1023" s="92"/>
      <c r="K1023" s="194">
        <f>K$891</f>
        <v>0.375</v>
      </c>
      <c r="L1023" s="195"/>
      <c r="M1023" s="96">
        <f>ROUND($K1023*D1023,0)</f>
        <v>0</v>
      </c>
    </row>
    <row r="1024" spans="1:16">
      <c r="A1024" s="93" t="s">
        <v>282</v>
      </c>
      <c r="B1024" s="177"/>
      <c r="C1024" s="92">
        <v>0</v>
      </c>
      <c r="D1024" s="92"/>
      <c r="E1024" s="92"/>
      <c r="F1024" s="195">
        <v>0.4</v>
      </c>
      <c r="G1024" s="195"/>
      <c r="H1024" s="96">
        <f>ROUND($F1024*C1024,0)</f>
        <v>0</v>
      </c>
      <c r="I1024" s="96">
        <f>ROUND($F1024*D1024,0)</f>
        <v>0</v>
      </c>
      <c r="J1024" s="92"/>
      <c r="K1024" s="194">
        <f>K$892</f>
        <v>0.33</v>
      </c>
      <c r="L1024" s="195"/>
      <c r="M1024" s="96">
        <f>ROUND($K1024*D1024,0)</f>
        <v>0</v>
      </c>
    </row>
    <row r="1025" spans="1:13">
      <c r="A1025" s="93" t="s">
        <v>284</v>
      </c>
      <c r="B1025" s="177"/>
      <c r="C1025" s="92"/>
      <c r="D1025" s="92"/>
      <c r="E1025" s="92"/>
      <c r="F1025" s="95"/>
      <c r="G1025" s="95"/>
      <c r="H1025" s="96"/>
      <c r="I1025" s="96"/>
      <c r="J1025" s="92"/>
      <c r="K1025" s="95"/>
      <c r="L1025" s="95"/>
      <c r="M1025" s="96"/>
    </row>
    <row r="1026" spans="1:13">
      <c r="A1026" s="93" t="s">
        <v>281</v>
      </c>
      <c r="B1026" s="177"/>
      <c r="C1026" s="92">
        <v>0</v>
      </c>
      <c r="D1026" s="92"/>
      <c r="E1026" s="92"/>
      <c r="F1026" s="95">
        <v>41.89</v>
      </c>
      <c r="G1026" s="95"/>
      <c r="H1026" s="96">
        <f>ROUND($F1026*C1026,0)</f>
        <v>0</v>
      </c>
      <c r="I1026" s="96">
        <f>ROUND($F1026*D1026,0)</f>
        <v>0</v>
      </c>
      <c r="J1026" s="92"/>
      <c r="K1026" s="194">
        <f>K$894</f>
        <v>43.98</v>
      </c>
      <c r="L1026" s="95"/>
      <c r="M1026" s="96">
        <f>ROUND($K1026*D1026,0)</f>
        <v>0</v>
      </c>
    </row>
    <row r="1027" spans="1:13">
      <c r="A1027" s="93" t="s">
        <v>282</v>
      </c>
      <c r="B1027" s="177"/>
      <c r="C1027" s="92">
        <v>0</v>
      </c>
      <c r="D1027" s="92"/>
      <c r="E1027" s="92"/>
      <c r="F1027" s="95">
        <v>37.07</v>
      </c>
      <c r="G1027" s="95"/>
      <c r="H1027" s="96">
        <f>ROUND($F1027*C1027,0)</f>
        <v>0</v>
      </c>
      <c r="I1027" s="96">
        <f>ROUND($F1027*D1027,0)</f>
        <v>0</v>
      </c>
      <c r="J1027" s="92"/>
      <c r="K1027" s="194">
        <f>K$895</f>
        <v>40.1</v>
      </c>
      <c r="L1027" s="95"/>
      <c r="M1027" s="96">
        <f>ROUND($K1027*D1027,0)</f>
        <v>0</v>
      </c>
    </row>
    <row r="1028" spans="1:13">
      <c r="A1028" s="192" t="s">
        <v>285</v>
      </c>
      <c r="C1028" s="92"/>
      <c r="D1028" s="92"/>
      <c r="E1028" s="92"/>
      <c r="J1028" s="92"/>
    </row>
    <row r="1029" spans="1:13">
      <c r="A1029" s="93" t="s">
        <v>276</v>
      </c>
      <c r="C1029" s="92">
        <v>0</v>
      </c>
      <c r="D1029" s="92"/>
      <c r="E1029" s="92"/>
      <c r="F1029" s="95">
        <v>621</v>
      </c>
      <c r="G1029" s="95"/>
      <c r="H1029" s="96">
        <f t="shared" ref="H1029:I1031" si="246">ROUND($F1029*C1029,0)</f>
        <v>0</v>
      </c>
      <c r="I1029" s="96">
        <f t="shared" si="246"/>
        <v>0</v>
      </c>
      <c r="J1029" s="92"/>
      <c r="K1029" s="95">
        <f>K$897</f>
        <v>626</v>
      </c>
      <c r="L1029" s="95"/>
      <c r="M1029" s="96">
        <f>ROUND($K1029*D1029,0)</f>
        <v>0</v>
      </c>
    </row>
    <row r="1030" spans="1:13">
      <c r="A1030" s="93" t="s">
        <v>87</v>
      </c>
      <c r="C1030" s="92">
        <v>0</v>
      </c>
      <c r="D1030" s="92"/>
      <c r="E1030" s="92"/>
      <c r="F1030" s="95">
        <v>-0.5</v>
      </c>
      <c r="G1030" s="95"/>
      <c r="H1030" s="96">
        <f t="shared" si="246"/>
        <v>0</v>
      </c>
      <c r="I1030" s="96">
        <f t="shared" si="246"/>
        <v>0</v>
      </c>
      <c r="J1030" s="92"/>
      <c r="K1030" s="95">
        <f>K$898</f>
        <v>-0.5</v>
      </c>
      <c r="L1030" s="95"/>
      <c r="M1030" s="96">
        <f>ROUND($K1030*D1030,0)</f>
        <v>0</v>
      </c>
    </row>
    <row r="1031" spans="1:13">
      <c r="A1031" s="93" t="s">
        <v>278</v>
      </c>
      <c r="C1031" s="92">
        <v>0</v>
      </c>
      <c r="D1031" s="92"/>
      <c r="E1031" s="92"/>
      <c r="F1031" s="95">
        <v>4.58</v>
      </c>
      <c r="G1031" s="95"/>
      <c r="H1031" s="96">
        <f t="shared" si="246"/>
        <v>0</v>
      </c>
      <c r="I1031" s="96">
        <f t="shared" si="246"/>
        <v>0</v>
      </c>
      <c r="J1031" s="92"/>
      <c r="K1031" s="95">
        <f>K$899</f>
        <v>4.91</v>
      </c>
      <c r="L1031" s="95"/>
      <c r="M1031" s="96">
        <f>ROUND($K1031*D1031,0)</f>
        <v>0</v>
      </c>
    </row>
    <row r="1032" spans="1:13">
      <c r="A1032" s="93" t="s">
        <v>279</v>
      </c>
      <c r="C1032" s="92"/>
      <c r="D1032" s="92"/>
      <c r="E1032" s="92"/>
      <c r="F1032" s="95"/>
      <c r="G1032" s="95"/>
      <c r="H1032" s="96"/>
      <c r="I1032" s="96"/>
      <c r="J1032" s="92"/>
      <c r="K1032" s="95"/>
      <c r="L1032" s="95"/>
      <c r="M1032" s="96"/>
    </row>
    <row r="1033" spans="1:13">
      <c r="A1033" s="93" t="s">
        <v>280</v>
      </c>
      <c r="C1033" s="92"/>
      <c r="D1033" s="92"/>
      <c r="E1033" s="92"/>
      <c r="F1033" s="194"/>
      <c r="G1033" s="194"/>
      <c r="H1033" s="96"/>
      <c r="I1033" s="96"/>
      <c r="J1033" s="92"/>
      <c r="K1033" s="194"/>
      <c r="L1033" s="194"/>
      <c r="M1033" s="96"/>
    </row>
    <row r="1034" spans="1:13">
      <c r="A1034" s="93" t="s">
        <v>281</v>
      </c>
      <c r="B1034" s="177"/>
      <c r="C1034" s="92">
        <v>0</v>
      </c>
      <c r="D1034" s="92"/>
      <c r="E1034" s="92"/>
      <c r="F1034" s="194">
        <v>0.88</v>
      </c>
      <c r="G1034" s="194"/>
      <c r="H1034" s="96">
        <f>ROUND($F1034*C1034,0)</f>
        <v>0</v>
      </c>
      <c r="I1034" s="96">
        <f>ROUND($F1034*D1034,0)</f>
        <v>0</v>
      </c>
      <c r="J1034" s="92"/>
      <c r="K1034" s="194">
        <f>K$902</f>
        <v>0.76</v>
      </c>
      <c r="L1034" s="194"/>
      <c r="M1034" s="96">
        <f>ROUND($K1034*D1034,0)</f>
        <v>0</v>
      </c>
    </row>
    <row r="1035" spans="1:13">
      <c r="A1035" s="93" t="s">
        <v>282</v>
      </c>
      <c r="B1035" s="177"/>
      <c r="C1035" s="92">
        <v>0</v>
      </c>
      <c r="D1035" s="92"/>
      <c r="E1035" s="92"/>
      <c r="F1035" s="194">
        <v>0.78</v>
      </c>
      <c r="G1035" s="194"/>
      <c r="H1035" s="96">
        <f>ROUND($F1035*C1035,0)</f>
        <v>0</v>
      </c>
      <c r="I1035" s="96">
        <f>ROUND($F1035*D1035,0)</f>
        <v>0</v>
      </c>
      <c r="J1035" s="92"/>
      <c r="K1035" s="194">
        <f>K$903</f>
        <v>0.67</v>
      </c>
      <c r="L1035" s="194"/>
      <c r="M1035" s="96">
        <f>ROUND($K1035*D1035,0)</f>
        <v>0</v>
      </c>
    </row>
    <row r="1036" spans="1:13">
      <c r="A1036" s="93" t="s">
        <v>283</v>
      </c>
      <c r="C1036" s="92"/>
      <c r="D1036" s="92"/>
      <c r="E1036" s="92"/>
      <c r="F1036" s="195"/>
      <c r="G1036" s="195"/>
      <c r="H1036" s="96"/>
      <c r="I1036" s="96"/>
      <c r="J1036" s="92"/>
      <c r="K1036" s="195"/>
      <c r="L1036" s="195"/>
      <c r="M1036" s="96"/>
    </row>
    <row r="1037" spans="1:13">
      <c r="A1037" s="93" t="s">
        <v>281</v>
      </c>
      <c r="B1037" s="177"/>
      <c r="C1037" s="92">
        <v>0</v>
      </c>
      <c r="D1037" s="92"/>
      <c r="E1037" s="92"/>
      <c r="F1037" s="195">
        <v>0.44</v>
      </c>
      <c r="G1037" s="195"/>
      <c r="H1037" s="96">
        <f>ROUND($F1037*C1037,0)</f>
        <v>0</v>
      </c>
      <c r="I1037" s="96">
        <f>ROUND($F1037*D1037,0)</f>
        <v>0</v>
      </c>
      <c r="J1037" s="92"/>
      <c r="K1037" s="194">
        <f>K$905</f>
        <v>0.38</v>
      </c>
      <c r="L1037" s="195"/>
      <c r="M1037" s="96">
        <f>ROUND($K1037*D1037,0)</f>
        <v>0</v>
      </c>
    </row>
    <row r="1038" spans="1:13">
      <c r="A1038" s="93" t="s">
        <v>282</v>
      </c>
      <c r="B1038" s="177"/>
      <c r="C1038" s="92">
        <v>0</v>
      </c>
      <c r="D1038" s="92"/>
      <c r="E1038" s="92"/>
      <c r="F1038" s="195">
        <v>0.39</v>
      </c>
      <c r="G1038" s="195"/>
      <c r="H1038" s="96">
        <f>ROUND($F1038*C1038,0)</f>
        <v>0</v>
      </c>
      <c r="I1038" s="96">
        <f>ROUND($F1038*D1038,0)</f>
        <v>0</v>
      </c>
      <c r="J1038" s="92"/>
      <c r="K1038" s="194">
        <f>K$906</f>
        <v>0.33500000000000002</v>
      </c>
      <c r="L1038" s="195"/>
      <c r="M1038" s="96">
        <f>ROUND($K1038*D1038,0)</f>
        <v>0</v>
      </c>
    </row>
    <row r="1039" spans="1:13">
      <c r="A1039" s="93" t="s">
        <v>284</v>
      </c>
      <c r="C1039" s="92"/>
      <c r="D1039" s="92"/>
      <c r="E1039" s="92"/>
      <c r="F1039" s="95"/>
      <c r="G1039" s="95"/>
      <c r="H1039" s="96"/>
      <c r="I1039" s="96"/>
      <c r="J1039" s="92"/>
      <c r="K1039" s="95"/>
      <c r="L1039" s="95"/>
      <c r="M1039" s="96"/>
    </row>
    <row r="1040" spans="1:13">
      <c r="A1040" s="93" t="s">
        <v>281</v>
      </c>
      <c r="B1040" s="177"/>
      <c r="C1040" s="92">
        <v>0</v>
      </c>
      <c r="D1040" s="92"/>
      <c r="E1040" s="92"/>
      <c r="F1040" s="95">
        <v>39.56</v>
      </c>
      <c r="G1040" s="95"/>
      <c r="H1040" s="96">
        <f>ROUND($F1040*C1040,0)</f>
        <v>0</v>
      </c>
      <c r="I1040" s="96">
        <f>ROUND($F1040*D1040,0)</f>
        <v>0</v>
      </c>
      <c r="J1040" s="92"/>
      <c r="K1040" s="194">
        <f>K$908</f>
        <v>41.72</v>
      </c>
      <c r="L1040" s="95"/>
      <c r="M1040" s="96">
        <f>ROUND($K1040*D1040,0)</f>
        <v>0</v>
      </c>
    </row>
    <row r="1041" spans="1:13">
      <c r="A1041" s="93" t="s">
        <v>282</v>
      </c>
      <c r="B1041" s="177"/>
      <c r="C1041" s="92">
        <v>0</v>
      </c>
      <c r="D1041" s="92"/>
      <c r="E1041" s="92"/>
      <c r="F1041" s="95">
        <v>35.01</v>
      </c>
      <c r="G1041" s="95"/>
      <c r="H1041" s="96">
        <f>ROUND($F1041*C1041,0)</f>
        <v>0</v>
      </c>
      <c r="I1041" s="96">
        <f>ROUND($F1041*D1041,0)</f>
        <v>0</v>
      </c>
      <c r="J1041" s="92"/>
      <c r="K1041" s="194">
        <f>K$909</f>
        <v>37.840000000000003</v>
      </c>
      <c r="L1041" s="95"/>
      <c r="M1041" s="96">
        <f>ROUND($K1041*D1041,0)</f>
        <v>0</v>
      </c>
    </row>
    <row r="1042" spans="1:13">
      <c r="A1042" s="192" t="s">
        <v>286</v>
      </c>
      <c r="C1042" s="92"/>
      <c r="D1042" s="92"/>
      <c r="E1042" s="92"/>
      <c r="J1042" s="92"/>
    </row>
    <row r="1043" spans="1:13">
      <c r="A1043" s="93" t="s">
        <v>276</v>
      </c>
      <c r="C1043" s="92">
        <v>36</v>
      </c>
      <c r="D1043" s="92">
        <v>36</v>
      </c>
      <c r="E1043" s="92"/>
      <c r="F1043" s="95">
        <v>696</v>
      </c>
      <c r="G1043" s="95"/>
      <c r="H1043" s="96">
        <f t="shared" ref="H1043:I1045" si="247">ROUND($F1043*C1043,0)</f>
        <v>25056</v>
      </c>
      <c r="I1043" s="96">
        <f t="shared" si="247"/>
        <v>25056</v>
      </c>
      <c r="J1043" s="92"/>
      <c r="K1043" s="95">
        <f>K$911</f>
        <v>829</v>
      </c>
      <c r="L1043" s="95"/>
      <c r="M1043" s="96">
        <f>ROUND($K1043*D1043,0)</f>
        <v>29844</v>
      </c>
    </row>
    <row r="1044" spans="1:13">
      <c r="A1044" s="93" t="s">
        <v>87</v>
      </c>
      <c r="C1044" s="92">
        <v>36</v>
      </c>
      <c r="D1044" s="92">
        <v>25.023355779832894</v>
      </c>
      <c r="E1044" s="92"/>
      <c r="F1044" s="95">
        <v>-0.5</v>
      </c>
      <c r="G1044" s="95"/>
      <c r="H1044" s="96">
        <f t="shared" si="247"/>
        <v>-18</v>
      </c>
      <c r="I1044" s="96">
        <f t="shared" si="247"/>
        <v>-13</v>
      </c>
      <c r="J1044" s="92"/>
      <c r="K1044" s="95">
        <f>K$912</f>
        <v>-0.5</v>
      </c>
      <c r="L1044" s="95"/>
      <c r="M1044" s="96">
        <f>ROUND($K1044*D1044,0)</f>
        <v>-13</v>
      </c>
    </row>
    <row r="1045" spans="1:13">
      <c r="A1045" s="93" t="s">
        <v>278</v>
      </c>
      <c r="C1045" s="92">
        <v>222000</v>
      </c>
      <c r="D1045" s="92">
        <f>ROUND($C1045*D$1077/$C$1077,0)</f>
        <v>115670</v>
      </c>
      <c r="E1045" s="92"/>
      <c r="F1045" s="95">
        <v>2.7</v>
      </c>
      <c r="G1045" s="95"/>
      <c r="H1045" s="96">
        <f t="shared" si="247"/>
        <v>599400</v>
      </c>
      <c r="I1045" s="96">
        <f t="shared" si="247"/>
        <v>312309</v>
      </c>
      <c r="J1045" s="92"/>
      <c r="K1045" s="95">
        <f>K$913</f>
        <v>3.16</v>
      </c>
      <c r="L1045" s="95"/>
      <c r="M1045" s="96">
        <f>ROUND($K1045*D1045,0)</f>
        <v>365517</v>
      </c>
    </row>
    <row r="1046" spans="1:13">
      <c r="A1046" s="93" t="s">
        <v>279</v>
      </c>
      <c r="C1046" s="92"/>
      <c r="D1046" s="92"/>
      <c r="E1046" s="92"/>
      <c r="F1046" s="147"/>
      <c r="G1046" s="147"/>
      <c r="H1046" s="96"/>
      <c r="I1046" s="96"/>
      <c r="J1046" s="92"/>
      <c r="K1046" s="147"/>
      <c r="L1046" s="147"/>
      <c r="M1046" s="96"/>
    </row>
    <row r="1047" spans="1:13">
      <c r="A1047" s="93" t="s">
        <v>280</v>
      </c>
      <c r="C1047" s="92"/>
      <c r="D1047" s="92"/>
      <c r="E1047" s="92"/>
      <c r="F1047" s="194"/>
      <c r="G1047" s="194"/>
      <c r="H1047" s="96"/>
      <c r="I1047" s="96"/>
      <c r="J1047" s="92"/>
      <c r="K1047" s="194"/>
      <c r="L1047" s="194"/>
      <c r="M1047" s="96"/>
    </row>
    <row r="1048" spans="1:13">
      <c r="A1048" s="93" t="s">
        <v>281</v>
      </c>
      <c r="B1048" s="177"/>
      <c r="C1048" s="92">
        <v>1093951</v>
      </c>
      <c r="D1048" s="92">
        <f>ROUND($C1048*D$1077/$C$1077,0)</f>
        <v>569990</v>
      </c>
      <c r="E1048" s="92"/>
      <c r="F1048" s="194">
        <v>0.78</v>
      </c>
      <c r="G1048" s="194"/>
      <c r="H1048" s="96">
        <f>ROUND($F1048*C1048,0)</f>
        <v>853282</v>
      </c>
      <c r="I1048" s="96">
        <f>ROUND($F1048*D1048,0)</f>
        <v>444592</v>
      </c>
      <c r="J1048" s="92"/>
      <c r="K1048" s="194">
        <f>K$916</f>
        <v>0.71</v>
      </c>
      <c r="L1048" s="194"/>
      <c r="M1048" s="96">
        <f>ROUND($K1048*D1048,0)</f>
        <v>404693</v>
      </c>
    </row>
    <row r="1049" spans="1:13">
      <c r="A1049" s="93" t="s">
        <v>282</v>
      </c>
      <c r="B1049" s="177"/>
      <c r="C1049" s="92">
        <v>1476179</v>
      </c>
      <c r="D1049" s="92">
        <f>ROUND($C1049*D$1077/$C$1077,0)</f>
        <v>769146</v>
      </c>
      <c r="E1049" s="92"/>
      <c r="F1049" s="194">
        <v>0.69</v>
      </c>
      <c r="G1049" s="194"/>
      <c r="H1049" s="96">
        <f>ROUND($F1049*C1049,0)</f>
        <v>1018564</v>
      </c>
      <c r="I1049" s="96">
        <f>ROUND($F1049*D1049,0)</f>
        <v>530711</v>
      </c>
      <c r="J1049" s="92"/>
      <c r="K1049" s="194">
        <f>K$917</f>
        <v>0.62</v>
      </c>
      <c r="L1049" s="194"/>
      <c r="M1049" s="96">
        <f>ROUND($K1049*D1049,0)</f>
        <v>476871</v>
      </c>
    </row>
    <row r="1050" spans="1:13">
      <c r="A1050" s="93" t="s">
        <v>283</v>
      </c>
      <c r="C1050" s="92"/>
      <c r="D1050" s="92"/>
      <c r="E1050" s="92"/>
      <c r="F1050" s="195"/>
      <c r="G1050" s="195"/>
      <c r="H1050" s="96"/>
      <c r="I1050" s="96"/>
      <c r="J1050" s="92"/>
      <c r="K1050" s="195"/>
      <c r="L1050" s="195"/>
      <c r="M1050" s="96"/>
    </row>
    <row r="1051" spans="1:13">
      <c r="A1051" s="93" t="s">
        <v>281</v>
      </c>
      <c r="B1051" s="177"/>
      <c r="C1051" s="92">
        <v>0</v>
      </c>
      <c r="D1051" s="92">
        <f>ROUND($C1051*D$1077/$C$1077,0)</f>
        <v>0</v>
      </c>
      <c r="E1051" s="92"/>
      <c r="F1051" s="195">
        <v>0.39</v>
      </c>
      <c r="G1051" s="195"/>
      <c r="H1051" s="96">
        <f>ROUND($F1051*C1051,0)</f>
        <v>0</v>
      </c>
      <c r="I1051" s="96">
        <f>ROUND($F1051*D1051,0)</f>
        <v>0</v>
      </c>
      <c r="J1051" s="92"/>
      <c r="K1051" s="194">
        <f>K$919</f>
        <v>0.35499999999999998</v>
      </c>
      <c r="L1051" s="195"/>
      <c r="M1051" s="96">
        <f>ROUND($K1051*D1051,0)</f>
        <v>0</v>
      </c>
    </row>
    <row r="1052" spans="1:13">
      <c r="A1052" s="93" t="s">
        <v>282</v>
      </c>
      <c r="B1052" s="177"/>
      <c r="C1052" s="92">
        <v>0</v>
      </c>
      <c r="D1052" s="92">
        <f>ROUND($C1052*D$1077/$C$1077,0)</f>
        <v>0</v>
      </c>
      <c r="E1052" s="92"/>
      <c r="F1052" s="195">
        <v>0.34499999999999997</v>
      </c>
      <c r="G1052" s="195"/>
      <c r="H1052" s="96">
        <f>ROUND($F1052*C1052,0)</f>
        <v>0</v>
      </c>
      <c r="I1052" s="96">
        <f>ROUND($F1052*D1052,0)</f>
        <v>0</v>
      </c>
      <c r="J1052" s="92"/>
      <c r="K1052" s="194">
        <f>K$920</f>
        <v>0.31</v>
      </c>
      <c r="L1052" s="195"/>
      <c r="M1052" s="96">
        <f>ROUND($K1052*D1052,0)</f>
        <v>0</v>
      </c>
    </row>
    <row r="1053" spans="1:13">
      <c r="A1053" s="93" t="s">
        <v>284</v>
      </c>
      <c r="C1053" s="92"/>
      <c r="D1053" s="92"/>
      <c r="E1053" s="92"/>
      <c r="F1053" s="95"/>
      <c r="G1053" s="95"/>
      <c r="H1053" s="96"/>
      <c r="I1053" s="96"/>
      <c r="J1053" s="92"/>
      <c r="K1053" s="95"/>
      <c r="L1053" s="95"/>
      <c r="M1053" s="96"/>
    </row>
    <row r="1054" spans="1:13">
      <c r="A1054" s="93" t="s">
        <v>281</v>
      </c>
      <c r="B1054" s="177"/>
      <c r="C1054" s="92">
        <v>20</v>
      </c>
      <c r="D1054" s="92">
        <f>ROUND($C1054*D$1077/$C$1077,0)</f>
        <v>10</v>
      </c>
      <c r="E1054" s="92"/>
      <c r="F1054" s="95">
        <v>33.21</v>
      </c>
      <c r="G1054" s="95"/>
      <c r="H1054" s="96">
        <f>ROUND($F1054*C1054,0)</f>
        <v>664</v>
      </c>
      <c r="I1054" s="96">
        <f>ROUND($F1054*D1054,0)</f>
        <v>332</v>
      </c>
      <c r="J1054" s="92"/>
      <c r="K1054" s="194">
        <f>K$922</f>
        <v>36.020000000000003</v>
      </c>
      <c r="L1054" s="95"/>
      <c r="M1054" s="96">
        <f>ROUND($K1054*D1054,0)</f>
        <v>360</v>
      </c>
    </row>
    <row r="1055" spans="1:13">
      <c r="A1055" s="93" t="s">
        <v>282</v>
      </c>
      <c r="B1055" s="177"/>
      <c r="C1055" s="92">
        <v>48</v>
      </c>
      <c r="D1055" s="92">
        <f>ROUND($C1055*D$1077/$C$1077,0)</f>
        <v>25</v>
      </c>
      <c r="E1055" s="92"/>
      <c r="F1055" s="95">
        <v>29.39</v>
      </c>
      <c r="G1055" s="95"/>
      <c r="H1055" s="96">
        <f>ROUND($F1055*C1055,0)</f>
        <v>1411</v>
      </c>
      <c r="I1055" s="96">
        <f>ROUND($F1055*D1055,0)</f>
        <v>735</v>
      </c>
      <c r="J1055" s="92"/>
      <c r="K1055" s="194">
        <f>K$923</f>
        <v>32.44</v>
      </c>
      <c r="L1055" s="95"/>
      <c r="M1055" s="96">
        <f>ROUND($K1055*D1055,0)</f>
        <v>811</v>
      </c>
    </row>
    <row r="1056" spans="1:13">
      <c r="A1056" s="93" t="s">
        <v>287</v>
      </c>
      <c r="C1056" s="187"/>
      <c r="D1056" s="187"/>
      <c r="E1056" s="94"/>
      <c r="F1056" s="150"/>
      <c r="G1056" s="150"/>
      <c r="H1056" s="185">
        <f>SUM(H1015:H1055)</f>
        <v>2498359</v>
      </c>
      <c r="I1056" s="185">
        <f>SUM(I1015:I1055)</f>
        <v>1313722</v>
      </c>
      <c r="J1056" s="94"/>
      <c r="K1056" s="150"/>
      <c r="L1056" s="150"/>
      <c r="M1056" s="185">
        <f>SUM(M1015:M1055)</f>
        <v>1278083</v>
      </c>
    </row>
    <row r="1057" spans="1:13">
      <c r="A1057" s="192" t="s">
        <v>288</v>
      </c>
    </row>
    <row r="1058" spans="1:13">
      <c r="A1058" s="90" t="s">
        <v>292</v>
      </c>
      <c r="C1058" s="92"/>
      <c r="D1058" s="92"/>
      <c r="E1058" s="92"/>
      <c r="F1058" s="147"/>
      <c r="G1058" s="147"/>
      <c r="H1058" s="96"/>
      <c r="I1058" s="96"/>
      <c r="J1058" s="92"/>
      <c r="K1058" s="147"/>
      <c r="L1058" s="147"/>
      <c r="M1058" s="96"/>
    </row>
    <row r="1059" spans="1:13">
      <c r="A1059" s="93" t="s">
        <v>122</v>
      </c>
      <c r="C1059" s="92">
        <v>0</v>
      </c>
      <c r="D1059" s="92"/>
      <c r="E1059" s="92"/>
      <c r="F1059" s="147">
        <v>4.8099999999999996</v>
      </c>
      <c r="G1059" s="147"/>
      <c r="H1059" s="96">
        <f t="shared" ref="H1059:I1061" si="248">ROUND($F1059*C1059,0)</f>
        <v>0</v>
      </c>
      <c r="I1059" s="96">
        <f t="shared" si="248"/>
        <v>0</v>
      </c>
      <c r="J1059" s="92"/>
      <c r="K1059" s="147">
        <f>K$927</f>
        <v>5.15</v>
      </c>
      <c r="L1059" s="147"/>
      <c r="M1059" s="96">
        <f>ROUND($K1059*D1059,0)</f>
        <v>0</v>
      </c>
    </row>
    <row r="1060" spans="1:13">
      <c r="A1060" s="93" t="s">
        <v>156</v>
      </c>
      <c r="C1060" s="92">
        <v>0</v>
      </c>
      <c r="D1060" s="92"/>
      <c r="E1060" s="92"/>
      <c r="F1060" s="147">
        <v>15.73</v>
      </c>
      <c r="G1060" s="147"/>
      <c r="H1060" s="96">
        <f t="shared" si="248"/>
        <v>0</v>
      </c>
      <c r="I1060" s="96">
        <f t="shared" si="248"/>
        <v>0</v>
      </c>
      <c r="J1060" s="92"/>
      <c r="K1060" s="147">
        <f>K$928</f>
        <v>16.84</v>
      </c>
      <c r="L1060" s="147"/>
      <c r="M1060" s="96">
        <f>ROUND($K1060*D1060,0)</f>
        <v>0</v>
      </c>
    </row>
    <row r="1061" spans="1:13">
      <c r="A1061" s="93" t="s">
        <v>157</v>
      </c>
      <c r="C1061" s="92">
        <v>0</v>
      </c>
      <c r="D1061" s="92"/>
      <c r="E1061" s="92"/>
      <c r="F1061" s="147">
        <v>13.92</v>
      </c>
      <c r="G1061" s="147"/>
      <c r="H1061" s="96">
        <f t="shared" si="248"/>
        <v>0</v>
      </c>
      <c r="I1061" s="96">
        <f t="shared" si="248"/>
        <v>0</v>
      </c>
      <c r="J1061" s="92"/>
      <c r="K1061" s="147">
        <f>K$929</f>
        <v>14.9</v>
      </c>
      <c r="L1061" s="147"/>
      <c r="M1061" s="96">
        <f>ROUND($K1061*D1061,0)</f>
        <v>0</v>
      </c>
    </row>
    <row r="1062" spans="1:13">
      <c r="A1062" s="93" t="s">
        <v>89</v>
      </c>
      <c r="C1062" s="92">
        <v>0</v>
      </c>
      <c r="D1062" s="92"/>
      <c r="E1062" s="92"/>
      <c r="F1062" s="150">
        <v>5.8281999999999998</v>
      </c>
      <c r="G1062" s="120" t="s">
        <v>90</v>
      </c>
      <c r="H1062" s="96">
        <f t="shared" ref="H1062:I1065" si="249">ROUND($F1062*C1062/100,0)</f>
        <v>0</v>
      </c>
      <c r="I1062" s="96">
        <f t="shared" si="249"/>
        <v>0</v>
      </c>
      <c r="J1062" s="92"/>
      <c r="K1062" s="150">
        <f>K$930</f>
        <v>6.2394999999999996</v>
      </c>
      <c r="L1062" s="120" t="s">
        <v>90</v>
      </c>
      <c r="M1062" s="96">
        <f>ROUND($K1062*D1062/100,0)</f>
        <v>0</v>
      </c>
    </row>
    <row r="1063" spans="1:13">
      <c r="A1063" s="93" t="s">
        <v>92</v>
      </c>
      <c r="C1063" s="92">
        <v>0</v>
      </c>
      <c r="D1063" s="92"/>
      <c r="E1063" s="92"/>
      <c r="F1063" s="150">
        <v>2.9624000000000001</v>
      </c>
      <c r="G1063" s="120" t="s">
        <v>90</v>
      </c>
      <c r="H1063" s="96">
        <f t="shared" si="249"/>
        <v>0</v>
      </c>
      <c r="I1063" s="96">
        <f t="shared" si="249"/>
        <v>0</v>
      </c>
      <c r="J1063" s="92"/>
      <c r="K1063" s="150">
        <f>K$931</f>
        <v>3.1714000000000002</v>
      </c>
      <c r="L1063" s="120" t="s">
        <v>90</v>
      </c>
      <c r="M1063" s="96">
        <f>ROUND($K1063*D1063/100,0)</f>
        <v>0</v>
      </c>
    </row>
    <row r="1064" spans="1:13">
      <c r="A1064" s="93" t="s">
        <v>159</v>
      </c>
      <c r="C1064" s="92">
        <v>0</v>
      </c>
      <c r="D1064" s="92"/>
      <c r="E1064" s="92"/>
      <c r="F1064" s="150">
        <v>5.1577000000000002</v>
      </c>
      <c r="G1064" s="120" t="s">
        <v>90</v>
      </c>
      <c r="H1064" s="96">
        <f t="shared" si="249"/>
        <v>0</v>
      </c>
      <c r="I1064" s="96">
        <f t="shared" si="249"/>
        <v>0</v>
      </c>
      <c r="J1064" s="92"/>
      <c r="K1064" s="150">
        <f>K$932</f>
        <v>5.5217000000000001</v>
      </c>
      <c r="L1064" s="120" t="s">
        <v>90</v>
      </c>
      <c r="M1064" s="96">
        <f>ROUND($K1064*D1064/100,0)</f>
        <v>0</v>
      </c>
    </row>
    <row r="1065" spans="1:13">
      <c r="A1065" s="93" t="s">
        <v>161</v>
      </c>
      <c r="C1065" s="92">
        <v>0</v>
      </c>
      <c r="D1065" s="92"/>
      <c r="E1065" s="92"/>
      <c r="F1065" s="150">
        <v>2.6215999999999999</v>
      </c>
      <c r="G1065" s="120" t="s">
        <v>90</v>
      </c>
      <c r="H1065" s="96">
        <f t="shared" si="249"/>
        <v>0</v>
      </c>
      <c r="I1065" s="96">
        <f t="shared" si="249"/>
        <v>0</v>
      </c>
      <c r="J1065" s="92"/>
      <c r="K1065" s="150">
        <f>K$933</f>
        <v>2.8069999999999999</v>
      </c>
      <c r="L1065" s="120" t="s">
        <v>90</v>
      </c>
      <c r="M1065" s="96">
        <f>ROUND($K1065*D1065/100,0)</f>
        <v>0</v>
      </c>
    </row>
    <row r="1066" spans="1:13">
      <c r="A1066" s="93" t="s">
        <v>128</v>
      </c>
      <c r="C1066" s="92">
        <v>0</v>
      </c>
      <c r="D1066" s="92"/>
      <c r="E1066" s="92"/>
      <c r="F1066" s="147">
        <v>-1.1299999999999999</v>
      </c>
      <c r="G1066" s="147"/>
      <c r="H1066" s="96">
        <f>ROUND($F1066*C1066,0)</f>
        <v>0</v>
      </c>
      <c r="I1066" s="96">
        <f>ROUND($F1066*D1066,0)</f>
        <v>0</v>
      </c>
      <c r="J1066" s="92"/>
      <c r="K1066" s="147">
        <f>K$934</f>
        <v>-1.1299999999999999</v>
      </c>
      <c r="L1066" s="147"/>
      <c r="M1066" s="96">
        <f>ROUND($K1066*D1066,0)</f>
        <v>0</v>
      </c>
    </row>
    <row r="1067" spans="1:13">
      <c r="A1067" s="90" t="s">
        <v>448</v>
      </c>
      <c r="C1067" s="92"/>
      <c r="D1067" s="92"/>
      <c r="E1067" s="92"/>
      <c r="F1067" s="147"/>
      <c r="G1067" s="147"/>
      <c r="H1067" s="96"/>
      <c r="I1067" s="96"/>
      <c r="J1067" s="92"/>
      <c r="K1067" s="147"/>
      <c r="L1067" s="147"/>
      <c r="M1067" s="96"/>
    </row>
    <row r="1068" spans="1:13">
      <c r="A1068" s="93" t="s">
        <v>122</v>
      </c>
      <c r="C1068" s="92">
        <v>89639</v>
      </c>
      <c r="D1068" s="92">
        <f>ROUND($C1068*D$1077/$C$1077,0)</f>
        <v>46705</v>
      </c>
      <c r="E1068" s="92"/>
      <c r="F1068" s="147">
        <v>2.2799999999999998</v>
      </c>
      <c r="G1068" s="147"/>
      <c r="H1068" s="96">
        <f t="shared" ref="H1068:I1070" si="250">ROUND($F1068*C1068,0)</f>
        <v>204377</v>
      </c>
      <c r="I1068" s="96">
        <f t="shared" si="250"/>
        <v>106487</v>
      </c>
      <c r="J1068" s="92"/>
      <c r="K1068" s="147">
        <f>K$936</f>
        <v>2.4700000000000002</v>
      </c>
      <c r="L1068" s="147"/>
      <c r="M1068" s="96">
        <f>ROUND($K1068*D1068,0)</f>
        <v>115361</v>
      </c>
    </row>
    <row r="1069" spans="1:13">
      <c r="A1069" s="93" t="s">
        <v>156</v>
      </c>
      <c r="C1069" s="92">
        <v>27297</v>
      </c>
      <c r="D1069" s="92">
        <f>ROUND($C1069*D$1077/$C$1077,0)</f>
        <v>14223</v>
      </c>
      <c r="E1069" s="92"/>
      <c r="F1069" s="147">
        <v>14.33</v>
      </c>
      <c r="G1069" s="147"/>
      <c r="H1069" s="96">
        <f t="shared" si="250"/>
        <v>391166</v>
      </c>
      <c r="I1069" s="96">
        <f t="shared" si="250"/>
        <v>203816</v>
      </c>
      <c r="J1069" s="92"/>
      <c r="K1069" s="147">
        <f>K$937</f>
        <v>15.54</v>
      </c>
      <c r="L1069" s="147"/>
      <c r="M1069" s="96">
        <f>ROUND($K1069*D1069,0)</f>
        <v>221025</v>
      </c>
    </row>
    <row r="1070" spans="1:13">
      <c r="A1070" s="93" t="s">
        <v>157</v>
      </c>
      <c r="C1070" s="92">
        <v>61644</v>
      </c>
      <c r="D1070" s="92">
        <f>ROUND($C1070*D$1077/$C$1077,0)</f>
        <v>32119</v>
      </c>
      <c r="E1070" s="92"/>
      <c r="F1070" s="147">
        <v>12.68</v>
      </c>
      <c r="G1070" s="147"/>
      <c r="H1070" s="96">
        <f t="shared" si="250"/>
        <v>781646</v>
      </c>
      <c r="I1070" s="96">
        <f t="shared" si="250"/>
        <v>407269</v>
      </c>
      <c r="J1070" s="92"/>
      <c r="K1070" s="147">
        <f>K$938</f>
        <v>13.75</v>
      </c>
      <c r="L1070" s="147"/>
      <c r="M1070" s="96">
        <f>ROUND($K1070*D1070,0)</f>
        <v>441636</v>
      </c>
    </row>
    <row r="1071" spans="1:13">
      <c r="A1071" s="93" t="s">
        <v>89</v>
      </c>
      <c r="C1071" s="92">
        <v>9735853</v>
      </c>
      <c r="D1071" s="92">
        <f>ROUND($C1071*D$1077/($C$1077-$C$1076),0)</f>
        <v>5073976</v>
      </c>
      <c r="E1071" s="92"/>
      <c r="F1071" s="155">
        <v>5.1477000000000004</v>
      </c>
      <c r="G1071" s="120" t="s">
        <v>90</v>
      </c>
      <c r="H1071" s="96">
        <f t="shared" ref="H1071:I1074" si="251">ROUND($F1071*C1071/100,0)</f>
        <v>501173</v>
      </c>
      <c r="I1071" s="96">
        <f t="shared" si="251"/>
        <v>261193</v>
      </c>
      <c r="J1071" s="92"/>
      <c r="K1071" s="155">
        <f>K$939</f>
        <v>5.5841000000000003</v>
      </c>
      <c r="L1071" s="120" t="s">
        <v>90</v>
      </c>
      <c r="M1071" s="96">
        <f>ROUND($K1071*D1071/100,0)</f>
        <v>283336</v>
      </c>
    </row>
    <row r="1072" spans="1:13">
      <c r="A1072" s="93" t="s">
        <v>92</v>
      </c>
      <c r="C1072" s="92">
        <v>36671832</v>
      </c>
      <c r="D1072" s="92">
        <f t="shared" ref="D1072:D1074" si="252">ROUND($C1072*D$1077/($C$1077-$C$1076),0)</f>
        <v>19112037</v>
      </c>
      <c r="E1072" s="92"/>
      <c r="F1072" s="155">
        <v>2.6164999999999998</v>
      </c>
      <c r="G1072" s="120" t="s">
        <v>90</v>
      </c>
      <c r="H1072" s="96">
        <f t="shared" si="251"/>
        <v>959518</v>
      </c>
      <c r="I1072" s="96">
        <f t="shared" si="251"/>
        <v>500066</v>
      </c>
      <c r="J1072" s="92"/>
      <c r="K1072" s="155">
        <f>K$940</f>
        <v>2.8382999999999998</v>
      </c>
      <c r="L1072" s="120" t="s">
        <v>90</v>
      </c>
      <c r="M1072" s="96">
        <f>ROUND($K1072*D1072/100,0)</f>
        <v>542457</v>
      </c>
    </row>
    <row r="1073" spans="1:18">
      <c r="A1073" s="93" t="s">
        <v>159</v>
      </c>
      <c r="C1073" s="92">
        <v>15243649</v>
      </c>
      <c r="D1073" s="92">
        <f t="shared" si="252"/>
        <v>7944440</v>
      </c>
      <c r="E1073" s="92"/>
      <c r="F1073" s="155">
        <v>4.5555000000000003</v>
      </c>
      <c r="G1073" s="120" t="s">
        <v>90</v>
      </c>
      <c r="H1073" s="96">
        <f t="shared" si="251"/>
        <v>694424</v>
      </c>
      <c r="I1073" s="96">
        <f t="shared" si="251"/>
        <v>361909</v>
      </c>
      <c r="J1073" s="92"/>
      <c r="K1073" s="155">
        <f>K$941</f>
        <v>4.9417</v>
      </c>
      <c r="L1073" s="120" t="s">
        <v>90</v>
      </c>
      <c r="M1073" s="96">
        <f>ROUND($K1073*D1073/100,0)</f>
        <v>392590</v>
      </c>
    </row>
    <row r="1074" spans="1:18">
      <c r="A1074" s="93" t="s">
        <v>161</v>
      </c>
      <c r="C1074" s="92">
        <v>57149575</v>
      </c>
      <c r="D1074" s="171">
        <f t="shared" si="252"/>
        <v>29784298</v>
      </c>
      <c r="E1074" s="171"/>
      <c r="F1074" s="196">
        <v>2.3155000000000001</v>
      </c>
      <c r="G1074" s="120" t="s">
        <v>90</v>
      </c>
      <c r="H1074" s="174">
        <f t="shared" si="251"/>
        <v>1323298</v>
      </c>
      <c r="I1074" s="174">
        <f t="shared" si="251"/>
        <v>689655</v>
      </c>
      <c r="J1074" s="171"/>
      <c r="K1074" s="196">
        <f>K$942</f>
        <v>2.5118</v>
      </c>
      <c r="L1074" s="120" t="s">
        <v>90</v>
      </c>
      <c r="M1074" s="174">
        <f>ROUND($K1074*D1074/100,0)</f>
        <v>748122</v>
      </c>
    </row>
    <row r="1075" spans="1:18">
      <c r="A1075" s="93" t="s">
        <v>287</v>
      </c>
      <c r="C1075" s="92"/>
      <c r="D1075" s="92"/>
      <c r="E1075" s="92"/>
      <c r="F1075" s="155"/>
      <c r="G1075" s="120"/>
      <c r="H1075" s="96">
        <f>SUM(H1059:H1074)</f>
        <v>4855602</v>
      </c>
      <c r="I1075" s="96">
        <f>SUM(I1059:I1074)</f>
        <v>2530395</v>
      </c>
      <c r="J1075" s="92"/>
      <c r="K1075" s="155"/>
      <c r="L1075" s="120"/>
      <c r="M1075" s="96">
        <f>SUM(M1059:M1074)</f>
        <v>2744527</v>
      </c>
    </row>
    <row r="1076" spans="1:18">
      <c r="A1076" s="129" t="s">
        <v>103</v>
      </c>
      <c r="B1076" s="130"/>
      <c r="C1076" s="92">
        <v>28679</v>
      </c>
      <c r="D1076" s="92"/>
      <c r="E1076" s="92"/>
      <c r="F1076" s="131"/>
      <c r="G1076" s="9"/>
      <c r="H1076" s="96">
        <v>16646</v>
      </c>
      <c r="I1076" s="96"/>
      <c r="J1076" s="92"/>
      <c r="K1076" s="131"/>
      <c r="L1076" s="9"/>
      <c r="M1076" s="96"/>
      <c r="N1076" s="121"/>
      <c r="O1076" s="121"/>
      <c r="P1076" s="121"/>
    </row>
    <row r="1077" spans="1:18" ht="16.5" thickBot="1">
      <c r="A1077" s="133" t="s">
        <v>291</v>
      </c>
      <c r="B1077" s="134"/>
      <c r="C1077" s="135">
        <f>SUM(C1062:C1065,C1071:C1074,C1076)</f>
        <v>118829588</v>
      </c>
      <c r="D1077" s="135">
        <v>61914751</v>
      </c>
      <c r="E1077" s="135"/>
      <c r="F1077" s="134"/>
      <c r="G1077" s="134"/>
      <c r="H1077" s="136">
        <f>H1056+H1075+H1076</f>
        <v>7370607</v>
      </c>
      <c r="I1077" s="136">
        <f>I1056+I1075+I1076</f>
        <v>3844117</v>
      </c>
      <c r="J1077" s="135"/>
      <c r="K1077" s="134"/>
      <c r="L1077" s="134"/>
      <c r="M1077" s="136">
        <f>M1056+M1075+M1076</f>
        <v>4022610</v>
      </c>
      <c r="O1077" s="72" t="s">
        <v>86</v>
      </c>
      <c r="P1077" s="121">
        <f>M1077/I1077-1</f>
        <v>4.6432769866265877E-2</v>
      </c>
    </row>
    <row r="1078" spans="1:18" ht="16.5" thickTop="1"/>
    <row r="1079" spans="1:18" ht="18.75">
      <c r="A1079" s="197" t="s">
        <v>293</v>
      </c>
      <c r="C1079" s="92"/>
      <c r="D1079" s="92"/>
      <c r="E1079" s="92"/>
      <c r="F1079" s="150"/>
      <c r="G1079" s="150"/>
      <c r="J1079" s="92"/>
      <c r="K1079" s="150"/>
      <c r="L1079" s="150"/>
    </row>
    <row r="1080" spans="1:18">
      <c r="A1080" s="129" t="s">
        <v>294</v>
      </c>
      <c r="C1080" s="92"/>
      <c r="D1080" s="92"/>
      <c r="E1080" s="92"/>
      <c r="J1080" s="92"/>
    </row>
    <row r="1081" spans="1:18">
      <c r="A1081" s="129" t="s">
        <v>295</v>
      </c>
      <c r="B1081" s="177"/>
      <c r="C1081" s="193"/>
      <c r="D1081" s="92"/>
      <c r="E1081" s="92"/>
      <c r="F1081" s="198">
        <v>55</v>
      </c>
      <c r="G1081" s="95"/>
      <c r="H1081" s="96">
        <f t="shared" ref="H1081:I1083" si="253">ROUND($F1081*C1081,0)</f>
        <v>0</v>
      </c>
      <c r="I1081" s="96">
        <f t="shared" si="253"/>
        <v>0</v>
      </c>
      <c r="J1081" s="92"/>
      <c r="K1081" s="95">
        <f>'Sch31-32 Rate'!F61</f>
        <v>59</v>
      </c>
      <c r="L1081" s="95"/>
      <c r="M1081" s="96">
        <f>ROUND($K1081*D1081,0)</f>
        <v>0</v>
      </c>
      <c r="O1081" s="89"/>
      <c r="P1081" s="193"/>
    </row>
    <row r="1082" spans="1:18">
      <c r="A1082" s="129" t="s">
        <v>296</v>
      </c>
      <c r="B1082" s="177"/>
      <c r="C1082" s="193"/>
      <c r="D1082" s="92"/>
      <c r="E1082" s="92"/>
      <c r="F1082" s="198">
        <v>72</v>
      </c>
      <c r="G1082" s="95"/>
      <c r="H1082" s="96">
        <f t="shared" si="253"/>
        <v>0</v>
      </c>
      <c r="I1082" s="96">
        <f t="shared" si="253"/>
        <v>0</v>
      </c>
      <c r="J1082" s="92"/>
      <c r="K1082" s="95">
        <f>'Sch31-32 Rate'!F62</f>
        <v>77</v>
      </c>
      <c r="L1082" s="95"/>
      <c r="M1082" s="96">
        <f>ROUND($K1082*D1082,0)</f>
        <v>0</v>
      </c>
      <c r="O1082" s="103" t="s">
        <v>79</v>
      </c>
      <c r="P1082" s="104">
        <f>M1124</f>
        <v>4015943</v>
      </c>
    </row>
    <row r="1083" spans="1:18">
      <c r="A1083" s="129" t="s">
        <v>297</v>
      </c>
      <c r="B1083" s="177"/>
      <c r="C1083" s="193">
        <v>36</v>
      </c>
      <c r="D1083" s="92">
        <v>36</v>
      </c>
      <c r="E1083" s="92"/>
      <c r="F1083" s="199">
        <v>266</v>
      </c>
      <c r="G1083" s="147"/>
      <c r="H1083" s="96">
        <f t="shared" si="253"/>
        <v>9576</v>
      </c>
      <c r="I1083" s="96">
        <f t="shared" si="253"/>
        <v>9576</v>
      </c>
      <c r="J1083" s="92"/>
      <c r="K1083" s="95">
        <f>'Sch31-32 Rate'!F63</f>
        <v>294</v>
      </c>
      <c r="L1083" s="147"/>
      <c r="M1083" s="96">
        <f>ROUND($K1083*D1083,0)</f>
        <v>10584</v>
      </c>
      <c r="O1083" s="106" t="s">
        <v>81</v>
      </c>
      <c r="P1083" s="107">
        <f>'Rate Spread'!M30*1000+M1110+M1111</f>
        <v>4311084.1291455124</v>
      </c>
    </row>
    <row r="1084" spans="1:18">
      <c r="A1084" s="129" t="s">
        <v>298</v>
      </c>
      <c r="B1084" s="177"/>
      <c r="C1084" s="193"/>
      <c r="D1084" s="92"/>
      <c r="E1084" s="92"/>
      <c r="F1084" s="198"/>
      <c r="G1084" s="194"/>
      <c r="H1084" s="96"/>
      <c r="I1084" s="96"/>
      <c r="J1084" s="92"/>
      <c r="K1084" s="198"/>
      <c r="L1084" s="194"/>
      <c r="M1084" s="96"/>
      <c r="O1084" s="109" t="s">
        <v>83</v>
      </c>
      <c r="P1084" s="110">
        <f>P1083-P1082</f>
        <v>295141.12914551236</v>
      </c>
    </row>
    <row r="1085" spans="1:18">
      <c r="A1085" s="129" t="s">
        <v>299</v>
      </c>
      <c r="B1085" s="177"/>
      <c r="C1085" s="193">
        <v>12</v>
      </c>
      <c r="D1085" s="92">
        <f>$C1085/$C$1083*D$1083</f>
        <v>12</v>
      </c>
      <c r="E1085" s="92"/>
      <c r="F1085" s="198">
        <v>113</v>
      </c>
      <c r="G1085" s="194"/>
      <c r="H1085" s="96">
        <f t="shared" ref="H1085:I1087" si="254">ROUND($F1085*C1085,0)</f>
        <v>1356</v>
      </c>
      <c r="I1085" s="96">
        <f t="shared" si="254"/>
        <v>1356</v>
      </c>
      <c r="J1085" s="92"/>
      <c r="K1085" s="95">
        <f>ROUND(F1085*(1+$P$474),0)</f>
        <v>123</v>
      </c>
      <c r="L1085" s="194"/>
      <c r="M1085" s="96">
        <f>ROUND($K1085*D1085,0)</f>
        <v>1476</v>
      </c>
      <c r="O1085" s="103" t="s">
        <v>86</v>
      </c>
      <c r="P1085" s="149">
        <f>P1082/I1124-1</f>
        <v>1.622182291425478E-2</v>
      </c>
    </row>
    <row r="1086" spans="1:18" s="200" customFormat="1">
      <c r="A1086" s="129" t="s">
        <v>300</v>
      </c>
      <c r="B1086" s="177"/>
      <c r="C1086" s="193">
        <v>36</v>
      </c>
      <c r="D1086" s="92">
        <f>$C1086/$C$1083*D$1083</f>
        <v>36</v>
      </c>
      <c r="E1086" s="92"/>
      <c r="F1086" s="198">
        <v>154</v>
      </c>
      <c r="G1086" s="194"/>
      <c r="H1086" s="96">
        <f t="shared" si="254"/>
        <v>5544</v>
      </c>
      <c r="I1086" s="96">
        <f t="shared" si="254"/>
        <v>5544</v>
      </c>
      <c r="J1086" s="92"/>
      <c r="K1086" s="95">
        <f>ROUND(F1086*(1+$P$474),0)</f>
        <v>168</v>
      </c>
      <c r="L1086" s="194"/>
      <c r="M1086" s="96">
        <f>ROUND($K1086*D1086,0)</f>
        <v>6048</v>
      </c>
      <c r="N1086" s="72"/>
      <c r="O1086" s="106" t="s">
        <v>88</v>
      </c>
      <c r="P1086" s="148">
        <f>P1083/I1124-1</f>
        <v>9.0906363077604802E-2</v>
      </c>
      <c r="Q1086" s="72"/>
      <c r="R1086" s="72"/>
    </row>
    <row r="1087" spans="1:18" s="200" customFormat="1">
      <c r="A1087" s="93" t="s">
        <v>87</v>
      </c>
      <c r="B1087" s="72"/>
      <c r="C1087" s="92"/>
      <c r="D1087" s="92">
        <v>25.023355779832894</v>
      </c>
      <c r="E1087" s="92"/>
      <c r="F1087" s="95">
        <v>-0.5</v>
      </c>
      <c r="G1087" s="95"/>
      <c r="H1087" s="96">
        <f t="shared" si="254"/>
        <v>0</v>
      </c>
      <c r="I1087" s="96">
        <f t="shared" si="254"/>
        <v>-13</v>
      </c>
      <c r="J1087" s="92"/>
      <c r="K1087" s="95">
        <f>F1087</f>
        <v>-0.5</v>
      </c>
      <c r="L1087" s="95"/>
      <c r="M1087" s="96">
        <f>ROUND($K1087*D1087,0)</f>
        <v>-13</v>
      </c>
      <c r="N1087" s="72"/>
      <c r="O1087" s="124"/>
      <c r="P1087" s="151"/>
      <c r="Q1087" s="72"/>
      <c r="R1087" s="72"/>
    </row>
    <row r="1088" spans="1:18" s="200" customFormat="1">
      <c r="A1088" s="129" t="s">
        <v>301</v>
      </c>
      <c r="B1088" s="177"/>
      <c r="C1088" s="193"/>
      <c r="D1088" s="92"/>
      <c r="E1088" s="92"/>
      <c r="F1088" s="199"/>
      <c r="G1088" s="195"/>
      <c r="H1088" s="96"/>
      <c r="I1088" s="96"/>
      <c r="J1088" s="92"/>
      <c r="K1088" s="199"/>
      <c r="L1088" s="195"/>
      <c r="M1088" s="96"/>
      <c r="N1088" s="72"/>
      <c r="O1088" s="72"/>
      <c r="P1088" s="72"/>
      <c r="Q1088" s="72"/>
      <c r="R1088" s="72"/>
    </row>
    <row r="1089" spans="1:18" s="200" customFormat="1">
      <c r="A1089" s="129" t="s">
        <v>302</v>
      </c>
      <c r="B1089" s="177"/>
      <c r="C1089" s="193"/>
      <c r="D1089" s="92"/>
      <c r="E1089" s="92"/>
      <c r="F1089" s="198">
        <v>7.52</v>
      </c>
      <c r="G1089" s="194"/>
      <c r="H1089" s="96">
        <f t="shared" ref="H1089:I1093" si="255">ROUND($F1089*C1089,0)</f>
        <v>0</v>
      </c>
      <c r="I1089" s="96">
        <f t="shared" si="255"/>
        <v>0</v>
      </c>
      <c r="J1089" s="92"/>
      <c r="K1089" s="95">
        <f>'Sch31-32 Rate'!J66</f>
        <v>9.02</v>
      </c>
      <c r="L1089" s="194"/>
      <c r="M1089" s="96">
        <f>ROUND($K1089*D1089,0)</f>
        <v>0</v>
      </c>
      <c r="N1089" s="72"/>
      <c r="O1089" s="72"/>
      <c r="P1089" s="72"/>
      <c r="Q1089" s="72"/>
      <c r="R1089" s="72"/>
    </row>
    <row r="1090" spans="1:18" s="200" customFormat="1">
      <c r="A1090" s="129" t="s">
        <v>303</v>
      </c>
      <c r="B1090" s="177"/>
      <c r="C1090" s="193"/>
      <c r="D1090" s="92"/>
      <c r="E1090" s="92"/>
      <c r="F1090" s="198">
        <v>6.56</v>
      </c>
      <c r="G1090" s="194"/>
      <c r="H1090" s="96">
        <f t="shared" si="255"/>
        <v>0</v>
      </c>
      <c r="I1090" s="96">
        <f t="shared" si="255"/>
        <v>0</v>
      </c>
      <c r="J1090" s="92"/>
      <c r="K1090" s="95">
        <f>'Sch31-32 Rate'!J67</f>
        <v>8.16</v>
      </c>
      <c r="L1090" s="194"/>
      <c r="M1090" s="96">
        <f>ROUND($K1090*D1090,0)</f>
        <v>0</v>
      </c>
      <c r="N1090" s="72"/>
      <c r="O1090" s="72"/>
      <c r="P1090" s="72"/>
      <c r="Q1090" s="72"/>
      <c r="R1090" s="72"/>
    </row>
    <row r="1091" spans="1:18" s="200" customFormat="1">
      <c r="A1091" s="129" t="s">
        <v>304</v>
      </c>
      <c r="B1091" s="177"/>
      <c r="C1091" s="193"/>
      <c r="D1091" s="92"/>
      <c r="E1091" s="92"/>
      <c r="F1091" s="198">
        <v>8.3699999999999992</v>
      </c>
      <c r="G1091" s="95"/>
      <c r="H1091" s="96">
        <f t="shared" si="255"/>
        <v>0</v>
      </c>
      <c r="I1091" s="96">
        <f t="shared" si="255"/>
        <v>0</v>
      </c>
      <c r="J1091" s="92"/>
      <c r="K1091" s="95">
        <f>'Sch31-32 Rate'!J68</f>
        <v>10.37</v>
      </c>
      <c r="L1091" s="95"/>
      <c r="M1091" s="96">
        <f>ROUND($K1091*D1091,0)</f>
        <v>0</v>
      </c>
      <c r="N1091" s="72"/>
      <c r="O1091" s="72"/>
      <c r="P1091" s="72"/>
      <c r="Q1091" s="72"/>
      <c r="R1091" s="72"/>
    </row>
    <row r="1092" spans="1:18" s="200" customFormat="1">
      <c r="A1092" s="129" t="s">
        <v>305</v>
      </c>
      <c r="B1092" s="177"/>
      <c r="C1092" s="193"/>
      <c r="D1092" s="92"/>
      <c r="E1092" s="92"/>
      <c r="F1092" s="198">
        <v>7.24</v>
      </c>
      <c r="G1092" s="194"/>
      <c r="H1092" s="96">
        <f t="shared" si="255"/>
        <v>0</v>
      </c>
      <c r="I1092" s="96">
        <f t="shared" si="255"/>
        <v>0</v>
      </c>
      <c r="J1092" s="92"/>
      <c r="K1092" s="95">
        <f>'Sch31-32 Rate'!J69</f>
        <v>9.7100000000000009</v>
      </c>
      <c r="L1092" s="194"/>
      <c r="M1092" s="96">
        <f>ROUND($K1092*D1092,0)</f>
        <v>0</v>
      </c>
      <c r="N1092" s="72"/>
      <c r="O1092" s="72"/>
      <c r="P1092" s="72"/>
      <c r="Q1092" s="72"/>
      <c r="R1092" s="72"/>
    </row>
    <row r="1093" spans="1:18" s="200" customFormat="1">
      <c r="A1093" s="129" t="s">
        <v>297</v>
      </c>
      <c r="B1093" s="177"/>
      <c r="C1093" s="193">
        <v>221576</v>
      </c>
      <c r="D1093" s="92">
        <f>$C1093*D$1112/$C$1112</f>
        <v>331031.77717170806</v>
      </c>
      <c r="E1093" s="92"/>
      <c r="F1093" s="198">
        <v>4.3499999999999996</v>
      </c>
      <c r="G1093" s="194"/>
      <c r="H1093" s="96">
        <f t="shared" si="255"/>
        <v>963856</v>
      </c>
      <c r="I1093" s="96">
        <f t="shared" si="255"/>
        <v>1439988</v>
      </c>
      <c r="J1093" s="92"/>
      <c r="K1093" s="95">
        <f>'Sch31-32 Rate'!J70</f>
        <v>5.19</v>
      </c>
      <c r="L1093" s="194"/>
      <c r="M1093" s="96">
        <f>ROUND($K1093*D1093,0)</f>
        <v>1718055</v>
      </c>
      <c r="N1093" s="72"/>
      <c r="O1093" s="72"/>
      <c r="P1093" s="72"/>
      <c r="Q1093" s="72"/>
      <c r="R1093" s="72"/>
    </row>
    <row r="1094" spans="1:18" s="200" customFormat="1">
      <c r="A1094" s="129" t="s">
        <v>306</v>
      </c>
      <c r="B1094" s="72"/>
      <c r="C1094" s="193"/>
      <c r="D1094" s="92"/>
      <c r="E1094" s="92"/>
      <c r="F1094" s="199"/>
      <c r="G1094" s="72"/>
      <c r="H1094" s="72"/>
      <c r="I1094" s="72"/>
      <c r="J1094" s="92"/>
      <c r="K1094" s="199"/>
      <c r="L1094" s="72"/>
      <c r="M1094" s="72"/>
      <c r="N1094" s="72"/>
      <c r="O1094" s="72"/>
      <c r="P1094" s="72"/>
      <c r="Q1094" s="72"/>
      <c r="R1094" s="72"/>
    </row>
    <row r="1095" spans="1:18" s="200" customFormat="1">
      <c r="A1095" s="129" t="s">
        <v>307</v>
      </c>
      <c r="B1095" s="72"/>
      <c r="C1095" s="193"/>
      <c r="D1095" s="92"/>
      <c r="E1095" s="92"/>
      <c r="F1095" s="198"/>
      <c r="G1095" s="95"/>
      <c r="H1095" s="96"/>
      <c r="I1095" s="96"/>
      <c r="J1095" s="92"/>
      <c r="K1095" s="198"/>
      <c r="L1095" s="95"/>
      <c r="M1095" s="96"/>
      <c r="N1095" s="72"/>
      <c r="O1095" s="72"/>
      <c r="P1095" s="72"/>
      <c r="Q1095" s="72"/>
      <c r="R1095" s="72"/>
    </row>
    <row r="1096" spans="1:18" s="200" customFormat="1">
      <c r="A1096" s="129" t="s">
        <v>308</v>
      </c>
      <c r="B1096" s="72"/>
      <c r="C1096" s="193"/>
      <c r="D1096" s="92"/>
      <c r="E1096" s="92"/>
      <c r="F1096" s="198">
        <v>0.56999999999999995</v>
      </c>
      <c r="G1096" s="95"/>
      <c r="H1096" s="96">
        <f>ROUND($F1096*C1096,0)</f>
        <v>0</v>
      </c>
      <c r="I1096" s="96">
        <f>ROUND($F1096*D1096,0)</f>
        <v>0</v>
      </c>
      <c r="J1096" s="92"/>
      <c r="K1096" s="95">
        <f>'Sch31-32 Rate'!L73</f>
        <v>0.45</v>
      </c>
      <c r="L1096" s="95"/>
      <c r="M1096" s="96">
        <f>ROUND($K1096*D1096,0)</f>
        <v>0</v>
      </c>
      <c r="N1096" s="72"/>
      <c r="O1096" s="72"/>
      <c r="P1096" s="72"/>
      <c r="Q1096" s="72"/>
      <c r="R1096" s="72"/>
    </row>
    <row r="1097" spans="1:18" s="200" customFormat="1">
      <c r="A1097" s="129" t="s">
        <v>309</v>
      </c>
      <c r="B1097" s="72"/>
      <c r="C1097" s="193"/>
      <c r="D1097" s="92"/>
      <c r="E1097" s="92"/>
      <c r="F1097" s="198">
        <v>0.48</v>
      </c>
      <c r="G1097" s="95"/>
      <c r="H1097" s="96">
        <f>ROUND($F1097*C1097,0)</f>
        <v>0</v>
      </c>
      <c r="I1097" s="96">
        <f>ROUND($F1097*D1097,0)</f>
        <v>0</v>
      </c>
      <c r="J1097" s="92"/>
      <c r="K1097" s="95">
        <f>'Sch31-32 Rate'!L74</f>
        <v>0.37</v>
      </c>
      <c r="L1097" s="95"/>
      <c r="M1097" s="96">
        <f>ROUND($K1097*D1097,0)</f>
        <v>0</v>
      </c>
      <c r="N1097" s="72"/>
      <c r="O1097" s="72"/>
      <c r="P1097" s="72"/>
      <c r="Q1097" s="72"/>
      <c r="R1097" s="72"/>
    </row>
    <row r="1098" spans="1:18" s="200" customFormat="1">
      <c r="A1098" s="129" t="s">
        <v>310</v>
      </c>
      <c r="B1098" s="72"/>
      <c r="C1098" s="193"/>
      <c r="D1098" s="92"/>
      <c r="E1098" s="92"/>
      <c r="F1098" s="198"/>
      <c r="G1098" s="194"/>
      <c r="H1098" s="96"/>
      <c r="I1098" s="96"/>
      <c r="J1098" s="92"/>
      <c r="K1098" s="198"/>
      <c r="L1098" s="194"/>
      <c r="M1098" s="96"/>
      <c r="N1098" s="72"/>
      <c r="O1098" s="72"/>
      <c r="P1098" s="72"/>
      <c r="Q1098" s="72"/>
      <c r="R1098" s="72"/>
    </row>
    <row r="1099" spans="1:18" s="200" customFormat="1">
      <c r="A1099" s="129" t="s">
        <v>308</v>
      </c>
      <c r="B1099" s="72"/>
      <c r="C1099" s="193"/>
      <c r="D1099" s="92"/>
      <c r="E1099" s="92"/>
      <c r="F1099" s="198">
        <v>0.56999999999999995</v>
      </c>
      <c r="G1099" s="194"/>
      <c r="H1099" s="96">
        <f>ROUND($F1099*C1099,0)</f>
        <v>0</v>
      </c>
      <c r="I1099" s="96">
        <f>ROUND($F1099*D1099,0)</f>
        <v>0</v>
      </c>
      <c r="J1099" s="92"/>
      <c r="K1099" s="95">
        <f>'Sch31-32 Rate'!L75</f>
        <v>0.45</v>
      </c>
      <c r="L1099" s="194"/>
      <c r="M1099" s="96">
        <f>ROUND($K1099*D1099,0)</f>
        <v>0</v>
      </c>
      <c r="N1099" s="72"/>
      <c r="O1099" s="72"/>
      <c r="P1099" s="72"/>
      <c r="Q1099" s="72"/>
      <c r="R1099" s="72"/>
    </row>
    <row r="1100" spans="1:18" s="200" customFormat="1">
      <c r="A1100" s="129" t="s">
        <v>309</v>
      </c>
      <c r="B1100" s="72"/>
      <c r="C1100" s="193"/>
      <c r="D1100" s="92"/>
      <c r="E1100" s="92"/>
      <c r="F1100" s="198">
        <v>0.47</v>
      </c>
      <c r="G1100" s="194"/>
      <c r="H1100" s="96">
        <f>ROUND($F1100*C1100,0)</f>
        <v>0</v>
      </c>
      <c r="I1100" s="96">
        <f>ROUND($F1100*D1100,0)</f>
        <v>0</v>
      </c>
      <c r="J1100" s="92"/>
      <c r="K1100" s="95">
        <f>'Sch31-32 Rate'!L76</f>
        <v>0.37</v>
      </c>
      <c r="L1100" s="194"/>
      <c r="M1100" s="96">
        <f>ROUND($K1100*D1100,0)</f>
        <v>0</v>
      </c>
      <c r="N1100" s="72"/>
      <c r="O1100" s="72"/>
      <c r="P1100" s="72"/>
      <c r="Q1100" s="72"/>
      <c r="R1100" s="72"/>
    </row>
    <row r="1101" spans="1:18" s="200" customFormat="1">
      <c r="A1101" s="129" t="s">
        <v>311</v>
      </c>
      <c r="B1101" s="72"/>
      <c r="C1101" s="193"/>
      <c r="D1101" s="92"/>
      <c r="E1101" s="92"/>
      <c r="F1101" s="199"/>
      <c r="G1101" s="195"/>
      <c r="H1101" s="96"/>
      <c r="I1101" s="96"/>
      <c r="J1101" s="92"/>
      <c r="K1101" s="199"/>
      <c r="L1101" s="195"/>
      <c r="M1101" s="96"/>
      <c r="N1101" s="72"/>
      <c r="O1101" s="72"/>
      <c r="P1101" s="72"/>
      <c r="Q1101" s="72"/>
      <c r="R1101" s="72"/>
    </row>
    <row r="1102" spans="1:18" s="200" customFormat="1">
      <c r="A1102" s="129" t="s">
        <v>308</v>
      </c>
      <c r="B1102" s="72"/>
      <c r="C1102" s="193"/>
      <c r="D1102" s="92"/>
      <c r="E1102" s="92"/>
      <c r="F1102" s="198">
        <v>0.72</v>
      </c>
      <c r="G1102" s="194"/>
      <c r="H1102" s="96">
        <f>ROUND($F1102*C1102,0)</f>
        <v>0</v>
      </c>
      <c r="I1102" s="96">
        <f>ROUND($F1102*D1102,0)</f>
        <v>0</v>
      </c>
      <c r="J1102" s="92"/>
      <c r="K1102" s="95">
        <f>'Sch31-32 Rate'!L77</f>
        <v>0.55000000000000004</v>
      </c>
      <c r="L1102" s="194"/>
      <c r="M1102" s="96">
        <f>ROUND($K1102*D1102,0)</f>
        <v>0</v>
      </c>
      <c r="N1102" s="72"/>
      <c r="O1102" s="72"/>
      <c r="P1102" s="72"/>
      <c r="Q1102" s="72"/>
      <c r="R1102" s="72"/>
    </row>
    <row r="1103" spans="1:18" s="200" customFormat="1">
      <c r="A1103" s="129" t="s">
        <v>309</v>
      </c>
      <c r="B1103" s="72"/>
      <c r="C1103" s="193"/>
      <c r="D1103" s="92"/>
      <c r="E1103" s="92"/>
      <c r="F1103" s="198">
        <v>0.61</v>
      </c>
      <c r="G1103" s="194"/>
      <c r="H1103" s="96">
        <f>ROUND($F1103*C1103,0)</f>
        <v>0</v>
      </c>
      <c r="I1103" s="96">
        <f>ROUND($F1103*D1103,0)</f>
        <v>0</v>
      </c>
      <c r="J1103" s="92"/>
      <c r="K1103" s="95">
        <f>'Sch31-32 Rate'!L78</f>
        <v>0.46</v>
      </c>
      <c r="L1103" s="194"/>
      <c r="M1103" s="96">
        <f>ROUND($K1103*D1103,0)</f>
        <v>0</v>
      </c>
      <c r="N1103" s="72"/>
      <c r="O1103" s="72"/>
      <c r="P1103" s="72"/>
      <c r="Q1103" s="72"/>
      <c r="R1103" s="72"/>
    </row>
    <row r="1104" spans="1:18" s="200" customFormat="1">
      <c r="A1104" s="129" t="s">
        <v>312</v>
      </c>
      <c r="B1104" s="72"/>
      <c r="C1104" s="193"/>
      <c r="D1104" s="92"/>
      <c r="E1104" s="92"/>
      <c r="F1104" s="198"/>
      <c r="G1104" s="95"/>
      <c r="H1104" s="96"/>
      <c r="I1104" s="96"/>
      <c r="J1104" s="92"/>
      <c r="K1104" s="198"/>
      <c r="L1104" s="95"/>
      <c r="M1104" s="96"/>
      <c r="N1104" s="72"/>
      <c r="O1104" s="72"/>
      <c r="P1104" s="72"/>
      <c r="Q1104" s="72"/>
      <c r="R1104" s="72"/>
    </row>
    <row r="1105" spans="1:18" s="200" customFormat="1">
      <c r="A1105" s="129" t="s">
        <v>308</v>
      </c>
      <c r="B1105" s="72"/>
      <c r="C1105" s="193"/>
      <c r="D1105" s="92"/>
      <c r="E1105" s="92"/>
      <c r="F1105" s="198">
        <v>0.71</v>
      </c>
      <c r="G1105" s="194"/>
      <c r="H1105" s="96">
        <f>ROUND($F1105*C1105,0)</f>
        <v>0</v>
      </c>
      <c r="I1105" s="96">
        <f>ROUND($F1105*D1105,0)</f>
        <v>0</v>
      </c>
      <c r="J1105" s="92"/>
      <c r="K1105" s="95">
        <f>'Sch31-32 Rate'!L79</f>
        <v>0.53</v>
      </c>
      <c r="L1105" s="194"/>
      <c r="M1105" s="96">
        <f>ROUND($K1105*D1105,0)</f>
        <v>0</v>
      </c>
      <c r="N1105" s="72"/>
      <c r="O1105" s="72"/>
      <c r="P1105" s="72"/>
      <c r="Q1105" s="72"/>
      <c r="R1105" s="72"/>
    </row>
    <row r="1106" spans="1:18" s="200" customFormat="1">
      <c r="A1106" s="129" t="s">
        <v>309</v>
      </c>
      <c r="B1106" s="72"/>
      <c r="C1106" s="193"/>
      <c r="D1106" s="92"/>
      <c r="E1106" s="92"/>
      <c r="F1106" s="198">
        <v>0.59</v>
      </c>
      <c r="G1106" s="194"/>
      <c r="H1106" s="96">
        <f>ROUND($F1106*C1106,0)</f>
        <v>0</v>
      </c>
      <c r="I1106" s="96">
        <f>ROUND($F1106*D1106,0)</f>
        <v>0</v>
      </c>
      <c r="J1106" s="92"/>
      <c r="K1106" s="95">
        <f>'Sch31-32 Rate'!L80</f>
        <v>0.44</v>
      </c>
      <c r="L1106" s="194"/>
      <c r="M1106" s="96">
        <f>ROUND($K1106*D1106,0)</f>
        <v>0</v>
      </c>
      <c r="N1106" s="72"/>
      <c r="O1106" s="72"/>
      <c r="P1106" s="72"/>
      <c r="Q1106" s="72"/>
      <c r="R1106" s="72"/>
    </row>
    <row r="1107" spans="1:18" s="200" customFormat="1">
      <c r="A1107" s="129" t="s">
        <v>313</v>
      </c>
      <c r="B1107" s="72"/>
      <c r="C1107" s="193"/>
      <c r="D1107" s="92"/>
      <c r="E1107" s="92"/>
      <c r="F1107" s="199"/>
      <c r="G1107" s="72"/>
      <c r="H1107" s="72"/>
      <c r="I1107" s="72"/>
      <c r="J1107" s="92"/>
      <c r="K1107" s="199"/>
      <c r="L1107" s="72"/>
      <c r="M1107" s="72"/>
      <c r="N1107" s="72"/>
      <c r="O1107" s="72"/>
      <c r="P1107" s="72"/>
      <c r="Q1107" s="72"/>
      <c r="R1107" s="72"/>
    </row>
    <row r="1108" spans="1:18" s="200" customFormat="1">
      <c r="A1108" s="129" t="s">
        <v>308</v>
      </c>
      <c r="B1108" s="72"/>
      <c r="C1108" s="193">
        <v>1185785</v>
      </c>
      <c r="D1108" s="92">
        <f>$C1108*D$1112/$C$1112</f>
        <v>1771547.9830557182</v>
      </c>
      <c r="E1108" s="92"/>
      <c r="F1108" s="198">
        <v>0.71</v>
      </c>
      <c r="G1108" s="95"/>
      <c r="H1108" s="96">
        <f>ROUND($F1108*C1108,0)</f>
        <v>841907</v>
      </c>
      <c r="I1108" s="96">
        <f>ROUND($F1108*D1108,0)</f>
        <v>1257799</v>
      </c>
      <c r="J1108" s="92"/>
      <c r="K1108" s="95">
        <f>'Sch31-32 Rate'!L81</f>
        <v>0.63</v>
      </c>
      <c r="L1108" s="95"/>
      <c r="M1108" s="96">
        <f>ROUND($K1108*D1108,0)</f>
        <v>1116075</v>
      </c>
      <c r="N1108" s="72"/>
      <c r="O1108" s="72"/>
      <c r="P1108" s="72"/>
      <c r="Q1108" s="72"/>
      <c r="R1108" s="72"/>
    </row>
    <row r="1109" spans="1:18" s="200" customFormat="1">
      <c r="A1109" s="129" t="s">
        <v>309</v>
      </c>
      <c r="B1109" s="72"/>
      <c r="C1109" s="193">
        <v>982939</v>
      </c>
      <c r="D1109" s="92">
        <f>$C1109*D$1112/$C$1112</f>
        <v>1468498.5920017581</v>
      </c>
      <c r="E1109" s="92"/>
      <c r="F1109" s="198">
        <v>0.61</v>
      </c>
      <c r="G1109" s="95"/>
      <c r="H1109" s="96">
        <f>ROUND($F1109*C1109,0)</f>
        <v>599593</v>
      </c>
      <c r="I1109" s="96">
        <f>ROUND($F1109*D1109,0)</f>
        <v>895784</v>
      </c>
      <c r="J1109" s="92"/>
      <c r="K1109" s="95">
        <f>'Sch31-32 Rate'!L82</f>
        <v>0.54</v>
      </c>
      <c r="L1109" s="95"/>
      <c r="M1109" s="96">
        <f>ROUND($K1109*D1109,0)</f>
        <v>792989</v>
      </c>
      <c r="N1109" s="72"/>
      <c r="O1109" s="72"/>
      <c r="P1109" s="72"/>
      <c r="Q1109" s="72"/>
      <c r="R1109" s="72"/>
    </row>
    <row r="1110" spans="1:18" s="200" customFormat="1">
      <c r="A1110" s="93" t="s">
        <v>314</v>
      </c>
      <c r="B1110" s="72"/>
      <c r="C1110" s="92">
        <v>110915000</v>
      </c>
      <c r="D1110" s="92">
        <f>C1110</f>
        <v>110915000</v>
      </c>
      <c r="E1110" s="92"/>
      <c r="F1110" s="201"/>
      <c r="G1110" s="120"/>
      <c r="H1110" s="96"/>
      <c r="I1110" s="96"/>
      <c r="J1110" s="92"/>
      <c r="K1110" s="201"/>
      <c r="L1110" s="120"/>
      <c r="M1110" s="96"/>
      <c r="N1110" s="72"/>
      <c r="O1110" s="201"/>
      <c r="P1110" s="102"/>
      <c r="Q1110" s="72"/>
      <c r="R1110" s="72"/>
    </row>
    <row r="1111" spans="1:18" s="200" customFormat="1">
      <c r="A1111" s="93" t="s">
        <v>315</v>
      </c>
      <c r="B1111" s="72"/>
      <c r="C1111" s="92">
        <v>0</v>
      </c>
      <c r="D1111" s="92">
        <v>54790625.000000007</v>
      </c>
      <c r="E1111" s="92"/>
      <c r="F1111" s="201"/>
      <c r="G1111" s="120"/>
      <c r="H1111" s="96"/>
      <c r="I1111" s="96"/>
      <c r="J1111" s="92"/>
      <c r="K1111" s="201"/>
      <c r="L1111" s="120"/>
      <c r="M1111" s="96"/>
      <c r="N1111" s="72"/>
      <c r="O1111" s="201"/>
      <c r="P1111" s="102"/>
      <c r="Q1111" s="72"/>
      <c r="R1111" s="72"/>
    </row>
    <row r="1112" spans="1:18">
      <c r="A1112" s="93" t="s">
        <v>316</v>
      </c>
      <c r="C1112" s="187">
        <f>SUM(C1110:C1111)</f>
        <v>110915000</v>
      </c>
      <c r="D1112" s="187">
        <f>SUM(D1110:D1111)</f>
        <v>165705625</v>
      </c>
      <c r="E1112" s="94"/>
      <c r="F1112" s="150"/>
      <c r="G1112" s="150"/>
      <c r="H1112" s="185">
        <f>SUM(H1081:H1110)</f>
        <v>2421832</v>
      </c>
      <c r="I1112" s="185">
        <f>SUM(I1081:I1111)</f>
        <v>3610034</v>
      </c>
      <c r="J1112" s="94"/>
      <c r="K1112" s="150"/>
      <c r="L1112" s="150"/>
      <c r="M1112" s="185">
        <f t="shared" ref="M1112" si="256">SUM(M1081:M1111)</f>
        <v>3645214</v>
      </c>
    </row>
    <row r="1113" spans="1:18">
      <c r="A1113" s="202" t="s">
        <v>317</v>
      </c>
    </row>
    <row r="1114" spans="1:18">
      <c r="A1114" s="90" t="s">
        <v>318</v>
      </c>
      <c r="C1114" s="92"/>
      <c r="D1114" s="92"/>
      <c r="E1114" s="92"/>
      <c r="F1114" s="147"/>
      <c r="G1114" s="147"/>
      <c r="H1114" s="96"/>
      <c r="I1114" s="96"/>
      <c r="J1114" s="92"/>
      <c r="K1114" s="147"/>
      <c r="L1114" s="147"/>
      <c r="M1114" s="96"/>
    </row>
    <row r="1115" spans="1:18">
      <c r="A1115" s="129" t="s">
        <v>319</v>
      </c>
      <c r="C1115" s="92">
        <v>66944</v>
      </c>
      <c r="D1115" s="92">
        <f>$C1115*D$1122/$C$1122</f>
        <v>6241.8644327852708</v>
      </c>
      <c r="E1115" s="92"/>
      <c r="F1115" s="203">
        <v>2.2799999999999998</v>
      </c>
      <c r="G1115" s="203"/>
      <c r="H1115" s="96">
        <f t="shared" ref="H1115:I1117" si="257">ROUND($F1115*C1115,0)</f>
        <v>152632</v>
      </c>
      <c r="I1115" s="96">
        <f t="shared" si="257"/>
        <v>14231</v>
      </c>
      <c r="J1115" s="92"/>
      <c r="K1115" s="147">
        <f>K$936</f>
        <v>2.4700000000000002</v>
      </c>
      <c r="L1115" s="203"/>
      <c r="M1115" s="96">
        <f>ROUND($K1115*D1115,0)</f>
        <v>15417</v>
      </c>
    </row>
    <row r="1116" spans="1:18">
      <c r="A1116" s="93" t="s">
        <v>320</v>
      </c>
      <c r="C1116" s="92">
        <v>30457</v>
      </c>
      <c r="D1116" s="92">
        <f t="shared" ref="D1116:D1121" si="258">$C1116*D$1122/$C$1122</f>
        <v>2839.8133518962268</v>
      </c>
      <c r="E1116" s="92"/>
      <c r="F1116" s="203">
        <v>14.33</v>
      </c>
      <c r="G1116" s="203"/>
      <c r="H1116" s="96">
        <f t="shared" si="257"/>
        <v>436449</v>
      </c>
      <c r="I1116" s="96">
        <f t="shared" si="257"/>
        <v>40695</v>
      </c>
      <c r="J1116" s="92"/>
      <c r="K1116" s="147">
        <f>K$937</f>
        <v>15.54</v>
      </c>
      <c r="L1116" s="203"/>
      <c r="M1116" s="96">
        <f>ROUND($K1116*D1116,0)</f>
        <v>44131</v>
      </c>
    </row>
    <row r="1117" spans="1:18">
      <c r="A1117" s="93" t="s">
        <v>321</v>
      </c>
      <c r="C1117" s="92">
        <v>32991</v>
      </c>
      <c r="D1117" s="92">
        <f t="shared" si="258"/>
        <v>3076.0837341960278</v>
      </c>
      <c r="E1117" s="92"/>
      <c r="F1117" s="203">
        <v>12.68</v>
      </c>
      <c r="G1117" s="203"/>
      <c r="H1117" s="96">
        <f t="shared" si="257"/>
        <v>418326</v>
      </c>
      <c r="I1117" s="96">
        <f t="shared" si="257"/>
        <v>39005</v>
      </c>
      <c r="J1117" s="92"/>
      <c r="K1117" s="147">
        <f>K$938</f>
        <v>13.75</v>
      </c>
      <c r="L1117" s="203"/>
      <c r="M1117" s="96">
        <f>ROUND($K1117*D1117,0)</f>
        <v>42296</v>
      </c>
    </row>
    <row r="1118" spans="1:18">
      <c r="A1118" s="93" t="s">
        <v>322</v>
      </c>
      <c r="C1118" s="92">
        <v>10320583</v>
      </c>
      <c r="D1118" s="92">
        <f t="shared" si="258"/>
        <v>962292.06431208632</v>
      </c>
      <c r="E1118" s="92"/>
      <c r="F1118" s="201">
        <v>5.1477000000000004</v>
      </c>
      <c r="G1118" s="120" t="s">
        <v>90</v>
      </c>
      <c r="H1118" s="96">
        <f t="shared" ref="H1118:I1121" si="259">ROUND($F1118*C1118/100,0)</f>
        <v>531273</v>
      </c>
      <c r="I1118" s="96">
        <f t="shared" si="259"/>
        <v>49536</v>
      </c>
      <c r="J1118" s="92"/>
      <c r="K1118" s="155">
        <f>K$939</f>
        <v>5.5841000000000003</v>
      </c>
      <c r="L1118" s="120" t="s">
        <v>90</v>
      </c>
      <c r="M1118" s="96">
        <f>ROUND($K1118*D1118/100,0)</f>
        <v>53735</v>
      </c>
    </row>
    <row r="1119" spans="1:18">
      <c r="A1119" s="93" t="s">
        <v>323</v>
      </c>
      <c r="C1119" s="92">
        <v>32543621</v>
      </c>
      <c r="D1119" s="92">
        <f t="shared" si="258"/>
        <v>3034370.0769888838</v>
      </c>
      <c r="E1119" s="92"/>
      <c r="F1119" s="201">
        <v>2.6164999999999998</v>
      </c>
      <c r="G1119" s="120" t="s">
        <v>90</v>
      </c>
      <c r="H1119" s="96">
        <f t="shared" si="259"/>
        <v>851504</v>
      </c>
      <c r="I1119" s="96">
        <f t="shared" si="259"/>
        <v>79394</v>
      </c>
      <c r="J1119" s="92"/>
      <c r="K1119" s="155">
        <f>K$940</f>
        <v>2.8382999999999998</v>
      </c>
      <c r="L1119" s="120" t="s">
        <v>90</v>
      </c>
      <c r="M1119" s="96">
        <f>ROUND($K1119*D1119/100,0)</f>
        <v>86125</v>
      </c>
    </row>
    <row r="1120" spans="1:18">
      <c r="A1120" s="93" t="s">
        <v>324</v>
      </c>
      <c r="C1120" s="92">
        <v>9476892</v>
      </c>
      <c r="D1120" s="92">
        <f t="shared" si="258"/>
        <v>883626.24145774485</v>
      </c>
      <c r="E1120" s="92"/>
      <c r="F1120" s="201">
        <v>4.5555000000000003</v>
      </c>
      <c r="G1120" s="120" t="s">
        <v>90</v>
      </c>
      <c r="H1120" s="96">
        <f t="shared" si="259"/>
        <v>431720</v>
      </c>
      <c r="I1120" s="96">
        <f t="shared" si="259"/>
        <v>40254</v>
      </c>
      <c r="J1120" s="92"/>
      <c r="K1120" s="155">
        <f>K$941</f>
        <v>4.9417</v>
      </c>
      <c r="L1120" s="120" t="s">
        <v>90</v>
      </c>
      <c r="M1120" s="96">
        <f>ROUND($K1120*D1120/100,0)</f>
        <v>43666</v>
      </c>
    </row>
    <row r="1121" spans="1:18">
      <c r="A1121" s="93" t="s">
        <v>325</v>
      </c>
      <c r="C1121" s="171">
        <v>36446787</v>
      </c>
      <c r="D1121" s="171">
        <f t="shared" si="258"/>
        <v>3398301.6172412853</v>
      </c>
      <c r="E1121" s="171"/>
      <c r="F1121" s="204">
        <v>2.3155000000000001</v>
      </c>
      <c r="G1121" s="120" t="s">
        <v>90</v>
      </c>
      <c r="H1121" s="174">
        <f t="shared" si="259"/>
        <v>843925</v>
      </c>
      <c r="I1121" s="174">
        <f t="shared" si="259"/>
        <v>78688</v>
      </c>
      <c r="J1121" s="171"/>
      <c r="K1121" s="196">
        <f>K$942</f>
        <v>2.5118</v>
      </c>
      <c r="L1121" s="120" t="s">
        <v>90</v>
      </c>
      <c r="M1121" s="174">
        <f>ROUND($K1121*D1121/100,0)</f>
        <v>85359</v>
      </c>
    </row>
    <row r="1122" spans="1:18">
      <c r="A1122" s="93" t="s">
        <v>316</v>
      </c>
      <c r="C1122" s="92">
        <f>SUM(C1118:C1121)</f>
        <v>88787883</v>
      </c>
      <c r="D1122" s="92">
        <f>D1124-D1112</f>
        <v>8278590</v>
      </c>
      <c r="E1122" s="92"/>
      <c r="F1122" s="155"/>
      <c r="G1122" s="120"/>
      <c r="H1122" s="96">
        <f>SUM(H1115:H1121)</f>
        <v>3665829</v>
      </c>
      <c r="I1122" s="96">
        <f>SUM(I1115:I1121)</f>
        <v>341803</v>
      </c>
      <c r="J1122" s="92"/>
      <c r="K1122" s="155"/>
      <c r="L1122" s="120"/>
      <c r="M1122" s="96">
        <f>SUM(M1115:M1121)</f>
        <v>370729</v>
      </c>
    </row>
    <row r="1123" spans="1:18">
      <c r="A1123" s="129" t="s">
        <v>103</v>
      </c>
      <c r="B1123" s="130"/>
      <c r="C1123" s="92">
        <v>1522784</v>
      </c>
      <c r="D1123" s="92"/>
      <c r="E1123" s="92"/>
      <c r="F1123" s="131"/>
      <c r="G1123" s="9"/>
      <c r="H1123" s="96">
        <v>46158</v>
      </c>
      <c r="I1123" s="96"/>
      <c r="J1123" s="92"/>
      <c r="K1123" s="131"/>
      <c r="L1123" s="9"/>
      <c r="M1123" s="96"/>
      <c r="N1123" s="121"/>
      <c r="O1123" s="121"/>
      <c r="P1123" s="121"/>
    </row>
    <row r="1124" spans="1:18" ht="16.5" thickBot="1">
      <c r="A1124" s="93" t="s">
        <v>326</v>
      </c>
      <c r="C1124" s="205">
        <f>SUM(C1112,C1122:C1123)</f>
        <v>201225667</v>
      </c>
      <c r="D1124" s="205">
        <v>173984215</v>
      </c>
      <c r="E1124" s="205"/>
      <c r="F1124" s="206"/>
      <c r="H1124" s="207">
        <f>H1112+H1122+H1123</f>
        <v>6133819</v>
      </c>
      <c r="I1124" s="207">
        <f>I1112+I1122+I1123</f>
        <v>3951837</v>
      </c>
      <c r="J1124" s="205"/>
      <c r="K1124" s="206"/>
      <c r="M1124" s="207">
        <f>M1112+M1122+M1123</f>
        <v>4015943</v>
      </c>
      <c r="O1124" s="72" t="s">
        <v>86</v>
      </c>
      <c r="P1124" s="121">
        <f>M1124/I1124-1</f>
        <v>1.622182291425478E-2</v>
      </c>
    </row>
    <row r="1125" spans="1:18" ht="16.5" thickTop="1"/>
    <row r="1126" spans="1:18" ht="18.75">
      <c r="A1126" s="197" t="s">
        <v>327</v>
      </c>
      <c r="C1126" s="92"/>
      <c r="D1126" s="92"/>
      <c r="E1126" s="92"/>
      <c r="F1126" s="150"/>
      <c r="G1126" s="150"/>
      <c r="J1126" s="92"/>
      <c r="K1126" s="150"/>
      <c r="L1126" s="150"/>
    </row>
    <row r="1127" spans="1:18">
      <c r="A1127" s="129" t="s">
        <v>294</v>
      </c>
      <c r="C1127" s="92"/>
      <c r="D1127" s="92"/>
      <c r="E1127" s="92"/>
      <c r="J1127" s="92"/>
    </row>
    <row r="1128" spans="1:18">
      <c r="A1128" s="129" t="s">
        <v>295</v>
      </c>
      <c r="B1128" s="177"/>
      <c r="C1128" s="193">
        <v>168</v>
      </c>
      <c r="D1128" s="92">
        <v>180</v>
      </c>
      <c r="E1128" s="92"/>
      <c r="F1128" s="198">
        <v>55</v>
      </c>
      <c r="G1128" s="95"/>
      <c r="H1128" s="96">
        <f t="shared" ref="H1128:I1130" si="260">ROUND($F1128*C1128,0)</f>
        <v>9240</v>
      </c>
      <c r="I1128" s="96">
        <f t="shared" si="260"/>
        <v>9900</v>
      </c>
      <c r="J1128" s="92"/>
      <c r="K1128" s="198">
        <f>K$1081</f>
        <v>59</v>
      </c>
      <c r="L1128" s="95"/>
      <c r="M1128" s="96">
        <f>ROUND($K1128*D1128,0)</f>
        <v>10620</v>
      </c>
      <c r="O1128" s="89"/>
      <c r="P1128" s="193"/>
    </row>
    <row r="1129" spans="1:18">
      <c r="A1129" s="129" t="s">
        <v>296</v>
      </c>
      <c r="B1129" s="177"/>
      <c r="C1129" s="193"/>
      <c r="D1129" s="92"/>
      <c r="E1129" s="92"/>
      <c r="F1129" s="198">
        <v>72</v>
      </c>
      <c r="G1129" s="95"/>
      <c r="H1129" s="96">
        <f t="shared" si="260"/>
        <v>0</v>
      </c>
      <c r="I1129" s="96">
        <f t="shared" si="260"/>
        <v>0</v>
      </c>
      <c r="J1129" s="92"/>
      <c r="K1129" s="198">
        <f>K$1082</f>
        <v>77</v>
      </c>
      <c r="L1129" s="95"/>
      <c r="M1129" s="96">
        <f>ROUND($K1129*D1129,0)</f>
        <v>0</v>
      </c>
      <c r="O1129" s="103" t="s">
        <v>79</v>
      </c>
      <c r="P1129" s="104">
        <f>M1170</f>
        <v>1677640</v>
      </c>
    </row>
    <row r="1130" spans="1:18">
      <c r="A1130" s="129" t="s">
        <v>297</v>
      </c>
      <c r="B1130" s="177"/>
      <c r="C1130" s="193"/>
      <c r="D1130" s="92"/>
      <c r="E1130" s="92"/>
      <c r="F1130" s="199">
        <v>266</v>
      </c>
      <c r="G1130" s="147"/>
      <c r="H1130" s="96">
        <f t="shared" si="260"/>
        <v>0</v>
      </c>
      <c r="I1130" s="96">
        <f t="shared" si="260"/>
        <v>0</v>
      </c>
      <c r="J1130" s="92"/>
      <c r="K1130" s="198">
        <f>K$1083</f>
        <v>294</v>
      </c>
      <c r="L1130" s="147"/>
      <c r="M1130" s="96">
        <f>ROUND($K1130*D1130,0)</f>
        <v>0</v>
      </c>
      <c r="O1130" s="106" t="s">
        <v>81</v>
      </c>
      <c r="P1130" s="107">
        <f>'Rate Spread'!M31*1000+M1157</f>
        <v>1812096.9233636679</v>
      </c>
    </row>
    <row r="1131" spans="1:18">
      <c r="A1131" s="129" t="s">
        <v>298</v>
      </c>
      <c r="B1131" s="177"/>
      <c r="C1131" s="193"/>
      <c r="D1131" s="92"/>
      <c r="E1131" s="92"/>
      <c r="F1131" s="198"/>
      <c r="G1131" s="194"/>
      <c r="H1131" s="96"/>
      <c r="I1131" s="96"/>
      <c r="J1131" s="92"/>
      <c r="K1131" s="198"/>
      <c r="L1131" s="194"/>
      <c r="M1131" s="96"/>
      <c r="O1131" s="109" t="s">
        <v>83</v>
      </c>
      <c r="P1131" s="110">
        <f>P1130-P1129</f>
        <v>134456.92336366791</v>
      </c>
    </row>
    <row r="1132" spans="1:18">
      <c r="A1132" s="129" t="s">
        <v>299</v>
      </c>
      <c r="B1132" s="177"/>
      <c r="C1132" s="193"/>
      <c r="D1132" s="92">
        <f>D1128</f>
        <v>180</v>
      </c>
      <c r="E1132" s="92"/>
      <c r="F1132" s="198">
        <v>113</v>
      </c>
      <c r="G1132" s="194"/>
      <c r="H1132" s="96">
        <f t="shared" ref="H1132:I1134" si="261">ROUND($F1132*C1132,0)</f>
        <v>0</v>
      </c>
      <c r="I1132" s="96">
        <f t="shared" si="261"/>
        <v>20340</v>
      </c>
      <c r="J1132" s="92"/>
      <c r="K1132" s="198">
        <f>K$1085</f>
        <v>123</v>
      </c>
      <c r="L1132" s="194"/>
      <c r="M1132" s="96">
        <f>ROUND($K1132*D1132,0)</f>
        <v>22140</v>
      </c>
      <c r="O1132" s="103" t="s">
        <v>86</v>
      </c>
      <c r="P1132" s="149">
        <f>P1129/I1170-1</f>
        <v>9.961513292753521E-3</v>
      </c>
    </row>
    <row r="1133" spans="1:18" s="200" customFormat="1">
      <c r="A1133" s="129" t="s">
        <v>300</v>
      </c>
      <c r="B1133" s="177"/>
      <c r="C1133" s="193"/>
      <c r="D1133" s="92">
        <f>D1128</f>
        <v>180</v>
      </c>
      <c r="E1133" s="92"/>
      <c r="F1133" s="198">
        <v>154</v>
      </c>
      <c r="G1133" s="194"/>
      <c r="H1133" s="96">
        <f t="shared" si="261"/>
        <v>0</v>
      </c>
      <c r="I1133" s="96">
        <f t="shared" si="261"/>
        <v>27720</v>
      </c>
      <c r="J1133" s="92"/>
      <c r="K1133" s="198">
        <f>K$1086</f>
        <v>168</v>
      </c>
      <c r="L1133" s="194"/>
      <c r="M1133" s="96">
        <f>ROUND($K1133*D1133,0)</f>
        <v>30240</v>
      </c>
      <c r="N1133" s="72"/>
      <c r="O1133" s="106" t="s">
        <v>88</v>
      </c>
      <c r="P1133" s="148">
        <f>P1130/I1170-1</f>
        <v>9.0906363077604802E-2</v>
      </c>
      <c r="Q1133" s="72"/>
      <c r="R1133" s="72"/>
    </row>
    <row r="1134" spans="1:18" s="200" customFormat="1">
      <c r="A1134" s="93" t="s">
        <v>87</v>
      </c>
      <c r="B1134" s="72"/>
      <c r="C1134" s="92"/>
      <c r="D1134" s="92">
        <v>125.11677889916446</v>
      </c>
      <c r="E1134" s="92"/>
      <c r="F1134" s="95">
        <v>-0.5</v>
      </c>
      <c r="G1134" s="95"/>
      <c r="H1134" s="96">
        <f t="shared" si="261"/>
        <v>0</v>
      </c>
      <c r="I1134" s="96">
        <f t="shared" si="261"/>
        <v>-63</v>
      </c>
      <c r="J1134" s="92"/>
      <c r="K1134" s="198">
        <f>K$1087</f>
        <v>-0.5</v>
      </c>
      <c r="L1134" s="95"/>
      <c r="M1134" s="96">
        <f>ROUND($K1134*D1134,0)</f>
        <v>-63</v>
      </c>
      <c r="N1134" s="72"/>
      <c r="O1134" s="124"/>
      <c r="P1134" s="151"/>
      <c r="Q1134" s="72"/>
      <c r="R1134" s="72"/>
    </row>
    <row r="1135" spans="1:18" s="200" customFormat="1">
      <c r="A1135" s="129" t="s">
        <v>301</v>
      </c>
      <c r="B1135" s="177"/>
      <c r="C1135" s="193"/>
      <c r="D1135" s="92"/>
      <c r="E1135" s="92"/>
      <c r="F1135" s="199"/>
      <c r="G1135" s="195"/>
      <c r="H1135" s="96"/>
      <c r="I1135" s="96"/>
      <c r="J1135" s="92"/>
      <c r="K1135" s="199"/>
      <c r="L1135" s="195"/>
      <c r="M1135" s="96"/>
      <c r="N1135" s="72"/>
      <c r="O1135" s="72"/>
      <c r="P1135" s="72"/>
      <c r="Q1135" s="72"/>
      <c r="R1135" s="72"/>
    </row>
    <row r="1136" spans="1:18" s="200" customFormat="1">
      <c r="A1136" s="129" t="s">
        <v>302</v>
      </c>
      <c r="B1136" s="177"/>
      <c r="C1136" s="193"/>
      <c r="D1136" s="92">
        <f>D1093/D1112*D1158</f>
        <v>38856.800895956374</v>
      </c>
      <c r="E1136" s="92"/>
      <c r="F1136" s="198">
        <v>7.52</v>
      </c>
      <c r="G1136" s="194"/>
      <c r="H1136" s="96">
        <f t="shared" ref="H1136:I1140" si="262">ROUND($F1136*C1136,0)</f>
        <v>0</v>
      </c>
      <c r="I1136" s="96">
        <f t="shared" si="262"/>
        <v>292203</v>
      </c>
      <c r="J1136" s="92"/>
      <c r="K1136" s="198">
        <f>K$1089</f>
        <v>9.02</v>
      </c>
      <c r="L1136" s="194"/>
      <c r="M1136" s="96">
        <f>ROUND($K1136*D1136,0)</f>
        <v>350488</v>
      </c>
      <c r="N1136" s="72"/>
      <c r="O1136" s="72"/>
      <c r="P1136" s="72"/>
      <c r="Q1136" s="72"/>
      <c r="R1136" s="72"/>
    </row>
    <row r="1137" spans="1:18" s="200" customFormat="1">
      <c r="A1137" s="129" t="s">
        <v>303</v>
      </c>
      <c r="B1137" s="177"/>
      <c r="C1137" s="193"/>
      <c r="D1137" s="92"/>
      <c r="E1137" s="92"/>
      <c r="F1137" s="198">
        <v>6.56</v>
      </c>
      <c r="G1137" s="194"/>
      <c r="H1137" s="96">
        <f t="shared" si="262"/>
        <v>0</v>
      </c>
      <c r="I1137" s="96">
        <f t="shared" si="262"/>
        <v>0</v>
      </c>
      <c r="J1137" s="92"/>
      <c r="K1137" s="198">
        <f>K$1090</f>
        <v>8.16</v>
      </c>
      <c r="L1137" s="194"/>
      <c r="M1137" s="96">
        <f>ROUND($K1137*D1137,0)</f>
        <v>0</v>
      </c>
      <c r="N1137" s="72"/>
      <c r="O1137" s="72"/>
      <c r="P1137" s="72"/>
      <c r="Q1137" s="72"/>
      <c r="R1137" s="72"/>
    </row>
    <row r="1138" spans="1:18" s="200" customFormat="1">
      <c r="A1138" s="129" t="s">
        <v>304</v>
      </c>
      <c r="B1138" s="177"/>
      <c r="C1138" s="193"/>
      <c r="D1138" s="92"/>
      <c r="E1138" s="92"/>
      <c r="F1138" s="198">
        <v>8.3699999999999992</v>
      </c>
      <c r="G1138" s="95"/>
      <c r="H1138" s="96">
        <f t="shared" si="262"/>
        <v>0</v>
      </c>
      <c r="I1138" s="96">
        <f t="shared" si="262"/>
        <v>0</v>
      </c>
      <c r="J1138" s="92"/>
      <c r="K1138" s="198">
        <f>K$1091</f>
        <v>10.37</v>
      </c>
      <c r="L1138" s="95"/>
      <c r="M1138" s="96">
        <f>ROUND($K1138*D1138,0)</f>
        <v>0</v>
      </c>
      <c r="N1138" s="72"/>
      <c r="O1138" s="72"/>
      <c r="P1138" s="72"/>
      <c r="Q1138" s="72"/>
      <c r="R1138" s="72"/>
    </row>
    <row r="1139" spans="1:18" s="200" customFormat="1">
      <c r="A1139" s="129" t="s">
        <v>305</v>
      </c>
      <c r="B1139" s="177"/>
      <c r="C1139" s="193"/>
      <c r="D1139" s="92"/>
      <c r="E1139" s="92"/>
      <c r="F1139" s="198">
        <v>7.24</v>
      </c>
      <c r="G1139" s="194"/>
      <c r="H1139" s="96">
        <f t="shared" si="262"/>
        <v>0</v>
      </c>
      <c r="I1139" s="96">
        <f t="shared" si="262"/>
        <v>0</v>
      </c>
      <c r="J1139" s="92"/>
      <c r="K1139" s="198">
        <f>K$1092</f>
        <v>9.7100000000000009</v>
      </c>
      <c r="L1139" s="194"/>
      <c r="M1139" s="96">
        <f>ROUND($K1139*D1139,0)</f>
        <v>0</v>
      </c>
      <c r="N1139" s="72"/>
      <c r="O1139" s="72"/>
      <c r="P1139" s="72"/>
      <c r="Q1139" s="72"/>
      <c r="R1139" s="72"/>
    </row>
    <row r="1140" spans="1:18" s="200" customFormat="1">
      <c r="A1140" s="129" t="s">
        <v>297</v>
      </c>
      <c r="B1140" s="177"/>
      <c r="C1140" s="193"/>
      <c r="D1140" s="92"/>
      <c r="E1140" s="92"/>
      <c r="F1140" s="198">
        <v>4.3499999999999996</v>
      </c>
      <c r="G1140" s="194"/>
      <c r="H1140" s="96">
        <f t="shared" si="262"/>
        <v>0</v>
      </c>
      <c r="I1140" s="96">
        <f t="shared" si="262"/>
        <v>0</v>
      </c>
      <c r="J1140" s="92"/>
      <c r="K1140" s="198">
        <f>K$1093</f>
        <v>5.19</v>
      </c>
      <c r="L1140" s="194"/>
      <c r="M1140" s="96">
        <f>ROUND($K1140*D1140,0)</f>
        <v>0</v>
      </c>
      <c r="N1140" s="72"/>
      <c r="O1140" s="72"/>
      <c r="P1140" s="72"/>
      <c r="Q1140" s="72"/>
      <c r="R1140" s="72"/>
    </row>
    <row r="1141" spans="1:18" s="200" customFormat="1">
      <c r="A1141" s="129" t="s">
        <v>306</v>
      </c>
      <c r="B1141" s="72"/>
      <c r="C1141" s="193"/>
      <c r="D1141" s="92"/>
      <c r="E1141" s="92"/>
      <c r="F1141" s="199"/>
      <c r="G1141" s="72"/>
      <c r="H1141" s="72"/>
      <c r="I1141" s="72"/>
      <c r="J1141" s="92"/>
      <c r="K1141" s="199"/>
      <c r="L1141" s="72"/>
      <c r="M1141" s="72"/>
      <c r="N1141" s="72"/>
      <c r="O1141" s="72"/>
      <c r="P1141" s="92"/>
      <c r="Q1141" s="72"/>
      <c r="R1141" s="72"/>
    </row>
    <row r="1142" spans="1:18" s="200" customFormat="1">
      <c r="A1142" s="129" t="s">
        <v>307</v>
      </c>
      <c r="B1142" s="72"/>
      <c r="C1142" s="193"/>
      <c r="E1142" s="92"/>
      <c r="F1142" s="198"/>
      <c r="G1142" s="95"/>
      <c r="H1142" s="96"/>
      <c r="I1142" s="96"/>
      <c r="J1142" s="92"/>
      <c r="K1142" s="198"/>
      <c r="L1142" s="95"/>
      <c r="M1142" s="96"/>
      <c r="N1142" s="72"/>
      <c r="O1142" s="72"/>
      <c r="P1142" s="92"/>
      <c r="Q1142" s="72"/>
      <c r="R1142" s="72"/>
    </row>
    <row r="1143" spans="1:18" s="200" customFormat="1">
      <c r="A1143" s="129" t="s">
        <v>308</v>
      </c>
      <c r="B1143" s="72"/>
      <c r="C1143" s="193"/>
      <c r="D1143" s="92">
        <f>($D$1170/$C$1170*C1162-D1162)*(365-(2*52+8))/12</f>
        <v>348935.13426884153</v>
      </c>
      <c r="E1143" s="92"/>
      <c r="F1143" s="198">
        <v>0.56999999999999995</v>
      </c>
      <c r="G1143" s="95"/>
      <c r="H1143" s="96">
        <f>ROUND($F1143*C1143,0)</f>
        <v>0</v>
      </c>
      <c r="I1143" s="96">
        <f>ROUND($F1143*D1143,0)</f>
        <v>198893</v>
      </c>
      <c r="J1143" s="92"/>
      <c r="K1143" s="198">
        <f>K$1096</f>
        <v>0.45</v>
      </c>
      <c r="L1143" s="95"/>
      <c r="M1143" s="96">
        <f>ROUND($K1143*D1143,0)</f>
        <v>157021</v>
      </c>
      <c r="N1143" s="72"/>
      <c r="O1143" s="72"/>
      <c r="P1143" s="72"/>
      <c r="Q1143" s="72"/>
      <c r="R1143" s="72"/>
    </row>
    <row r="1144" spans="1:18" s="200" customFormat="1">
      <c r="A1144" s="129" t="s">
        <v>309</v>
      </c>
      <c r="B1144" s="72"/>
      <c r="C1144" s="193"/>
      <c r="D1144" s="92">
        <f>($D$1170/$C$1170*C1163-D1163)*(365-(2*52+8))/12</f>
        <v>530312.1945788915</v>
      </c>
      <c r="E1144" s="92"/>
      <c r="F1144" s="198">
        <v>0.48</v>
      </c>
      <c r="G1144" s="95"/>
      <c r="H1144" s="96">
        <f>ROUND($F1144*C1144,0)</f>
        <v>0</v>
      </c>
      <c r="I1144" s="96">
        <f>ROUND($F1144*D1144,0)</f>
        <v>254550</v>
      </c>
      <c r="J1144" s="92"/>
      <c r="K1144" s="198">
        <f>K$1097</f>
        <v>0.37</v>
      </c>
      <c r="L1144" s="95"/>
      <c r="M1144" s="96">
        <f>ROUND($K1144*D1144,0)</f>
        <v>196216</v>
      </c>
      <c r="N1144" s="72"/>
      <c r="O1144" s="72"/>
      <c r="P1144" s="72"/>
      <c r="Q1144" s="72"/>
      <c r="R1144" s="72"/>
    </row>
    <row r="1145" spans="1:18" s="200" customFormat="1">
      <c r="A1145" s="129" t="s">
        <v>310</v>
      </c>
      <c r="B1145" s="72"/>
      <c r="C1145" s="193"/>
      <c r="D1145" s="92"/>
      <c r="E1145" s="92"/>
      <c r="F1145" s="198"/>
      <c r="G1145" s="194"/>
      <c r="H1145" s="96"/>
      <c r="I1145" s="96"/>
      <c r="J1145" s="92"/>
      <c r="K1145" s="198"/>
      <c r="L1145" s="194"/>
      <c r="M1145" s="96"/>
      <c r="N1145" s="72"/>
      <c r="O1145" s="72"/>
      <c r="P1145" s="72"/>
      <c r="Q1145" s="72"/>
      <c r="R1145" s="72"/>
    </row>
    <row r="1146" spans="1:18" s="200" customFormat="1">
      <c r="A1146" s="129" t="s">
        <v>308</v>
      </c>
      <c r="B1146" s="72"/>
      <c r="C1146" s="193"/>
      <c r="D1146" s="92"/>
      <c r="E1146" s="92"/>
      <c r="F1146" s="198">
        <v>0.56999999999999995</v>
      </c>
      <c r="G1146" s="194"/>
      <c r="H1146" s="96">
        <f>ROUND($F1146*C1146,0)</f>
        <v>0</v>
      </c>
      <c r="I1146" s="96">
        <f>ROUND($F1146*D1146,0)</f>
        <v>0</v>
      </c>
      <c r="J1146" s="92"/>
      <c r="K1146" s="198">
        <f>K$1099</f>
        <v>0.45</v>
      </c>
      <c r="L1146" s="194"/>
      <c r="M1146" s="96">
        <f>ROUND($K1146*D1146,0)</f>
        <v>0</v>
      </c>
      <c r="N1146" s="72"/>
      <c r="O1146" s="72"/>
      <c r="P1146" s="72"/>
      <c r="Q1146" s="72"/>
      <c r="R1146" s="72"/>
    </row>
    <row r="1147" spans="1:18" s="200" customFormat="1">
      <c r="A1147" s="129" t="s">
        <v>309</v>
      </c>
      <c r="B1147" s="72"/>
      <c r="C1147" s="193"/>
      <c r="D1147" s="92"/>
      <c r="E1147" s="92"/>
      <c r="F1147" s="198">
        <v>0.47</v>
      </c>
      <c r="G1147" s="194"/>
      <c r="H1147" s="96">
        <f>ROUND($F1147*C1147,0)</f>
        <v>0</v>
      </c>
      <c r="I1147" s="96">
        <f>ROUND($F1147*D1147,0)</f>
        <v>0</v>
      </c>
      <c r="J1147" s="92"/>
      <c r="K1147" s="198">
        <f>K$1100</f>
        <v>0.37</v>
      </c>
      <c r="L1147" s="194"/>
      <c r="M1147" s="96">
        <f>ROUND($K1147*D1147,0)</f>
        <v>0</v>
      </c>
      <c r="N1147" s="72"/>
      <c r="O1147" s="72"/>
      <c r="P1147" s="72"/>
      <c r="Q1147" s="72"/>
      <c r="R1147" s="72"/>
    </row>
    <row r="1148" spans="1:18" s="200" customFormat="1">
      <c r="A1148" s="129" t="s">
        <v>311</v>
      </c>
      <c r="B1148" s="72"/>
      <c r="C1148" s="193"/>
      <c r="D1148" s="92"/>
      <c r="E1148" s="92"/>
      <c r="F1148" s="199"/>
      <c r="G1148" s="195"/>
      <c r="H1148" s="96"/>
      <c r="I1148" s="96"/>
      <c r="J1148" s="92"/>
      <c r="K1148" s="199"/>
      <c r="L1148" s="195"/>
      <c r="M1148" s="96"/>
      <c r="N1148" s="72"/>
      <c r="O1148" s="72"/>
      <c r="P1148" s="72"/>
      <c r="Q1148" s="72"/>
      <c r="R1148" s="72"/>
    </row>
    <row r="1149" spans="1:18" s="200" customFormat="1">
      <c r="A1149" s="129" t="s">
        <v>308</v>
      </c>
      <c r="B1149" s="72"/>
      <c r="C1149" s="193"/>
      <c r="D1149" s="92"/>
      <c r="E1149" s="92"/>
      <c r="F1149" s="198">
        <v>0.72</v>
      </c>
      <c r="G1149" s="194"/>
      <c r="H1149" s="96">
        <f>ROUND($F1149*C1149,0)</f>
        <v>0</v>
      </c>
      <c r="I1149" s="96">
        <f>ROUND($F1149*D1149,0)</f>
        <v>0</v>
      </c>
      <c r="J1149" s="92"/>
      <c r="K1149" s="198">
        <f>K$1102</f>
        <v>0.55000000000000004</v>
      </c>
      <c r="L1149" s="194"/>
      <c r="M1149" s="96">
        <f>ROUND($K1149*D1149,0)</f>
        <v>0</v>
      </c>
      <c r="N1149" s="72"/>
      <c r="O1149" s="72"/>
      <c r="P1149" s="72"/>
      <c r="Q1149" s="72"/>
      <c r="R1149" s="72"/>
    </row>
    <row r="1150" spans="1:18" s="200" customFormat="1">
      <c r="A1150" s="129" t="s">
        <v>309</v>
      </c>
      <c r="B1150" s="72"/>
      <c r="C1150" s="193"/>
      <c r="D1150" s="92"/>
      <c r="E1150" s="92"/>
      <c r="F1150" s="198">
        <v>0.61</v>
      </c>
      <c r="G1150" s="194"/>
      <c r="H1150" s="96">
        <f>ROUND($F1150*C1150,0)</f>
        <v>0</v>
      </c>
      <c r="I1150" s="96">
        <f>ROUND($F1150*D1150,0)</f>
        <v>0</v>
      </c>
      <c r="J1150" s="92"/>
      <c r="K1150" s="198">
        <f>K$1103</f>
        <v>0.46</v>
      </c>
      <c r="L1150" s="194"/>
      <c r="M1150" s="96">
        <f>ROUND($K1150*D1150,0)</f>
        <v>0</v>
      </c>
      <c r="N1150" s="72"/>
      <c r="O1150" s="72"/>
      <c r="P1150" s="72"/>
      <c r="Q1150" s="72"/>
      <c r="R1150" s="72"/>
    </row>
    <row r="1151" spans="1:18" s="200" customFormat="1">
      <c r="A1151" s="129" t="s">
        <v>312</v>
      </c>
      <c r="B1151" s="72"/>
      <c r="C1151" s="193"/>
      <c r="D1151" s="92"/>
      <c r="E1151" s="92"/>
      <c r="F1151" s="198"/>
      <c r="G1151" s="95"/>
      <c r="H1151" s="96"/>
      <c r="I1151" s="96"/>
      <c r="J1151" s="92"/>
      <c r="K1151" s="198"/>
      <c r="L1151" s="95"/>
      <c r="M1151" s="96"/>
      <c r="N1151" s="72"/>
      <c r="O1151" s="72"/>
      <c r="P1151" s="72"/>
      <c r="Q1151" s="72"/>
      <c r="R1151" s="72"/>
    </row>
    <row r="1152" spans="1:18" s="200" customFormat="1">
      <c r="A1152" s="129" t="s">
        <v>308</v>
      </c>
      <c r="B1152" s="72"/>
      <c r="C1152" s="193"/>
      <c r="D1152" s="92"/>
      <c r="E1152" s="92"/>
      <c r="F1152" s="198">
        <v>0.71</v>
      </c>
      <c r="G1152" s="194"/>
      <c r="H1152" s="96">
        <f>ROUND($F1152*C1152,0)</f>
        <v>0</v>
      </c>
      <c r="I1152" s="96">
        <f>ROUND($F1152*D1152,0)</f>
        <v>0</v>
      </c>
      <c r="J1152" s="92"/>
      <c r="K1152" s="198">
        <f>K$1105</f>
        <v>0.53</v>
      </c>
      <c r="L1152" s="194"/>
      <c r="M1152" s="96">
        <f>ROUND($K1152*D1152,0)</f>
        <v>0</v>
      </c>
      <c r="N1152" s="72"/>
      <c r="O1152" s="72"/>
      <c r="P1152" s="72"/>
      <c r="Q1152" s="72"/>
      <c r="R1152" s="72"/>
    </row>
    <row r="1153" spans="1:18" s="200" customFormat="1">
      <c r="A1153" s="129" t="s">
        <v>309</v>
      </c>
      <c r="B1153" s="72"/>
      <c r="C1153" s="193"/>
      <c r="D1153" s="92"/>
      <c r="E1153" s="92"/>
      <c r="F1153" s="198">
        <v>0.59</v>
      </c>
      <c r="G1153" s="194"/>
      <c r="H1153" s="96">
        <f>ROUND($F1153*C1153,0)</f>
        <v>0</v>
      </c>
      <c r="I1153" s="96">
        <f>ROUND($F1153*D1153,0)</f>
        <v>0</v>
      </c>
      <c r="J1153" s="92"/>
      <c r="K1153" s="198">
        <f>K$1106</f>
        <v>0.44</v>
      </c>
      <c r="L1153" s="194"/>
      <c r="M1153" s="96">
        <f>ROUND($K1153*D1153,0)</f>
        <v>0</v>
      </c>
      <c r="N1153" s="72"/>
      <c r="O1153" s="72"/>
      <c r="P1153" s="72"/>
      <c r="Q1153" s="72"/>
      <c r="R1153" s="72"/>
    </row>
    <row r="1154" spans="1:18" s="200" customFormat="1">
      <c r="A1154" s="129" t="s">
        <v>313</v>
      </c>
      <c r="B1154" s="72"/>
      <c r="C1154" s="193"/>
      <c r="D1154" s="92"/>
      <c r="E1154" s="92"/>
      <c r="F1154" s="199"/>
      <c r="G1154" s="72"/>
      <c r="H1154" s="72"/>
      <c r="I1154" s="72"/>
      <c r="J1154" s="92"/>
      <c r="K1154" s="199"/>
      <c r="L1154" s="72"/>
      <c r="M1154" s="72"/>
      <c r="N1154" s="72"/>
      <c r="O1154" s="72"/>
      <c r="P1154" s="72"/>
      <c r="Q1154" s="72"/>
      <c r="R1154" s="72"/>
    </row>
    <row r="1155" spans="1:18" s="200" customFormat="1">
      <c r="A1155" s="129" t="s">
        <v>308</v>
      </c>
      <c r="B1155" s="72"/>
      <c r="C1155" s="193"/>
      <c r="D1155" s="92"/>
      <c r="E1155" s="92"/>
      <c r="F1155" s="198">
        <v>0.71</v>
      </c>
      <c r="G1155" s="95"/>
      <c r="H1155" s="96">
        <f>ROUND($F1155*C1155,0)</f>
        <v>0</v>
      </c>
      <c r="I1155" s="96">
        <f>ROUND($F1155*D1155,0)</f>
        <v>0</v>
      </c>
      <c r="J1155" s="92"/>
      <c r="K1155" s="198">
        <f>K$1108</f>
        <v>0.63</v>
      </c>
      <c r="L1155" s="95"/>
      <c r="M1155" s="96">
        <f>ROUND($K1155*D1155,0)</f>
        <v>0</v>
      </c>
      <c r="N1155" s="72"/>
      <c r="O1155" s="72"/>
      <c r="P1155" s="72"/>
      <c r="Q1155" s="72"/>
      <c r="R1155" s="72"/>
    </row>
    <row r="1156" spans="1:18" s="200" customFormat="1">
      <c r="A1156" s="129" t="s">
        <v>309</v>
      </c>
      <c r="B1156" s="72"/>
      <c r="C1156" s="193"/>
      <c r="D1156" s="92"/>
      <c r="E1156" s="92"/>
      <c r="F1156" s="198">
        <v>0.61</v>
      </c>
      <c r="G1156" s="95"/>
      <c r="H1156" s="96">
        <f>ROUND($F1156*C1156,0)</f>
        <v>0</v>
      </c>
      <c r="I1156" s="96">
        <f>ROUND($F1156*D1156,0)</f>
        <v>0</v>
      </c>
      <c r="J1156" s="92"/>
      <c r="K1156" s="198">
        <f>K$1109</f>
        <v>0.54</v>
      </c>
      <c r="L1156" s="95"/>
      <c r="M1156" s="96">
        <f>ROUND($K1156*D1156,0)</f>
        <v>0</v>
      </c>
      <c r="N1156" s="72"/>
      <c r="O1156" s="72"/>
      <c r="P1156" s="72"/>
      <c r="Q1156" s="72"/>
      <c r="R1156" s="72"/>
    </row>
    <row r="1157" spans="1:18" s="200" customFormat="1">
      <c r="A1157" s="93" t="s">
        <v>315</v>
      </c>
      <c r="B1157" s="72"/>
      <c r="C1157" s="92"/>
      <c r="D1157" s="92">
        <v>19450671.875000004</v>
      </c>
      <c r="E1157" s="92"/>
      <c r="F1157" s="201"/>
      <c r="G1157" s="120"/>
      <c r="H1157" s="96"/>
      <c r="I1157" s="96"/>
      <c r="J1157" s="92"/>
      <c r="K1157" s="201"/>
      <c r="L1157" s="120"/>
      <c r="M1157" s="96"/>
      <c r="N1157" s="72"/>
      <c r="O1157" s="201"/>
      <c r="P1157" s="102"/>
      <c r="Q1157" s="72"/>
      <c r="R1157" s="72"/>
    </row>
    <row r="1158" spans="1:18">
      <c r="A1158" s="93" t="s">
        <v>316</v>
      </c>
      <c r="C1158" s="187">
        <f>C1157</f>
        <v>0</v>
      </c>
      <c r="D1158" s="187">
        <f>D1157</f>
        <v>19450671.875000004</v>
      </c>
      <c r="E1158" s="94"/>
      <c r="F1158" s="150"/>
      <c r="G1158" s="150"/>
      <c r="H1158" s="185">
        <f>SUM(H1128:H1157)</f>
        <v>9240</v>
      </c>
      <c r="I1158" s="185">
        <f>SUM(I1128:I1157)</f>
        <v>803543</v>
      </c>
      <c r="J1158" s="94"/>
      <c r="K1158" s="150"/>
      <c r="L1158" s="150"/>
      <c r="M1158" s="185">
        <f>SUM(M1128:M1157)</f>
        <v>766662</v>
      </c>
    </row>
    <row r="1159" spans="1:18">
      <c r="A1159" s="202" t="s">
        <v>317</v>
      </c>
    </row>
    <row r="1160" spans="1:18">
      <c r="A1160" s="90" t="s">
        <v>328</v>
      </c>
      <c r="C1160" s="92"/>
      <c r="D1160" s="92"/>
      <c r="E1160" s="92"/>
      <c r="F1160" s="147"/>
      <c r="G1160" s="147"/>
      <c r="H1160" s="96"/>
      <c r="I1160" s="96"/>
      <c r="J1160" s="92"/>
      <c r="K1160" s="147"/>
      <c r="L1160" s="147"/>
      <c r="M1160" s="96"/>
    </row>
    <row r="1161" spans="1:18">
      <c r="A1161" s="93" t="s">
        <v>122</v>
      </c>
      <c r="C1161" s="92">
        <v>63794</v>
      </c>
      <c r="D1161" s="92">
        <f>C1161/($C$1168-$C$1167)*($D$1168-$D$1167)</f>
        <v>26047.788072014733</v>
      </c>
      <c r="E1161" s="92"/>
      <c r="F1161" s="147">
        <v>3.99</v>
      </c>
      <c r="G1161" s="95"/>
      <c r="H1161" s="96">
        <f t="shared" ref="H1161:I1163" si="263">ROUND($F1161*C1161,0)</f>
        <v>254538</v>
      </c>
      <c r="I1161" s="96">
        <f t="shared" si="263"/>
        <v>103931</v>
      </c>
      <c r="J1161" s="92"/>
      <c r="K1161" s="147">
        <f>K$115</f>
        <v>4.3600000000000003</v>
      </c>
      <c r="L1161" s="95"/>
      <c r="M1161" s="96">
        <f>ROUND($K1161*D1161,0)</f>
        <v>113568</v>
      </c>
    </row>
    <row r="1162" spans="1:18">
      <c r="A1162" s="93" t="s">
        <v>123</v>
      </c>
      <c r="C1162" s="92">
        <v>25317.072343632299</v>
      </c>
      <c r="D1162" s="92">
        <f t="shared" ref="D1162:D1163" si="264">C1162/($C$1168-$C$1167)*($D$1168-$D$1167)</f>
        <v>10337.237593046359</v>
      </c>
      <c r="E1162" s="92"/>
      <c r="F1162" s="147">
        <v>13.27</v>
      </c>
      <c r="G1162" s="95"/>
      <c r="H1162" s="96">
        <f t="shared" si="263"/>
        <v>335958</v>
      </c>
      <c r="I1162" s="96">
        <f t="shared" si="263"/>
        <v>137175</v>
      </c>
      <c r="J1162" s="92"/>
      <c r="K1162" s="147">
        <f>K$116</f>
        <v>14.49</v>
      </c>
      <c r="L1162" s="95"/>
      <c r="M1162" s="96">
        <f>ROUND($K1162*D1162,0)</f>
        <v>149787</v>
      </c>
    </row>
    <row r="1163" spans="1:18">
      <c r="A1163" s="93" t="s">
        <v>124</v>
      </c>
      <c r="C1163" s="92">
        <v>38476.928449744497</v>
      </c>
      <c r="D1163" s="92">
        <f t="shared" si="264"/>
        <v>15710.550802912796</v>
      </c>
      <c r="E1163" s="92"/>
      <c r="F1163" s="147">
        <v>11.74</v>
      </c>
      <c r="G1163" s="95"/>
      <c r="H1163" s="96">
        <f t="shared" si="263"/>
        <v>451719</v>
      </c>
      <c r="I1163" s="96">
        <f t="shared" si="263"/>
        <v>184442</v>
      </c>
      <c r="J1163" s="92"/>
      <c r="K1163" s="147">
        <f>K$117</f>
        <v>12.82</v>
      </c>
      <c r="L1163" s="95"/>
      <c r="M1163" s="96">
        <f>ROUND($K1163*D1163,0)</f>
        <v>201409</v>
      </c>
    </row>
    <row r="1164" spans="1:18">
      <c r="A1164" s="93" t="s">
        <v>126</v>
      </c>
      <c r="C1164" s="92">
        <v>11583088</v>
      </c>
      <c r="D1164" s="92">
        <v>4278293.0546974754</v>
      </c>
      <c r="E1164" s="92"/>
      <c r="F1164" s="150">
        <v>3.8877999999999999</v>
      </c>
      <c r="G1164" s="120" t="s">
        <v>90</v>
      </c>
      <c r="H1164" s="96">
        <f>ROUND($F1164*C1164/100,0)</f>
        <v>450327</v>
      </c>
      <c r="I1164" s="96">
        <f>ROUND($F1164*D1164/100,0)</f>
        <v>166331</v>
      </c>
      <c r="J1164" s="92"/>
      <c r="K1164" s="150">
        <f>K$118</f>
        <v>4.0175000000000001</v>
      </c>
      <c r="L1164" s="120" t="s">
        <v>90</v>
      </c>
      <c r="M1164" s="96">
        <f>ROUND($K1164*D1164/100,0)</f>
        <v>171880</v>
      </c>
    </row>
    <row r="1165" spans="1:18">
      <c r="A1165" s="93" t="s">
        <v>127</v>
      </c>
      <c r="C1165" s="92">
        <v>17806649</v>
      </c>
      <c r="D1165" s="92">
        <v>7721858.0703025237</v>
      </c>
      <c r="E1165" s="92"/>
      <c r="F1165" s="150">
        <v>3.4405000000000001</v>
      </c>
      <c r="G1165" s="120" t="s">
        <v>90</v>
      </c>
      <c r="H1165" s="96">
        <f>ROUND($F1165*C1165/100,0)</f>
        <v>612638</v>
      </c>
      <c r="I1165" s="96">
        <f>ROUND($F1165*D1165/100,0)</f>
        <v>265671</v>
      </c>
      <c r="J1165" s="92"/>
      <c r="K1165" s="150">
        <f>K$119</f>
        <v>3.5527000000000002</v>
      </c>
      <c r="L1165" s="120" t="s">
        <v>90</v>
      </c>
      <c r="M1165" s="96">
        <f>ROUND($K1165*D1165/100,0)</f>
        <v>274334</v>
      </c>
    </row>
    <row r="1166" spans="1:18">
      <c r="A1166" s="93" t="s">
        <v>128</v>
      </c>
      <c r="C1166" s="92">
        <v>0</v>
      </c>
      <c r="D1166" s="92">
        <f>C1166/($C$1168-$C$1167)*($D$1168-$D$1167)</f>
        <v>0</v>
      </c>
      <c r="E1166" s="92"/>
      <c r="F1166" s="95">
        <v>-0.96</v>
      </c>
      <c r="G1166" s="95"/>
      <c r="H1166" s="96">
        <f>ROUND($F1166*C1166,0)</f>
        <v>0</v>
      </c>
      <c r="I1166" s="96">
        <f>ROUND($F1166*D1166,0)</f>
        <v>0</v>
      </c>
      <c r="J1166" s="92"/>
      <c r="K1166" s="95">
        <f>K$120</f>
        <v>-0.96</v>
      </c>
      <c r="L1166" s="95"/>
      <c r="M1166" s="96">
        <f>ROUND($K1166*D1166,0)</f>
        <v>0</v>
      </c>
    </row>
    <row r="1167" spans="1:18">
      <c r="A1167" s="129" t="s">
        <v>101</v>
      </c>
      <c r="C1167" s="92">
        <v>0</v>
      </c>
      <c r="D1167" s="92">
        <f>C1167</f>
        <v>0</v>
      </c>
      <c r="E1167" s="92"/>
      <c r="F1167" s="150">
        <v>7.125</v>
      </c>
      <c r="G1167" s="120" t="s">
        <v>90</v>
      </c>
      <c r="H1167" s="96">
        <f>ROUND($F1167*C1167/100,0)</f>
        <v>0</v>
      </c>
      <c r="I1167" s="96">
        <f>ROUND($F1167*D1167/100,0)</f>
        <v>0</v>
      </c>
      <c r="J1167" s="92"/>
      <c r="K1167" s="150">
        <f>K$121</f>
        <v>7.125</v>
      </c>
      <c r="L1167" s="120" t="s">
        <v>90</v>
      </c>
      <c r="M1167" s="96">
        <f>ROUND($K1167*D1167/100,0)</f>
        <v>0</v>
      </c>
    </row>
    <row r="1168" spans="1:18">
      <c r="A1168" s="93" t="s">
        <v>316</v>
      </c>
      <c r="C1168" s="171">
        <f>SUM(C1164:C1165,C1167)</f>
        <v>29389737</v>
      </c>
      <c r="D1168" s="171">
        <f>SUM(D1164:D1165,D1167)</f>
        <v>12000151.125</v>
      </c>
      <c r="E1168" s="171"/>
      <c r="F1168" s="196"/>
      <c r="G1168" s="173"/>
      <c r="H1168" s="174">
        <f>SUM(H1161:H1167)</f>
        <v>2105180</v>
      </c>
      <c r="I1168" s="174">
        <f>SUM(I1161:I1167)</f>
        <v>857550</v>
      </c>
      <c r="J1168" s="171"/>
      <c r="K1168" s="196"/>
      <c r="L1168" s="173"/>
      <c r="M1168" s="174">
        <f>SUM(M1161:M1167)</f>
        <v>910978</v>
      </c>
    </row>
    <row r="1169" spans="1:18">
      <c r="A1169" s="129" t="s">
        <v>103</v>
      </c>
      <c r="B1169" s="130"/>
      <c r="C1169" s="92">
        <v>224104</v>
      </c>
      <c r="D1169" s="92"/>
      <c r="E1169" s="92"/>
      <c r="F1169" s="131"/>
      <c r="G1169" s="9"/>
      <c r="H1169" s="96">
        <v>16034</v>
      </c>
      <c r="I1169" s="96"/>
      <c r="J1169" s="92"/>
      <c r="K1169" s="131"/>
      <c r="L1169" s="9"/>
      <c r="M1169" s="96"/>
      <c r="N1169" s="121"/>
      <c r="O1169" s="121"/>
      <c r="P1169" s="121"/>
    </row>
    <row r="1170" spans="1:18" ht="16.5" thickBot="1">
      <c r="A1170" s="133" t="s">
        <v>291</v>
      </c>
      <c r="B1170" s="134"/>
      <c r="C1170" s="135">
        <f>SUM(C1158,C1168:C1169)</f>
        <v>29613841</v>
      </c>
      <c r="D1170" s="135">
        <v>31450823</v>
      </c>
      <c r="E1170" s="135"/>
      <c r="F1170" s="134"/>
      <c r="G1170" s="134"/>
      <c r="H1170" s="136">
        <f>SUM(H1158,H1168:H1169)</f>
        <v>2130454</v>
      </c>
      <c r="I1170" s="136">
        <f>SUM(I1158,I1168:I1169)</f>
        <v>1661093</v>
      </c>
      <c r="J1170" s="135"/>
      <c r="K1170" s="134"/>
      <c r="L1170" s="134"/>
      <c r="M1170" s="136">
        <f>SUM(M1158,M1168:M1169)</f>
        <v>1677640</v>
      </c>
      <c r="O1170" s="72" t="s">
        <v>86</v>
      </c>
      <c r="P1170" s="121">
        <f>M1170/I1170-1</f>
        <v>9.961513292753521E-3</v>
      </c>
    </row>
    <row r="1171" spans="1:18" ht="16.5" thickTop="1"/>
    <row r="1172" spans="1:18" ht="18.75">
      <c r="A1172" s="197" t="s">
        <v>329</v>
      </c>
      <c r="C1172" s="92"/>
      <c r="D1172" s="92"/>
      <c r="E1172" s="92"/>
      <c r="F1172" s="150"/>
      <c r="G1172" s="150"/>
      <c r="J1172" s="92"/>
      <c r="K1172" s="150"/>
      <c r="L1172" s="150"/>
    </row>
    <row r="1173" spans="1:18">
      <c r="A1173" s="129" t="s">
        <v>294</v>
      </c>
      <c r="C1173" s="92"/>
      <c r="D1173" s="92"/>
      <c r="E1173" s="92"/>
      <c r="J1173" s="92"/>
    </row>
    <row r="1174" spans="1:18">
      <c r="A1174" s="129" t="s">
        <v>295</v>
      </c>
      <c r="B1174" s="177"/>
      <c r="C1174" s="193"/>
      <c r="D1174" s="92"/>
      <c r="E1174" s="92"/>
      <c r="F1174" s="198">
        <v>55</v>
      </c>
      <c r="G1174" s="95"/>
      <c r="H1174" s="96">
        <f t="shared" ref="H1174:I1176" si="265">ROUND($F1174*C1174,0)</f>
        <v>0</v>
      </c>
      <c r="I1174" s="96">
        <f t="shared" si="265"/>
        <v>0</v>
      </c>
      <c r="J1174" s="92"/>
      <c r="K1174" s="198">
        <f>K$1081</f>
        <v>59</v>
      </c>
      <c r="L1174" s="95"/>
      <c r="M1174" s="96">
        <f>ROUND($K1174*D1174,0)</f>
        <v>0</v>
      </c>
      <c r="O1174" s="89"/>
      <c r="P1174" s="193"/>
    </row>
    <row r="1175" spans="1:18">
      <c r="A1175" s="129" t="s">
        <v>296</v>
      </c>
      <c r="B1175" s="177"/>
      <c r="C1175" s="193">
        <v>64.233380281690103</v>
      </c>
      <c r="D1175" s="92">
        <v>72</v>
      </c>
      <c r="E1175" s="92"/>
      <c r="F1175" s="198">
        <v>72</v>
      </c>
      <c r="G1175" s="95"/>
      <c r="H1175" s="96">
        <f t="shared" si="265"/>
        <v>4625</v>
      </c>
      <c r="I1175" s="96">
        <f t="shared" si="265"/>
        <v>5184</v>
      </c>
      <c r="J1175" s="92"/>
      <c r="K1175" s="198">
        <f>K$1082</f>
        <v>77</v>
      </c>
      <c r="L1175" s="95"/>
      <c r="M1175" s="96">
        <f>ROUND($K1175*D1175,0)</f>
        <v>5544</v>
      </c>
      <c r="O1175" s="103" t="s">
        <v>79</v>
      </c>
      <c r="P1175" s="104">
        <f>M1217</f>
        <v>3724582</v>
      </c>
    </row>
    <row r="1176" spans="1:18">
      <c r="A1176" s="129" t="s">
        <v>297</v>
      </c>
      <c r="B1176" s="177"/>
      <c r="C1176" s="193"/>
      <c r="D1176" s="92"/>
      <c r="E1176" s="92"/>
      <c r="F1176" s="199">
        <v>266</v>
      </c>
      <c r="G1176" s="147"/>
      <c r="H1176" s="96">
        <f t="shared" si="265"/>
        <v>0</v>
      </c>
      <c r="I1176" s="96">
        <f t="shared" si="265"/>
        <v>0</v>
      </c>
      <c r="J1176" s="92"/>
      <c r="K1176" s="198">
        <f>K$1083</f>
        <v>294</v>
      </c>
      <c r="L1176" s="147"/>
      <c r="M1176" s="96">
        <f>ROUND($K1176*D1176,0)</f>
        <v>0</v>
      </c>
      <c r="O1176" s="106" t="s">
        <v>81</v>
      </c>
      <c r="P1176" s="107">
        <f>'Rate Spread'!M32*1000+M1203</f>
        <v>3914382.5756505202</v>
      </c>
    </row>
    <row r="1177" spans="1:18">
      <c r="A1177" s="129" t="s">
        <v>298</v>
      </c>
      <c r="B1177" s="177"/>
      <c r="C1177" s="193"/>
      <c r="D1177" s="92"/>
      <c r="E1177" s="92"/>
      <c r="F1177" s="198"/>
      <c r="G1177" s="194"/>
      <c r="H1177" s="96"/>
      <c r="I1177" s="96"/>
      <c r="J1177" s="92"/>
      <c r="K1177" s="198"/>
      <c r="L1177" s="194"/>
      <c r="M1177" s="96"/>
      <c r="O1177" s="109" t="s">
        <v>83</v>
      </c>
      <c r="P1177" s="110">
        <f>P1176-P1175</f>
        <v>189800.57565052016</v>
      </c>
    </row>
    <row r="1178" spans="1:18">
      <c r="A1178" s="129" t="s">
        <v>299</v>
      </c>
      <c r="B1178" s="177"/>
      <c r="C1178" s="193"/>
      <c r="D1178" s="92">
        <f>D1175</f>
        <v>72</v>
      </c>
      <c r="E1178" s="92"/>
      <c r="F1178" s="198">
        <v>113</v>
      </c>
      <c r="G1178" s="194"/>
      <c r="H1178" s="96">
        <f t="shared" ref="H1178:I1180" si="266">ROUND($F1178*C1178,0)</f>
        <v>0</v>
      </c>
      <c r="I1178" s="96">
        <f t="shared" si="266"/>
        <v>8136</v>
      </c>
      <c r="J1178" s="92"/>
      <c r="K1178" s="198">
        <f>K$1085</f>
        <v>123</v>
      </c>
      <c r="L1178" s="194"/>
      <c r="M1178" s="96">
        <f>ROUND($K1178*D1178,0)</f>
        <v>8856</v>
      </c>
      <c r="O1178" s="103" t="s">
        <v>86</v>
      </c>
      <c r="P1178" s="149">
        <f>P1175/I1217-1</f>
        <v>3.8010497205696492E-2</v>
      </c>
    </row>
    <row r="1179" spans="1:18" s="200" customFormat="1">
      <c r="A1179" s="129" t="s">
        <v>300</v>
      </c>
      <c r="B1179" s="177"/>
      <c r="C1179" s="193"/>
      <c r="D1179" s="92">
        <f>D1175</f>
        <v>72</v>
      </c>
      <c r="E1179" s="92"/>
      <c r="F1179" s="198">
        <v>154</v>
      </c>
      <c r="G1179" s="194"/>
      <c r="H1179" s="96">
        <f t="shared" si="266"/>
        <v>0</v>
      </c>
      <c r="I1179" s="96">
        <f t="shared" si="266"/>
        <v>11088</v>
      </c>
      <c r="J1179" s="92"/>
      <c r="K1179" s="198">
        <f>K$1086</f>
        <v>168</v>
      </c>
      <c r="L1179" s="194"/>
      <c r="M1179" s="96">
        <f>ROUND($K1179*D1179,0)</f>
        <v>12096</v>
      </c>
      <c r="N1179" s="72"/>
      <c r="O1179" s="106" t="s">
        <v>88</v>
      </c>
      <c r="P1179" s="148">
        <f>P1176/I1217-1</f>
        <v>9.0906363077604802E-2</v>
      </c>
      <c r="Q1179" s="72"/>
      <c r="R1179" s="72"/>
    </row>
    <row r="1180" spans="1:18" s="200" customFormat="1">
      <c r="A1180" s="93" t="s">
        <v>87</v>
      </c>
      <c r="B1180" s="72"/>
      <c r="C1180" s="92"/>
      <c r="D1180" s="92">
        <v>50.046711559665788</v>
      </c>
      <c r="E1180" s="92"/>
      <c r="F1180" s="95">
        <v>-0.5</v>
      </c>
      <c r="G1180" s="95"/>
      <c r="H1180" s="96">
        <f t="shared" si="266"/>
        <v>0</v>
      </c>
      <c r="I1180" s="96">
        <f t="shared" si="266"/>
        <v>-25</v>
      </c>
      <c r="J1180" s="92"/>
      <c r="K1180" s="198">
        <f>K$1087</f>
        <v>-0.5</v>
      </c>
      <c r="L1180" s="95"/>
      <c r="M1180" s="96">
        <f>ROUND($K1180*D1180,0)</f>
        <v>-25</v>
      </c>
      <c r="N1180" s="72"/>
      <c r="O1180" s="124"/>
      <c r="P1180" s="151"/>
      <c r="Q1180" s="72"/>
      <c r="R1180" s="72"/>
    </row>
    <row r="1181" spans="1:18" s="200" customFormat="1">
      <c r="A1181" s="129" t="s">
        <v>301</v>
      </c>
      <c r="B1181" s="177"/>
      <c r="C1181" s="193"/>
      <c r="D1181" s="92"/>
      <c r="E1181" s="92"/>
      <c r="F1181" s="199"/>
      <c r="G1181" s="195"/>
      <c r="H1181" s="96"/>
      <c r="I1181" s="96"/>
      <c r="J1181" s="92"/>
      <c r="K1181" s="199"/>
      <c r="L1181" s="195"/>
      <c r="M1181" s="96"/>
      <c r="N1181" s="72"/>
      <c r="O1181" s="72"/>
      <c r="P1181" s="72"/>
      <c r="Q1181" s="72"/>
      <c r="R1181" s="72"/>
    </row>
    <row r="1182" spans="1:18" s="200" customFormat="1">
      <c r="A1182" s="129" t="s">
        <v>302</v>
      </c>
      <c r="B1182" s="177"/>
      <c r="C1182" s="193"/>
      <c r="D1182" s="92"/>
      <c r="E1182" s="92"/>
      <c r="F1182" s="198">
        <v>7.52</v>
      </c>
      <c r="G1182" s="194"/>
      <c r="H1182" s="96">
        <f t="shared" ref="H1182:I1186" si="267">ROUND($F1182*C1182,0)</f>
        <v>0</v>
      </c>
      <c r="I1182" s="96">
        <f t="shared" si="267"/>
        <v>0</v>
      </c>
      <c r="J1182" s="92"/>
      <c r="K1182" s="198">
        <f>K$1089</f>
        <v>9.02</v>
      </c>
      <c r="L1182" s="194"/>
      <c r="M1182" s="96">
        <f>ROUND($K1182*D1182,0)</f>
        <v>0</v>
      </c>
      <c r="N1182" s="72"/>
      <c r="O1182" s="72"/>
      <c r="P1182" s="72"/>
      <c r="Q1182" s="72"/>
      <c r="R1182" s="72"/>
    </row>
    <row r="1183" spans="1:18" s="200" customFormat="1">
      <c r="A1183" s="129" t="s">
        <v>303</v>
      </c>
      <c r="B1183" s="177"/>
      <c r="C1183" s="193"/>
      <c r="D1183" s="92"/>
      <c r="E1183" s="92"/>
      <c r="F1183" s="198">
        <v>6.56</v>
      </c>
      <c r="G1183" s="194"/>
      <c r="H1183" s="96">
        <f t="shared" si="267"/>
        <v>0</v>
      </c>
      <c r="I1183" s="96">
        <f t="shared" si="267"/>
        <v>0</v>
      </c>
      <c r="J1183" s="92"/>
      <c r="K1183" s="198">
        <f>K$1090</f>
        <v>8.16</v>
      </c>
      <c r="L1183" s="194"/>
      <c r="M1183" s="96">
        <f>ROUND($K1183*D1183,0)</f>
        <v>0</v>
      </c>
      <c r="N1183" s="72"/>
      <c r="O1183" s="72"/>
      <c r="P1183" s="72"/>
      <c r="Q1183" s="72"/>
      <c r="R1183" s="72"/>
    </row>
    <row r="1184" spans="1:18" s="200" customFormat="1">
      <c r="A1184" s="129" t="s">
        <v>304</v>
      </c>
      <c r="B1184" s="177"/>
      <c r="C1184" s="193"/>
      <c r="D1184" s="92"/>
      <c r="E1184" s="92"/>
      <c r="F1184" s="198">
        <v>8.3699999999999992</v>
      </c>
      <c r="G1184" s="95"/>
      <c r="H1184" s="96">
        <f t="shared" si="267"/>
        <v>0</v>
      </c>
      <c r="I1184" s="96">
        <f t="shared" si="267"/>
        <v>0</v>
      </c>
      <c r="J1184" s="92"/>
      <c r="K1184" s="198">
        <f>K$1091</f>
        <v>10.37</v>
      </c>
      <c r="L1184" s="95"/>
      <c r="M1184" s="96">
        <f>ROUND($K1184*D1184,0)</f>
        <v>0</v>
      </c>
      <c r="N1184" s="72"/>
      <c r="O1184" s="72"/>
      <c r="P1184" s="72"/>
      <c r="Q1184" s="72"/>
      <c r="R1184" s="72"/>
    </row>
    <row r="1185" spans="1:18" s="200" customFormat="1">
      <c r="A1185" s="129" t="s">
        <v>305</v>
      </c>
      <c r="B1185" s="177"/>
      <c r="C1185" s="193"/>
      <c r="D1185" s="92">
        <f>D1093/D1112*D1204</f>
        <v>70598.976275751716</v>
      </c>
      <c r="E1185" s="92"/>
      <c r="F1185" s="198">
        <v>7.24</v>
      </c>
      <c r="G1185" s="194"/>
      <c r="H1185" s="96">
        <f t="shared" si="267"/>
        <v>0</v>
      </c>
      <c r="I1185" s="96">
        <f t="shared" si="267"/>
        <v>511137</v>
      </c>
      <c r="J1185" s="92"/>
      <c r="K1185" s="198">
        <f>K$1092</f>
        <v>9.7100000000000009</v>
      </c>
      <c r="L1185" s="194"/>
      <c r="M1185" s="96">
        <f>ROUND($K1185*D1185,0)</f>
        <v>685516</v>
      </c>
      <c r="N1185" s="72"/>
      <c r="O1185" s="72"/>
      <c r="P1185" s="72"/>
      <c r="Q1185" s="72"/>
      <c r="R1185" s="72"/>
    </row>
    <row r="1186" spans="1:18" s="200" customFormat="1">
      <c r="A1186" s="129" t="s">
        <v>297</v>
      </c>
      <c r="B1186" s="177"/>
      <c r="C1186" s="193"/>
      <c r="D1186" s="92"/>
      <c r="E1186" s="92"/>
      <c r="F1186" s="198">
        <v>4.3499999999999996</v>
      </c>
      <c r="G1186" s="194"/>
      <c r="H1186" s="96">
        <f t="shared" si="267"/>
        <v>0</v>
      </c>
      <c r="I1186" s="96">
        <f t="shared" si="267"/>
        <v>0</v>
      </c>
      <c r="J1186" s="92"/>
      <c r="K1186" s="198">
        <f>K$1093</f>
        <v>5.19</v>
      </c>
      <c r="L1186" s="194"/>
      <c r="M1186" s="96">
        <f>ROUND($K1186*D1186,0)</f>
        <v>0</v>
      </c>
      <c r="N1186" s="72"/>
      <c r="O1186" s="72"/>
      <c r="P1186" s="72"/>
      <c r="Q1186" s="72"/>
      <c r="R1186" s="72"/>
    </row>
    <row r="1187" spans="1:18" s="200" customFormat="1">
      <c r="A1187" s="129" t="s">
        <v>306</v>
      </c>
      <c r="B1187" s="72"/>
      <c r="C1187" s="193"/>
      <c r="D1187" s="92"/>
      <c r="E1187" s="92"/>
      <c r="F1187" s="199"/>
      <c r="G1187" s="72"/>
      <c r="H1187" s="72"/>
      <c r="I1187" s="72"/>
      <c r="J1187" s="92"/>
      <c r="K1187" s="199"/>
      <c r="L1187" s="72"/>
      <c r="M1187" s="72"/>
      <c r="N1187" s="72"/>
      <c r="O1187" s="72"/>
      <c r="P1187" s="72"/>
      <c r="Q1187" s="72"/>
      <c r="R1187" s="72"/>
    </row>
    <row r="1188" spans="1:18" s="200" customFormat="1">
      <c r="A1188" s="129" t="s">
        <v>307</v>
      </c>
      <c r="B1188" s="72"/>
      <c r="C1188" s="193"/>
      <c r="D1188" s="92"/>
      <c r="E1188" s="92"/>
      <c r="F1188" s="198"/>
      <c r="G1188" s="95"/>
      <c r="H1188" s="96"/>
      <c r="I1188" s="96"/>
      <c r="J1188" s="92"/>
      <c r="K1188" s="198"/>
      <c r="L1188" s="95"/>
      <c r="M1188" s="96"/>
      <c r="N1188" s="72"/>
      <c r="O1188" s="72"/>
      <c r="P1188" s="72"/>
      <c r="Q1188" s="72"/>
      <c r="R1188" s="72"/>
    </row>
    <row r="1189" spans="1:18" s="200" customFormat="1">
      <c r="A1189" s="129" t="s">
        <v>308</v>
      </c>
      <c r="B1189" s="72"/>
      <c r="C1189" s="193"/>
      <c r="D1189" s="92"/>
      <c r="E1189" s="92"/>
      <c r="F1189" s="198">
        <v>0.56999999999999995</v>
      </c>
      <c r="G1189" s="95"/>
      <c r="H1189" s="96">
        <f>ROUND($F1189*C1189,0)</f>
        <v>0</v>
      </c>
      <c r="I1189" s="96">
        <f>ROUND($F1189*D1189,0)</f>
        <v>0</v>
      </c>
      <c r="J1189" s="92"/>
      <c r="K1189" s="198">
        <f>K$1096</f>
        <v>0.45</v>
      </c>
      <c r="L1189" s="95"/>
      <c r="M1189" s="96">
        <f>ROUND($K1189*D1189,0)</f>
        <v>0</v>
      </c>
      <c r="N1189" s="72"/>
      <c r="O1189" s="72"/>
      <c r="P1189" s="72"/>
      <c r="Q1189" s="72"/>
      <c r="R1189" s="72"/>
    </row>
    <row r="1190" spans="1:18" s="200" customFormat="1">
      <c r="A1190" s="129" t="s">
        <v>309</v>
      </c>
      <c r="B1190" s="72"/>
      <c r="C1190" s="193"/>
      <c r="D1190" s="92"/>
      <c r="E1190" s="92"/>
      <c r="F1190" s="198">
        <v>0.48</v>
      </c>
      <c r="G1190" s="95"/>
      <c r="H1190" s="96">
        <f>ROUND($F1190*C1190,0)</f>
        <v>0</v>
      </c>
      <c r="I1190" s="96">
        <f>ROUND($F1190*D1190,0)</f>
        <v>0</v>
      </c>
      <c r="J1190" s="92"/>
      <c r="K1190" s="198">
        <f>K$1097</f>
        <v>0.37</v>
      </c>
      <c r="L1190" s="95"/>
      <c r="M1190" s="96">
        <f>ROUND($K1190*D1190,0)</f>
        <v>0</v>
      </c>
      <c r="N1190" s="72"/>
      <c r="O1190" s="72"/>
      <c r="P1190" s="72"/>
      <c r="Q1190" s="72"/>
      <c r="R1190" s="72"/>
    </row>
    <row r="1191" spans="1:18" s="200" customFormat="1">
      <c r="A1191" s="129" t="s">
        <v>310</v>
      </c>
      <c r="B1191" s="72"/>
      <c r="C1191" s="193"/>
      <c r="D1191" s="92"/>
      <c r="E1191" s="92"/>
      <c r="F1191" s="198"/>
      <c r="G1191" s="194"/>
      <c r="H1191" s="96"/>
      <c r="I1191" s="96"/>
      <c r="J1191" s="92"/>
      <c r="K1191" s="198"/>
      <c r="L1191" s="194"/>
      <c r="M1191" s="96"/>
      <c r="N1191" s="72"/>
      <c r="O1191" s="72"/>
      <c r="P1191" s="72"/>
      <c r="Q1191" s="72"/>
      <c r="R1191" s="72"/>
    </row>
    <row r="1192" spans="1:18" s="200" customFormat="1">
      <c r="A1192" s="129" t="s">
        <v>308</v>
      </c>
      <c r="B1192" s="72"/>
      <c r="C1192" s="193"/>
      <c r="D1192" s="92"/>
      <c r="E1192" s="92"/>
      <c r="F1192" s="198">
        <v>0.56999999999999995</v>
      </c>
      <c r="G1192" s="194"/>
      <c r="H1192" s="96">
        <f>ROUND($F1192*C1192,0)</f>
        <v>0</v>
      </c>
      <c r="I1192" s="96">
        <f>ROUND($F1192*D1192,0)</f>
        <v>0</v>
      </c>
      <c r="J1192" s="92"/>
      <c r="K1192" s="198">
        <f>K$1099</f>
        <v>0.45</v>
      </c>
      <c r="L1192" s="194"/>
      <c r="M1192" s="96">
        <f>ROUND($K1192*D1192,0)</f>
        <v>0</v>
      </c>
      <c r="N1192" s="72"/>
      <c r="O1192" s="72"/>
      <c r="P1192" s="72"/>
      <c r="Q1192" s="72"/>
      <c r="R1192" s="72"/>
    </row>
    <row r="1193" spans="1:18" s="200" customFormat="1">
      <c r="A1193" s="129" t="s">
        <v>309</v>
      </c>
      <c r="B1193" s="72"/>
      <c r="C1193" s="193"/>
      <c r="D1193" s="92"/>
      <c r="E1193" s="92"/>
      <c r="F1193" s="198">
        <v>0.47</v>
      </c>
      <c r="G1193" s="194"/>
      <c r="H1193" s="96">
        <f>ROUND($F1193*C1193,0)</f>
        <v>0</v>
      </c>
      <c r="I1193" s="96">
        <f>ROUND($F1193*D1193,0)</f>
        <v>0</v>
      </c>
      <c r="J1193" s="92"/>
      <c r="K1193" s="198">
        <f>K$1100</f>
        <v>0.37</v>
      </c>
      <c r="L1193" s="194"/>
      <c r="M1193" s="96">
        <f>ROUND($K1193*D1193,0)</f>
        <v>0</v>
      </c>
      <c r="N1193" s="72"/>
      <c r="O1193" s="72"/>
      <c r="P1193" s="72"/>
      <c r="Q1193" s="72"/>
      <c r="R1193" s="72"/>
    </row>
    <row r="1194" spans="1:18" s="200" customFormat="1">
      <c r="A1194" s="129" t="s">
        <v>311</v>
      </c>
      <c r="B1194" s="72"/>
      <c r="C1194" s="193"/>
      <c r="D1194" s="92"/>
      <c r="E1194" s="92"/>
      <c r="F1194" s="199"/>
      <c r="G1194" s="195"/>
      <c r="H1194" s="96"/>
      <c r="I1194" s="96"/>
      <c r="J1194" s="92"/>
      <c r="K1194" s="199"/>
      <c r="L1194" s="195"/>
      <c r="M1194" s="96"/>
      <c r="N1194" s="72"/>
      <c r="O1194" s="72"/>
      <c r="P1194" s="72"/>
      <c r="Q1194" s="72"/>
      <c r="R1194" s="72"/>
    </row>
    <row r="1195" spans="1:18" s="200" customFormat="1">
      <c r="A1195" s="129" t="s">
        <v>308</v>
      </c>
      <c r="B1195" s="72"/>
      <c r="C1195" s="193"/>
      <c r="D1195" s="92"/>
      <c r="E1195" s="92"/>
      <c r="F1195" s="198">
        <v>0.72</v>
      </c>
      <c r="G1195" s="194"/>
      <c r="H1195" s="96">
        <f>ROUND($F1195*C1195,0)</f>
        <v>0</v>
      </c>
      <c r="I1195" s="96">
        <f>ROUND($F1195*D1195,0)</f>
        <v>0</v>
      </c>
      <c r="J1195" s="92"/>
      <c r="K1195" s="198">
        <f>K$1102</f>
        <v>0.55000000000000004</v>
      </c>
      <c r="L1195" s="194"/>
      <c r="M1195" s="96">
        <f>ROUND($K1195*D1195,0)</f>
        <v>0</v>
      </c>
      <c r="N1195" s="72"/>
      <c r="O1195" s="72"/>
      <c r="P1195" s="72"/>
      <c r="Q1195" s="72"/>
      <c r="R1195" s="72"/>
    </row>
    <row r="1196" spans="1:18" s="200" customFormat="1">
      <c r="A1196" s="129" t="s">
        <v>309</v>
      </c>
      <c r="B1196" s="72"/>
      <c r="C1196" s="193"/>
      <c r="D1196" s="92"/>
      <c r="E1196" s="92"/>
      <c r="F1196" s="198">
        <v>0.61</v>
      </c>
      <c r="G1196" s="194"/>
      <c r="H1196" s="96">
        <f>ROUND($F1196*C1196,0)</f>
        <v>0</v>
      </c>
      <c r="I1196" s="96">
        <f>ROUND($F1196*D1196,0)</f>
        <v>0</v>
      </c>
      <c r="J1196" s="92"/>
      <c r="K1196" s="198">
        <f>K$1103</f>
        <v>0.46</v>
      </c>
      <c r="L1196" s="194"/>
      <c r="M1196" s="96">
        <f>ROUND($K1196*D1196,0)</f>
        <v>0</v>
      </c>
      <c r="N1196" s="72"/>
      <c r="O1196" s="72"/>
      <c r="P1196" s="72"/>
      <c r="Q1196" s="72"/>
      <c r="R1196" s="72"/>
    </row>
    <row r="1197" spans="1:18" s="200" customFormat="1">
      <c r="A1197" s="129" t="s">
        <v>312</v>
      </c>
      <c r="B1197" s="72"/>
      <c r="C1197" s="193"/>
      <c r="D1197" s="92"/>
      <c r="E1197" s="92"/>
      <c r="F1197" s="198"/>
      <c r="G1197" s="95"/>
      <c r="H1197" s="96"/>
      <c r="I1197" s="96"/>
      <c r="J1197" s="92"/>
      <c r="K1197" s="198"/>
      <c r="L1197" s="95"/>
      <c r="M1197" s="96"/>
      <c r="N1197" s="72"/>
      <c r="O1197" s="72"/>
      <c r="P1197" s="72"/>
      <c r="Q1197" s="72"/>
      <c r="R1197" s="72"/>
    </row>
    <row r="1198" spans="1:18" s="200" customFormat="1">
      <c r="A1198" s="129" t="s">
        <v>308</v>
      </c>
      <c r="B1198" s="72"/>
      <c r="C1198" s="193"/>
      <c r="D1198" s="92">
        <f>($D$1217/$C$1217*C1208-D1208)*(365-(2*52+8))/12</f>
        <v>497453.26783678989</v>
      </c>
      <c r="E1198" s="92"/>
      <c r="F1198" s="198">
        <v>0.71</v>
      </c>
      <c r="G1198" s="194"/>
      <c r="H1198" s="96">
        <f>ROUND($F1198*C1198,0)</f>
        <v>0</v>
      </c>
      <c r="I1198" s="96">
        <f>ROUND($F1198*D1198,0)</f>
        <v>353192</v>
      </c>
      <c r="J1198" s="92"/>
      <c r="K1198" s="198">
        <f>K$1105</f>
        <v>0.53</v>
      </c>
      <c r="L1198" s="194"/>
      <c r="M1198" s="96">
        <f>ROUND($K1198*D1198,0)</f>
        <v>263650</v>
      </c>
      <c r="N1198" s="72"/>
      <c r="O1198" s="72"/>
      <c r="P1198" s="72"/>
      <c r="Q1198" s="72"/>
      <c r="R1198" s="72"/>
    </row>
    <row r="1199" spans="1:18" s="200" customFormat="1">
      <c r="A1199" s="129" t="s">
        <v>309</v>
      </c>
      <c r="B1199" s="72"/>
      <c r="C1199" s="193"/>
      <c r="D1199" s="92">
        <f>($D$1217/$C$1217*C1209-D1209)*(365-(2*52+8))/12</f>
        <v>760398.27309171576</v>
      </c>
      <c r="E1199" s="92"/>
      <c r="F1199" s="198">
        <v>0.59</v>
      </c>
      <c r="G1199" s="194"/>
      <c r="H1199" s="96">
        <f>ROUND($F1199*C1199,0)</f>
        <v>0</v>
      </c>
      <c r="I1199" s="96">
        <f>ROUND($F1199*D1199,0)</f>
        <v>448635</v>
      </c>
      <c r="J1199" s="92"/>
      <c r="K1199" s="198">
        <f>K$1106</f>
        <v>0.44</v>
      </c>
      <c r="L1199" s="194"/>
      <c r="M1199" s="96">
        <f>ROUND($K1199*D1199,0)</f>
        <v>334575</v>
      </c>
      <c r="N1199" s="72"/>
      <c r="O1199" s="72"/>
      <c r="P1199" s="72"/>
      <c r="Q1199" s="72"/>
      <c r="R1199" s="72"/>
    </row>
    <row r="1200" spans="1:18" s="200" customFormat="1">
      <c r="A1200" s="129" t="s">
        <v>313</v>
      </c>
      <c r="B1200" s="72"/>
      <c r="C1200" s="193"/>
      <c r="D1200" s="92"/>
      <c r="E1200" s="92"/>
      <c r="F1200" s="199"/>
      <c r="G1200" s="72"/>
      <c r="H1200" s="72"/>
      <c r="I1200" s="72"/>
      <c r="J1200" s="92"/>
      <c r="K1200" s="199"/>
      <c r="L1200" s="72"/>
      <c r="M1200" s="72"/>
      <c r="N1200" s="72"/>
      <c r="O1200" s="72"/>
      <c r="P1200" s="72"/>
      <c r="Q1200" s="72"/>
      <c r="R1200" s="72"/>
    </row>
    <row r="1201" spans="1:18" s="200" customFormat="1">
      <c r="A1201" s="129" t="s">
        <v>308</v>
      </c>
      <c r="B1201" s="72"/>
      <c r="C1201" s="193"/>
      <c r="D1201" s="92"/>
      <c r="E1201" s="92"/>
      <c r="F1201" s="198">
        <v>0.71</v>
      </c>
      <c r="G1201" s="95"/>
      <c r="H1201" s="96">
        <f>ROUND($F1201*C1201,0)</f>
        <v>0</v>
      </c>
      <c r="I1201" s="96">
        <f>ROUND($F1201*D1201,0)</f>
        <v>0</v>
      </c>
      <c r="J1201" s="92"/>
      <c r="K1201" s="198">
        <f>K$1108</f>
        <v>0.63</v>
      </c>
      <c r="L1201" s="95"/>
      <c r="M1201" s="96">
        <f>ROUND($K1201*D1201,0)</f>
        <v>0</v>
      </c>
      <c r="N1201" s="72"/>
      <c r="O1201" s="72"/>
      <c r="P1201" s="72"/>
      <c r="Q1201" s="72"/>
      <c r="R1201" s="72"/>
    </row>
    <row r="1202" spans="1:18" s="200" customFormat="1">
      <c r="A1202" s="129" t="s">
        <v>309</v>
      </c>
      <c r="B1202" s="72"/>
      <c r="C1202" s="193"/>
      <c r="D1202" s="92"/>
      <c r="E1202" s="92"/>
      <c r="F1202" s="198">
        <v>0.61</v>
      </c>
      <c r="G1202" s="95"/>
      <c r="H1202" s="96">
        <f>ROUND($F1202*C1202,0)</f>
        <v>0</v>
      </c>
      <c r="I1202" s="96">
        <f>ROUND($F1202*D1202,0)</f>
        <v>0</v>
      </c>
      <c r="J1202" s="92"/>
      <c r="K1202" s="198">
        <f>K$1109</f>
        <v>0.54</v>
      </c>
      <c r="L1202" s="95"/>
      <c r="M1202" s="96">
        <f>ROUND($K1202*D1202,0)</f>
        <v>0</v>
      </c>
      <c r="N1202" s="72"/>
      <c r="O1202" s="72"/>
      <c r="P1202" s="72"/>
      <c r="Q1202" s="72"/>
      <c r="R1202" s="72"/>
    </row>
    <row r="1203" spans="1:18" s="200" customFormat="1">
      <c r="A1203" s="93" t="s">
        <v>315</v>
      </c>
      <c r="B1203" s="72"/>
      <c r="C1203" s="92"/>
      <c r="D1203" s="92">
        <v>35339953.125000007</v>
      </c>
      <c r="E1203" s="92"/>
      <c r="F1203" s="201"/>
      <c r="G1203" s="120"/>
      <c r="H1203" s="96"/>
      <c r="I1203" s="96"/>
      <c r="J1203" s="92"/>
      <c r="K1203" s="201"/>
      <c r="L1203" s="120"/>
      <c r="M1203" s="96"/>
      <c r="N1203" s="72"/>
      <c r="O1203" s="201"/>
      <c r="P1203" s="102"/>
      <c r="Q1203" s="72"/>
      <c r="R1203" s="72"/>
    </row>
    <row r="1204" spans="1:18">
      <c r="A1204" s="93" t="s">
        <v>316</v>
      </c>
      <c r="C1204" s="187">
        <f>C1203</f>
        <v>0</v>
      </c>
      <c r="D1204" s="187">
        <f>D1203</f>
        <v>35339953.125000007</v>
      </c>
      <c r="E1204" s="94"/>
      <c r="F1204" s="150"/>
      <c r="G1204" s="150"/>
      <c r="H1204" s="185">
        <f>SUM(H1174:H1203)</f>
        <v>4625</v>
      </c>
      <c r="I1204" s="185">
        <f>SUM(I1174:I1203)</f>
        <v>1337347</v>
      </c>
      <c r="J1204" s="94"/>
      <c r="K1204" s="150"/>
      <c r="L1204" s="150"/>
      <c r="M1204" s="185">
        <f>SUM(M1174:M1203)</f>
        <v>1310212</v>
      </c>
    </row>
    <row r="1205" spans="1:18">
      <c r="A1205" s="202" t="s">
        <v>317</v>
      </c>
    </row>
    <row r="1206" spans="1:18">
      <c r="A1206" s="90" t="s">
        <v>330</v>
      </c>
      <c r="C1206" s="92"/>
      <c r="D1206" s="92"/>
      <c r="E1206" s="92"/>
      <c r="F1206" s="147"/>
      <c r="G1206" s="147"/>
      <c r="H1206" s="96"/>
      <c r="I1206" s="96"/>
      <c r="J1206" s="92"/>
      <c r="K1206" s="147"/>
      <c r="L1206" s="147"/>
      <c r="M1206" s="96"/>
    </row>
    <row r="1207" spans="1:18">
      <c r="A1207" s="93" t="s">
        <v>122</v>
      </c>
      <c r="C1207" s="92">
        <v>121095.634095634</v>
      </c>
      <c r="D1207" s="92">
        <f>C1207/$C$1215*$D$1215</f>
        <v>62059.878903145291</v>
      </c>
      <c r="E1207" s="92"/>
      <c r="F1207" s="95">
        <v>4.8099999999999996</v>
      </c>
      <c r="G1207" s="95"/>
      <c r="H1207" s="96">
        <f t="shared" ref="H1207:I1209" si="268">ROUND($F1207*C1207,0)</f>
        <v>582470</v>
      </c>
      <c r="I1207" s="96">
        <f t="shared" si="268"/>
        <v>298508</v>
      </c>
      <c r="J1207" s="92"/>
      <c r="K1207" s="95">
        <f>K$391</f>
        <v>5.15</v>
      </c>
      <c r="L1207" s="95"/>
      <c r="M1207" s="96">
        <f>ROUND($K1207*D1207,0)</f>
        <v>319608</v>
      </c>
    </row>
    <row r="1208" spans="1:18">
      <c r="A1208" s="93" t="s">
        <v>156</v>
      </c>
      <c r="C1208" s="92">
        <v>45172.005085823301</v>
      </c>
      <c r="D1208" s="92">
        <f t="shared" ref="D1208:D1214" si="269">C1208/$C$1215*$D$1215</f>
        <v>23150.04323958142</v>
      </c>
      <c r="E1208" s="92"/>
      <c r="F1208" s="95">
        <v>15.73</v>
      </c>
      <c r="G1208" s="95"/>
      <c r="H1208" s="96">
        <f t="shared" si="268"/>
        <v>710556</v>
      </c>
      <c r="I1208" s="96">
        <f t="shared" si="268"/>
        <v>364150</v>
      </c>
      <c r="J1208" s="92"/>
      <c r="K1208" s="95">
        <f>K$392</f>
        <v>16.84</v>
      </c>
      <c r="L1208" s="95"/>
      <c r="M1208" s="96">
        <f>ROUND($K1208*D1208,0)</f>
        <v>389847</v>
      </c>
    </row>
    <row r="1209" spans="1:18">
      <c r="A1209" s="93" t="s">
        <v>157</v>
      </c>
      <c r="C1209" s="92">
        <v>69049.128591953995</v>
      </c>
      <c r="D1209" s="92">
        <f t="shared" si="269"/>
        <v>35386.746935898584</v>
      </c>
      <c r="E1209" s="92"/>
      <c r="F1209" s="95">
        <v>13.92</v>
      </c>
      <c r="G1209" s="95"/>
      <c r="H1209" s="96">
        <f t="shared" si="268"/>
        <v>961164</v>
      </c>
      <c r="I1209" s="96">
        <f t="shared" si="268"/>
        <v>492584</v>
      </c>
      <c r="J1209" s="92"/>
      <c r="K1209" s="95">
        <f>K$393</f>
        <v>14.9</v>
      </c>
      <c r="L1209" s="95"/>
      <c r="M1209" s="96">
        <f>ROUND($K1209*D1209,0)</f>
        <v>527263</v>
      </c>
    </row>
    <row r="1210" spans="1:18">
      <c r="A1210" s="93" t="s">
        <v>89</v>
      </c>
      <c r="C1210" s="92">
        <v>5468667</v>
      </c>
      <c r="D1210" s="92">
        <v>3256011.2597899702</v>
      </c>
      <c r="E1210" s="92"/>
      <c r="F1210" s="161">
        <v>5.8281999999999998</v>
      </c>
      <c r="G1210" s="120" t="s">
        <v>90</v>
      </c>
      <c r="H1210" s="96">
        <f t="shared" ref="H1210:I1213" si="270">ROUND($F1210*C1210/100,0)</f>
        <v>318725</v>
      </c>
      <c r="I1210" s="96">
        <f t="shared" si="270"/>
        <v>189767</v>
      </c>
      <c r="J1210" s="92"/>
      <c r="K1210" s="161">
        <f>K$394</f>
        <v>6.2394999999999996</v>
      </c>
      <c r="L1210" s="120" t="s">
        <v>90</v>
      </c>
      <c r="M1210" s="96">
        <f>ROUND($K1210*D1210/100,0)</f>
        <v>203159</v>
      </c>
    </row>
    <row r="1211" spans="1:18">
      <c r="A1211" s="93" t="s">
        <v>92</v>
      </c>
      <c r="C1211" s="92">
        <v>19885808</v>
      </c>
      <c r="D1211" s="92">
        <v>8433253.2325451672</v>
      </c>
      <c r="E1211" s="92"/>
      <c r="F1211" s="161">
        <v>2.9624000000000001</v>
      </c>
      <c r="G1211" s="120" t="s">
        <v>90</v>
      </c>
      <c r="H1211" s="96">
        <f t="shared" si="270"/>
        <v>589097</v>
      </c>
      <c r="I1211" s="96">
        <f t="shared" si="270"/>
        <v>249827</v>
      </c>
      <c r="J1211" s="92"/>
      <c r="K1211" s="161">
        <f>K$395</f>
        <v>3.1714000000000002</v>
      </c>
      <c r="L1211" s="120" t="s">
        <v>90</v>
      </c>
      <c r="M1211" s="96">
        <f>ROUND($K1211*D1211/100,0)</f>
        <v>267452</v>
      </c>
    </row>
    <row r="1212" spans="1:18">
      <c r="A1212" s="93" t="s">
        <v>159</v>
      </c>
      <c r="C1212" s="92">
        <v>8528733</v>
      </c>
      <c r="D1212" s="92">
        <v>5248824.0384272002</v>
      </c>
      <c r="E1212" s="92"/>
      <c r="F1212" s="161">
        <v>5.1577000000000002</v>
      </c>
      <c r="G1212" s="120" t="s">
        <v>90</v>
      </c>
      <c r="H1212" s="96">
        <f t="shared" si="270"/>
        <v>439886</v>
      </c>
      <c r="I1212" s="96">
        <f t="shared" si="270"/>
        <v>270719</v>
      </c>
      <c r="J1212" s="92"/>
      <c r="K1212" s="161">
        <f>K$396</f>
        <v>5.5217000000000001</v>
      </c>
      <c r="L1212" s="120" t="s">
        <v>90</v>
      </c>
      <c r="M1212" s="96">
        <f>ROUND($K1212*D1212/100,0)</f>
        <v>289824</v>
      </c>
    </row>
    <row r="1213" spans="1:18">
      <c r="A1213" s="93" t="s">
        <v>161</v>
      </c>
      <c r="C1213" s="92">
        <v>32768392</v>
      </c>
      <c r="D1213" s="92">
        <v>17219957.344237652</v>
      </c>
      <c r="E1213" s="92"/>
      <c r="F1213" s="161">
        <v>2.6215999999999999</v>
      </c>
      <c r="G1213" s="120" t="s">
        <v>90</v>
      </c>
      <c r="H1213" s="96">
        <f t="shared" si="270"/>
        <v>859056</v>
      </c>
      <c r="I1213" s="96">
        <f t="shared" si="270"/>
        <v>451438</v>
      </c>
      <c r="J1213" s="92"/>
      <c r="K1213" s="161">
        <f>K$397</f>
        <v>2.8069999999999999</v>
      </c>
      <c r="L1213" s="120" t="s">
        <v>90</v>
      </c>
      <c r="M1213" s="96">
        <f>ROUND($K1213*D1213/100,0)</f>
        <v>483364</v>
      </c>
    </row>
    <row r="1214" spans="1:18">
      <c r="A1214" s="93" t="s">
        <v>128</v>
      </c>
      <c r="C1214" s="92">
        <v>114221.13274336301</v>
      </c>
      <c r="D1214" s="92">
        <f t="shared" si="269"/>
        <v>58536.789696605279</v>
      </c>
      <c r="E1214" s="92"/>
      <c r="F1214" s="95">
        <v>-1.1299999999999999</v>
      </c>
      <c r="G1214" s="95"/>
      <c r="H1214" s="96">
        <f>ROUND($F1214*C1214,0)</f>
        <v>-129070</v>
      </c>
      <c r="I1214" s="96">
        <f>ROUND($F1214*D1214,0)</f>
        <v>-66147</v>
      </c>
      <c r="J1214" s="92"/>
      <c r="K1214" s="95">
        <f>K$398</f>
        <v>-1.1299999999999999</v>
      </c>
      <c r="L1214" s="95"/>
      <c r="M1214" s="96">
        <f>ROUND($K1214*D1214,0)</f>
        <v>-66147</v>
      </c>
    </row>
    <row r="1215" spans="1:18">
      <c r="A1215" s="93" t="s">
        <v>316</v>
      </c>
      <c r="C1215" s="171">
        <f>SUM(C1210:C1213)</f>
        <v>66651600</v>
      </c>
      <c r="D1215" s="171">
        <f>SUM(D1210:D1213)</f>
        <v>34158045.874999985</v>
      </c>
      <c r="E1215" s="171"/>
      <c r="F1215" s="196"/>
      <c r="G1215" s="173"/>
      <c r="H1215" s="174">
        <f>SUM(H1207:H1214)</f>
        <v>4331884</v>
      </c>
      <c r="I1215" s="174">
        <f>SUM(I1207:I1214)</f>
        <v>2250846</v>
      </c>
      <c r="J1215" s="171"/>
      <c r="K1215" s="196"/>
      <c r="L1215" s="173"/>
      <c r="M1215" s="174">
        <f>SUM(M1207:M1214)</f>
        <v>2414370</v>
      </c>
    </row>
    <row r="1216" spans="1:18">
      <c r="A1216" s="129" t="s">
        <v>103</v>
      </c>
      <c r="B1216" s="130"/>
      <c r="C1216" s="92">
        <v>508235</v>
      </c>
      <c r="D1216" s="92"/>
      <c r="E1216" s="92"/>
      <c r="F1216" s="131"/>
      <c r="G1216" s="9"/>
      <c r="H1216" s="96">
        <v>32889</v>
      </c>
      <c r="I1216" s="96"/>
      <c r="J1216" s="92"/>
      <c r="K1216" s="131"/>
      <c r="L1216" s="9"/>
      <c r="M1216" s="96"/>
      <c r="N1216" s="121"/>
      <c r="O1216" s="121"/>
      <c r="P1216" s="121"/>
    </row>
    <row r="1217" spans="1:17" ht="16.5" thickBot="1">
      <c r="A1217" s="133" t="s">
        <v>291</v>
      </c>
      <c r="B1217" s="134"/>
      <c r="C1217" s="135">
        <f>SUM(C1215:C1216,C1204)</f>
        <v>67159835</v>
      </c>
      <c r="D1217" s="135">
        <v>69497999</v>
      </c>
      <c r="E1217" s="135"/>
      <c r="F1217" s="134"/>
      <c r="G1217" s="134"/>
      <c r="H1217" s="136">
        <f>H1204+H1215+H1216</f>
        <v>4369398</v>
      </c>
      <c r="I1217" s="136">
        <f>I1204+I1215+I1216</f>
        <v>3588193</v>
      </c>
      <c r="J1217" s="135"/>
      <c r="K1217" s="134"/>
      <c r="L1217" s="134"/>
      <c r="M1217" s="136">
        <f>M1204+M1215+M1216</f>
        <v>3724582</v>
      </c>
      <c r="O1217" s="72" t="s">
        <v>86</v>
      </c>
      <c r="P1217" s="121">
        <f>M1217/I1217-1</f>
        <v>3.8010497205696492E-2</v>
      </c>
    </row>
    <row r="1218" spans="1:17" ht="16.5" thickTop="1"/>
    <row r="1219" spans="1:17">
      <c r="A1219" s="90" t="s">
        <v>331</v>
      </c>
      <c r="C1219" s="92"/>
      <c r="D1219" s="92"/>
      <c r="E1219" s="92"/>
      <c r="F1219" s="150"/>
      <c r="G1219" s="150"/>
      <c r="J1219" s="92"/>
      <c r="K1219" s="150"/>
      <c r="L1219" s="150"/>
    </row>
    <row r="1220" spans="1:17" ht="16.5" thickBot="1">
      <c r="A1220" s="133" t="s">
        <v>332</v>
      </c>
      <c r="B1220" s="134"/>
      <c r="C1220" s="135">
        <v>757303000</v>
      </c>
      <c r="D1220" s="135">
        <v>1236761957.7242603</v>
      </c>
      <c r="E1220" s="135"/>
      <c r="F1220" s="208"/>
      <c r="G1220" s="208"/>
      <c r="H1220" s="136">
        <v>18254383.376400001</v>
      </c>
      <c r="I1220" s="136">
        <v>16875427.752652895</v>
      </c>
      <c r="J1220" s="135"/>
      <c r="K1220" s="208"/>
      <c r="L1220" s="208"/>
      <c r="M1220" s="136">
        <f>I1220</f>
        <v>16875427.752652895</v>
      </c>
      <c r="N1220" s="209"/>
      <c r="O1220" s="72" t="s">
        <v>86</v>
      </c>
      <c r="P1220" s="121">
        <f>M1220/I1220-1</f>
        <v>0</v>
      </c>
    </row>
    <row r="1221" spans="1:17" ht="16.5" thickTop="1">
      <c r="C1221" s="92"/>
      <c r="D1221" s="92"/>
      <c r="E1221" s="92"/>
      <c r="F1221" s="150"/>
      <c r="G1221" s="150"/>
      <c r="J1221" s="92"/>
      <c r="K1221" s="150"/>
      <c r="L1221" s="150"/>
    </row>
    <row r="1222" spans="1:17">
      <c r="A1222" s="90" t="s">
        <v>44</v>
      </c>
      <c r="C1222" s="92"/>
      <c r="D1222" s="92"/>
      <c r="E1222" s="92"/>
      <c r="J1222" s="92"/>
    </row>
    <row r="1223" spans="1:17">
      <c r="A1223" s="93" t="s">
        <v>121</v>
      </c>
      <c r="C1223" s="92">
        <v>12</v>
      </c>
      <c r="D1223" s="92">
        <v>12</v>
      </c>
      <c r="E1223" s="92"/>
      <c r="F1223" s="147">
        <v>0</v>
      </c>
      <c r="G1223" s="150"/>
      <c r="H1223" s="96">
        <f t="shared" ref="H1223:I1226" si="271">ROUND($F1223*C1223,0)</f>
        <v>0</v>
      </c>
      <c r="I1223" s="96">
        <f t="shared" si="271"/>
        <v>0</v>
      </c>
      <c r="J1223" s="92"/>
      <c r="K1223" s="147">
        <v>0</v>
      </c>
      <c r="L1223" s="150"/>
      <c r="M1223" s="96">
        <f>ROUND($K1223*D1223,0)</f>
        <v>0</v>
      </c>
      <c r="O1223" s="103" t="s">
        <v>79</v>
      </c>
      <c r="P1223" s="104">
        <f>M1231</f>
        <v>42382479</v>
      </c>
    </row>
    <row r="1224" spans="1:17">
      <c r="A1224" s="93" t="s">
        <v>333</v>
      </c>
      <c r="C1224" s="92">
        <v>1176440</v>
      </c>
      <c r="D1224" s="92">
        <f t="shared" ref="D1224:D1226" si="272">ROUND($C1224*D$1231/$C$1231,0)</f>
        <v>1315074</v>
      </c>
      <c r="E1224" s="92"/>
      <c r="F1224" s="147">
        <v>3.41</v>
      </c>
      <c r="G1224" s="150"/>
      <c r="H1224" s="96">
        <f t="shared" si="271"/>
        <v>4011660</v>
      </c>
      <c r="I1224" s="96">
        <f t="shared" si="271"/>
        <v>4484402</v>
      </c>
      <c r="J1224" s="92"/>
      <c r="K1224" s="147">
        <f>ROUND(F1224*(1+$P$1227),2)</f>
        <v>3.67</v>
      </c>
      <c r="L1224" s="150"/>
      <c r="M1224" s="96">
        <f>ROUND($K1224*D1224,0)</f>
        <v>4826322</v>
      </c>
      <c r="O1224" s="106" t="s">
        <v>81</v>
      </c>
      <c r="P1224" s="107">
        <f>'Rate Spread'!M35*1000</f>
        <v>42382628.17102766</v>
      </c>
    </row>
    <row r="1225" spans="1:17">
      <c r="A1225" s="93" t="s">
        <v>334</v>
      </c>
      <c r="C1225" s="92">
        <v>365020</v>
      </c>
      <c r="D1225" s="92">
        <f t="shared" si="272"/>
        <v>408035</v>
      </c>
      <c r="E1225" s="92"/>
      <c r="F1225" s="195">
        <v>18.472999999999999</v>
      </c>
      <c r="G1225" s="150"/>
      <c r="H1225" s="96">
        <f t="shared" si="271"/>
        <v>6743014</v>
      </c>
      <c r="I1225" s="96">
        <f t="shared" si="271"/>
        <v>7537631</v>
      </c>
      <c r="J1225" s="92"/>
      <c r="K1225" s="195">
        <f>ROUND(F1225*(1+$P$1227),4)</f>
        <v>19.890599999999999</v>
      </c>
      <c r="L1225" s="150"/>
      <c r="M1225" s="96">
        <f>ROUND($K1225*D1225,0)</f>
        <v>8116061</v>
      </c>
      <c r="O1225" s="109" t="s">
        <v>83</v>
      </c>
      <c r="P1225" s="110">
        <f>P1224-P1223</f>
        <v>149.17102766036987</v>
      </c>
    </row>
    <row r="1226" spans="1:17">
      <c r="A1226" s="93" t="s">
        <v>335</v>
      </c>
      <c r="C1226" s="92">
        <v>733970</v>
      </c>
      <c r="D1226" s="92">
        <f t="shared" si="272"/>
        <v>820462</v>
      </c>
      <c r="E1226" s="92"/>
      <c r="F1226" s="195">
        <v>16.347799999999999</v>
      </c>
      <c r="G1226" s="150"/>
      <c r="H1226" s="96">
        <f t="shared" si="271"/>
        <v>11998795</v>
      </c>
      <c r="I1226" s="96">
        <f t="shared" si="271"/>
        <v>13412749</v>
      </c>
      <c r="J1226" s="92"/>
      <c r="K1226" s="195">
        <f>ROUND(F1226*(1+$P$1227),4)</f>
        <v>17.6023</v>
      </c>
      <c r="L1226" s="150"/>
      <c r="M1226" s="96">
        <f>ROUND($K1226*D1226,0)</f>
        <v>14442018</v>
      </c>
      <c r="O1226" s="103" t="s">
        <v>86</v>
      </c>
      <c r="P1226" s="149">
        <f>P1223/I1231-1</f>
        <v>7.6732684963751296E-2</v>
      </c>
    </row>
    <row r="1227" spans="1:17">
      <c r="A1227" s="93" t="s">
        <v>336</v>
      </c>
      <c r="C1227" s="92">
        <v>34978000</v>
      </c>
      <c r="D1227" s="92">
        <v>42707942.596536614</v>
      </c>
      <c r="E1227" s="92"/>
      <c r="F1227" s="150">
        <v>3.7787999999999999</v>
      </c>
      <c r="G1227" s="120" t="s">
        <v>90</v>
      </c>
      <c r="H1227" s="210">
        <f t="shared" ref="H1227:I1230" si="273">ROUND($F1227*C1227/100,0)</f>
        <v>1321749</v>
      </c>
      <c r="I1227" s="210">
        <f t="shared" si="273"/>
        <v>1613848</v>
      </c>
      <c r="J1227" s="92"/>
      <c r="K1227" s="150">
        <f>ROUND(F1227*(1+$P$1227),$P$9)</f>
        <v>4.0688000000000004</v>
      </c>
      <c r="L1227" s="120" t="s">
        <v>90</v>
      </c>
      <c r="M1227" s="210">
        <f>ROUND($K1227*D1227/100,0)</f>
        <v>1737701</v>
      </c>
      <c r="O1227" s="106" t="s">
        <v>88</v>
      </c>
      <c r="P1227" s="148">
        <f>P1224/I1231-1</f>
        <v>7.6736474674143906E-2</v>
      </c>
    </row>
    <row r="1228" spans="1:17">
      <c r="A1228" s="93" t="s">
        <v>337</v>
      </c>
      <c r="C1228" s="92">
        <v>144384000</v>
      </c>
      <c r="D1228" s="92">
        <v>176292057.40346339</v>
      </c>
      <c r="E1228" s="92"/>
      <c r="F1228" s="150">
        <v>1.9207000000000001</v>
      </c>
      <c r="G1228" s="120" t="s">
        <v>90</v>
      </c>
      <c r="H1228" s="210">
        <f t="shared" si="273"/>
        <v>2773183</v>
      </c>
      <c r="I1228" s="210">
        <f t="shared" si="273"/>
        <v>3386042</v>
      </c>
      <c r="J1228" s="92"/>
      <c r="K1228" s="150">
        <f>ROUND(F1228*(1+$P$1227),$P$9)</f>
        <v>2.0680999999999998</v>
      </c>
      <c r="L1228" s="120" t="s">
        <v>90</v>
      </c>
      <c r="M1228" s="210">
        <f>ROUND($K1228*D1228/100,0)</f>
        <v>3645896</v>
      </c>
      <c r="O1228" s="124"/>
      <c r="P1228" s="167">
        <f>F1227/F1229</f>
        <v>1.2914559125085441</v>
      </c>
      <c r="Q1228" s="211">
        <f>F1227/F1228</f>
        <v>1.9674077159368979</v>
      </c>
    </row>
    <row r="1229" spans="1:17">
      <c r="A1229" s="93" t="s">
        <v>159</v>
      </c>
      <c r="C1229" s="92">
        <v>78393000</v>
      </c>
      <c r="D1229" s="92">
        <v>83999789.701375946</v>
      </c>
      <c r="E1229" s="92"/>
      <c r="F1229" s="150">
        <v>2.9260000000000002</v>
      </c>
      <c r="G1229" s="120" t="s">
        <v>90</v>
      </c>
      <c r="H1229" s="210">
        <f>ROUND($F1229*C1229/100,0)</f>
        <v>2293779</v>
      </c>
      <c r="I1229" s="210">
        <f t="shared" si="273"/>
        <v>2457834</v>
      </c>
      <c r="J1229" s="92"/>
      <c r="K1229" s="150">
        <f>ROUND(F1229*(1+$P$1227),$P$9)</f>
        <v>3.1505000000000001</v>
      </c>
      <c r="L1229" s="120" t="s">
        <v>90</v>
      </c>
      <c r="M1229" s="210">
        <f>ROUND($K1229*D1229/100,0)</f>
        <v>2646413</v>
      </c>
    </row>
    <row r="1230" spans="1:17">
      <c r="A1230" s="93" t="s">
        <v>161</v>
      </c>
      <c r="C1230" s="171">
        <v>321039000</v>
      </c>
      <c r="D1230" s="183">
        <f>D1231-D1227-D1228-D1229</f>
        <v>344000210.29862404</v>
      </c>
      <c r="E1230" s="92"/>
      <c r="F1230" s="150">
        <v>1.8807</v>
      </c>
      <c r="G1230" s="120" t="s">
        <v>90</v>
      </c>
      <c r="H1230" s="185">
        <f t="shared" si="273"/>
        <v>6037780</v>
      </c>
      <c r="I1230" s="185">
        <f t="shared" si="273"/>
        <v>6469612</v>
      </c>
      <c r="J1230" s="92"/>
      <c r="K1230" s="150">
        <f>ROUND((P1224-SUM(M1223:M1229))/D1230*100,P9)</f>
        <v>2.0255999999999998</v>
      </c>
      <c r="L1230" s="120" t="s">
        <v>90</v>
      </c>
      <c r="M1230" s="185">
        <f>ROUND($K1230*D1230/100,0)</f>
        <v>6968068</v>
      </c>
    </row>
    <row r="1231" spans="1:17" ht="16.5" thickBot="1">
      <c r="A1231" s="133" t="s">
        <v>105</v>
      </c>
      <c r="B1231" s="134"/>
      <c r="C1231" s="135">
        <f>SUM(C1227:C1230)</f>
        <v>578794000</v>
      </c>
      <c r="D1231" s="135">
        <v>647000000</v>
      </c>
      <c r="E1231" s="135"/>
      <c r="F1231" s="208"/>
      <c r="G1231" s="208"/>
      <c r="H1231" s="136">
        <f>SUM(H1223:H1230)</f>
        <v>35179960</v>
      </c>
      <c r="I1231" s="136">
        <f>SUM(I1223:I1230)</f>
        <v>39362118</v>
      </c>
      <c r="J1231" s="135"/>
      <c r="K1231" s="208"/>
      <c r="L1231" s="208"/>
      <c r="M1231" s="136">
        <f>SUM(M1223:M1230)</f>
        <v>42382479</v>
      </c>
      <c r="O1231" s="72" t="s">
        <v>86</v>
      </c>
      <c r="P1231" s="121">
        <f>M1231/I1231-1</f>
        <v>7.6732684963751296E-2</v>
      </c>
    </row>
    <row r="1232" spans="1:17" ht="16.5" thickTop="1">
      <c r="C1232" s="92"/>
      <c r="D1232" s="92"/>
      <c r="E1232" s="92"/>
      <c r="H1232" s="150"/>
      <c r="I1232" s="150"/>
      <c r="J1232" s="92"/>
      <c r="M1232" s="150"/>
    </row>
    <row r="1233" spans="1:16">
      <c r="A1233" s="90" t="s">
        <v>338</v>
      </c>
      <c r="C1233" s="92"/>
      <c r="D1233" s="92"/>
      <c r="E1233" s="92"/>
      <c r="F1233" s="150"/>
      <c r="G1233" s="150"/>
      <c r="J1233" s="92"/>
      <c r="K1233" s="150"/>
      <c r="L1233" s="150"/>
    </row>
    <row r="1234" spans="1:16">
      <c r="A1234" s="93" t="s">
        <v>121</v>
      </c>
      <c r="C1234" s="92">
        <v>12</v>
      </c>
      <c r="D1234" s="92">
        <v>12</v>
      </c>
      <c r="E1234" s="92"/>
      <c r="F1234" s="147">
        <v>696</v>
      </c>
      <c r="H1234" s="96">
        <f t="shared" ref="H1234:I1237" si="274">ROUND($F1234*C1234,0)</f>
        <v>8352</v>
      </c>
      <c r="I1234" s="96">
        <f t="shared" si="274"/>
        <v>8352</v>
      </c>
      <c r="J1234" s="92"/>
      <c r="K1234" s="147">
        <f>K$459</f>
        <v>399</v>
      </c>
      <c r="M1234" s="96">
        <f>ROUND($K1234*D1234,0)</f>
        <v>4788</v>
      </c>
      <c r="O1234" s="103" t="s">
        <v>79</v>
      </c>
      <c r="P1234" s="104">
        <f>M1242</f>
        <v>19493902</v>
      </c>
    </row>
    <row r="1235" spans="1:16">
      <c r="A1235" s="93" t="s">
        <v>333</v>
      </c>
      <c r="C1235" s="92">
        <v>60402</v>
      </c>
      <c r="D1235" s="92">
        <f>ROUND($C1235*D$1242/$C$1242,0)</f>
        <v>557041</v>
      </c>
      <c r="E1235" s="92"/>
      <c r="F1235" s="147">
        <v>2.2799999999999998</v>
      </c>
      <c r="G1235" s="150"/>
      <c r="H1235" s="96">
        <f t="shared" si="274"/>
        <v>137717</v>
      </c>
      <c r="I1235" s="96">
        <f t="shared" si="274"/>
        <v>1270053</v>
      </c>
      <c r="J1235" s="92"/>
      <c r="K1235" s="147">
        <f>K$462</f>
        <v>2.4700000000000002</v>
      </c>
      <c r="L1235" s="150"/>
      <c r="M1235" s="96">
        <f>ROUND($K1235*D1235,0)</f>
        <v>1375891</v>
      </c>
      <c r="O1235" s="106" t="s">
        <v>81</v>
      </c>
      <c r="P1235" s="107">
        <f>'Rate Spread'!M24*1000</f>
        <v>17527738.71702053</v>
      </c>
    </row>
    <row r="1236" spans="1:16">
      <c r="A1236" s="93" t="s">
        <v>334</v>
      </c>
      <c r="C1236" s="92">
        <v>18296</v>
      </c>
      <c r="D1236" s="92">
        <f t="shared" ref="D1236" si="275">ROUND($C1236*D$1242/$C$1242,0)</f>
        <v>168730</v>
      </c>
      <c r="E1236" s="92"/>
      <c r="F1236" s="147">
        <v>10.58</v>
      </c>
      <c r="G1236" s="150"/>
      <c r="H1236" s="96">
        <f t="shared" si="274"/>
        <v>193572</v>
      </c>
      <c r="I1236" s="96">
        <f t="shared" si="274"/>
        <v>1785163</v>
      </c>
      <c r="J1236" s="92"/>
      <c r="K1236" s="147">
        <f>K$463</f>
        <v>15.54</v>
      </c>
      <c r="L1236" s="150"/>
      <c r="M1236" s="96">
        <f>ROUND($K1236*D1236,0)</f>
        <v>2622064</v>
      </c>
      <c r="O1236" s="109" t="s">
        <v>83</v>
      </c>
      <c r="P1236" s="110">
        <f>P1235-P1234</f>
        <v>-1966163.2829794697</v>
      </c>
    </row>
    <row r="1237" spans="1:16">
      <c r="A1237" s="93" t="s">
        <v>335</v>
      </c>
      <c r="C1237" s="92">
        <v>41764</v>
      </c>
      <c r="D1237" s="92">
        <f>ROUND($C1237*D$1242/$C$1242,0)</f>
        <v>385157</v>
      </c>
      <c r="E1237" s="92"/>
      <c r="F1237" s="147">
        <v>9.36</v>
      </c>
      <c r="G1237" s="150"/>
      <c r="H1237" s="96">
        <f t="shared" si="274"/>
        <v>390911</v>
      </c>
      <c r="I1237" s="96">
        <f t="shared" si="274"/>
        <v>3605070</v>
      </c>
      <c r="J1237" s="92"/>
      <c r="K1237" s="147">
        <f>K$464</f>
        <v>13.75</v>
      </c>
      <c r="L1237" s="150"/>
      <c r="M1237" s="96">
        <f>ROUND($K1237*D1237,0)</f>
        <v>5295909</v>
      </c>
      <c r="O1237" s="103" t="s">
        <v>86</v>
      </c>
      <c r="P1237" s="149">
        <f>P1234/I1242-1</f>
        <v>0.21327811170305799</v>
      </c>
    </row>
    <row r="1238" spans="1:16">
      <c r="A1238" s="93" t="s">
        <v>336</v>
      </c>
      <c r="C1238" s="92">
        <v>2167529</v>
      </c>
      <c r="D1238" s="92">
        <v>23494531.451716397</v>
      </c>
      <c r="E1238" s="92"/>
      <c r="F1238" s="150">
        <v>5.1477000000000004</v>
      </c>
      <c r="G1238" s="120" t="s">
        <v>90</v>
      </c>
      <c r="H1238" s="210">
        <f t="shared" ref="H1238:I1241" si="276">ROUND($F1238*C1238/100,0)</f>
        <v>111578</v>
      </c>
      <c r="I1238" s="210">
        <f t="shared" si="276"/>
        <v>1209428</v>
      </c>
      <c r="J1238" s="92"/>
      <c r="K1238" s="155">
        <f>K$465</f>
        <v>5.5841000000000003</v>
      </c>
      <c r="L1238" s="120" t="s">
        <v>90</v>
      </c>
      <c r="M1238" s="210">
        <f>ROUND($K1238*D1238/100,0)</f>
        <v>1311958</v>
      </c>
      <c r="O1238" s="106" t="s">
        <v>88</v>
      </c>
      <c r="P1238" s="148">
        <f>P1235/I1242-1</f>
        <v>9.0906363077604802E-2</v>
      </c>
    </row>
    <row r="1239" spans="1:16">
      <c r="A1239" s="93" t="s">
        <v>337</v>
      </c>
      <c r="C1239" s="92">
        <v>8660400</v>
      </c>
      <c r="D1239" s="92">
        <v>93872811.014037043</v>
      </c>
      <c r="E1239" s="92"/>
      <c r="F1239" s="150">
        <v>2.6165000000000003</v>
      </c>
      <c r="G1239" s="120" t="s">
        <v>90</v>
      </c>
      <c r="H1239" s="210">
        <f t="shared" si="276"/>
        <v>226599</v>
      </c>
      <c r="I1239" s="210">
        <f t="shared" si="276"/>
        <v>2456182</v>
      </c>
      <c r="J1239" s="92"/>
      <c r="K1239" s="155">
        <f>K$466</f>
        <v>2.8382999999999998</v>
      </c>
      <c r="L1239" s="120" t="s">
        <v>90</v>
      </c>
      <c r="M1239" s="210">
        <f>ROUND($K1239*D1239/100,0)</f>
        <v>2664392</v>
      </c>
      <c r="O1239" s="124"/>
      <c r="P1239" s="151"/>
    </row>
    <row r="1240" spans="1:16">
      <c r="A1240" s="93" t="s">
        <v>159</v>
      </c>
      <c r="C1240" s="92">
        <v>4959800</v>
      </c>
      <c r="D1240" s="92">
        <v>42169719.16894675</v>
      </c>
      <c r="E1240" s="92"/>
      <c r="F1240" s="150">
        <v>4.5554999999999994</v>
      </c>
      <c r="G1240" s="120" t="s">
        <v>90</v>
      </c>
      <c r="H1240" s="210">
        <f t="shared" si="276"/>
        <v>225944</v>
      </c>
      <c r="I1240" s="210">
        <f t="shared" si="276"/>
        <v>1921042</v>
      </c>
      <c r="J1240" s="92"/>
      <c r="K1240" s="155">
        <f>K$467</f>
        <v>4.9417</v>
      </c>
      <c r="L1240" s="120" t="s">
        <v>90</v>
      </c>
      <c r="M1240" s="210">
        <f>ROUND($K1240*D1240/100,0)</f>
        <v>2083901</v>
      </c>
    </row>
    <row r="1241" spans="1:16">
      <c r="A1241" s="93" t="s">
        <v>161</v>
      </c>
      <c r="C1241" s="171">
        <v>19362160</v>
      </c>
      <c r="D1241" s="183">
        <f>D1242-D1238-D1239-D1240</f>
        <v>164622938.36529979</v>
      </c>
      <c r="E1241" s="92"/>
      <c r="F1241" s="150">
        <v>2.3154999999999997</v>
      </c>
      <c r="G1241" s="120" t="s">
        <v>90</v>
      </c>
      <c r="H1241" s="185">
        <f t="shared" si="276"/>
        <v>448331</v>
      </c>
      <c r="I1241" s="185">
        <f t="shared" si="276"/>
        <v>3811844</v>
      </c>
      <c r="J1241" s="92"/>
      <c r="K1241" s="155">
        <f>K$468</f>
        <v>2.5118</v>
      </c>
      <c r="L1241" s="120" t="s">
        <v>90</v>
      </c>
      <c r="M1241" s="185">
        <f>ROUND($K1241*D1241/100,0)</f>
        <v>4134999</v>
      </c>
    </row>
    <row r="1242" spans="1:16" ht="16.5" thickBot="1">
      <c r="A1242" s="133" t="s">
        <v>105</v>
      </c>
      <c r="B1242" s="134"/>
      <c r="C1242" s="212">
        <f>SUM(C1238:C1241)</f>
        <v>35149889</v>
      </c>
      <c r="D1242" s="135">
        <v>324160000</v>
      </c>
      <c r="E1242" s="135"/>
      <c r="F1242" s="208"/>
      <c r="G1242" s="208"/>
      <c r="H1242" s="213">
        <f>SUM(H1234:H1241)</f>
        <v>1743004</v>
      </c>
      <c r="I1242" s="213">
        <f>SUM(I1234:I1241)</f>
        <v>16067134</v>
      </c>
      <c r="J1242" s="135"/>
      <c r="K1242" s="208"/>
      <c r="L1242" s="208"/>
      <c r="M1242" s="213">
        <f>SUM(M1234:M1241)</f>
        <v>19493902</v>
      </c>
      <c r="O1242" s="72" t="s">
        <v>86</v>
      </c>
      <c r="P1242" s="121">
        <f>M1242/I1242-1</f>
        <v>0.21327811170305799</v>
      </c>
    </row>
    <row r="1243" spans="1:16" ht="16.5" thickTop="1">
      <c r="A1243" s="93"/>
      <c r="C1243" s="92"/>
      <c r="D1243" s="92"/>
      <c r="E1243" s="92"/>
      <c r="F1243" s="191"/>
      <c r="G1243" s="191"/>
      <c r="H1243" s="96"/>
      <c r="I1243" s="96"/>
      <c r="J1243" s="92"/>
      <c r="K1243" s="191"/>
      <c r="L1243" s="191"/>
      <c r="M1243" s="96"/>
    </row>
    <row r="1244" spans="1:16">
      <c r="A1244" s="90" t="s">
        <v>45</v>
      </c>
      <c r="C1244" s="92"/>
      <c r="D1244" s="92"/>
      <c r="E1244" s="92"/>
      <c r="F1244" s="150"/>
      <c r="G1244" s="150"/>
      <c r="J1244" s="92"/>
      <c r="K1244" s="150"/>
      <c r="L1244" s="150"/>
    </row>
    <row r="1245" spans="1:16">
      <c r="A1245" s="93" t="s">
        <v>339</v>
      </c>
      <c r="C1245" s="92">
        <v>371593191</v>
      </c>
      <c r="D1245" s="92">
        <v>376680000</v>
      </c>
      <c r="E1245" s="92"/>
      <c r="F1245" s="155"/>
      <c r="G1245" s="120"/>
      <c r="H1245" s="96">
        <v>22497802.829999804</v>
      </c>
      <c r="I1245" s="96">
        <v>23725948.320000004</v>
      </c>
      <c r="J1245" s="92"/>
      <c r="K1245" s="155"/>
      <c r="L1245" s="120"/>
      <c r="M1245" s="96">
        <f>I1245</f>
        <v>23725948.320000004</v>
      </c>
      <c r="O1245" s="150"/>
      <c r="P1245" s="150"/>
    </row>
    <row r="1246" spans="1:16">
      <c r="A1246" s="93" t="s">
        <v>340</v>
      </c>
      <c r="C1246" s="92">
        <v>0</v>
      </c>
      <c r="D1246" s="92"/>
      <c r="E1246" s="92"/>
      <c r="F1246" s="155"/>
      <c r="G1246" s="120"/>
      <c r="H1246" s="96"/>
      <c r="I1246" s="96"/>
      <c r="J1246" s="92"/>
      <c r="K1246" s="155"/>
      <c r="L1246" s="120"/>
      <c r="M1246" s="96"/>
      <c r="O1246" s="150"/>
      <c r="P1246" s="150"/>
    </row>
    <row r="1247" spans="1:16">
      <c r="A1247" s="93" t="s">
        <v>341</v>
      </c>
      <c r="C1247" s="171">
        <v>791122988.00000012</v>
      </c>
      <c r="D1247" s="171">
        <v>962908000</v>
      </c>
      <c r="E1247" s="92"/>
      <c r="F1247" s="155"/>
      <c r="G1247" s="120"/>
      <c r="H1247" s="96">
        <v>72313496.139999986</v>
      </c>
      <c r="I1247" s="96">
        <v>80902526.148982793</v>
      </c>
      <c r="J1247" s="92"/>
      <c r="K1247" s="155"/>
      <c r="L1247" s="120"/>
      <c r="M1247" s="96">
        <f>I1247</f>
        <v>80902526.148982793</v>
      </c>
      <c r="O1247" s="150"/>
      <c r="P1247" s="150"/>
    </row>
    <row r="1248" spans="1:16" ht="16.5" thickBot="1">
      <c r="A1248" s="133" t="s">
        <v>332</v>
      </c>
      <c r="B1248" s="134"/>
      <c r="C1248" s="135">
        <f>SUM(C1245:C1247)</f>
        <v>1162716179</v>
      </c>
      <c r="D1248" s="135">
        <f>SUM(D1245:D1247)</f>
        <v>1339588000</v>
      </c>
      <c r="E1248" s="135"/>
      <c r="F1248" s="208"/>
      <c r="G1248" s="208"/>
      <c r="H1248" s="136">
        <f>SUM(H1245:H1247)</f>
        <v>94811298.96999979</v>
      </c>
      <c r="I1248" s="136">
        <f>SUM(I1245:I1247)</f>
        <v>104628474.4689828</v>
      </c>
      <c r="J1248" s="135"/>
      <c r="K1248" s="208"/>
      <c r="L1248" s="208"/>
      <c r="M1248" s="136">
        <f>SUM(M1245:M1247)</f>
        <v>104628474.4689828</v>
      </c>
      <c r="O1248" s="72" t="s">
        <v>86</v>
      </c>
      <c r="P1248" s="121">
        <f>M1248/I1248-1</f>
        <v>0</v>
      </c>
    </row>
    <row r="1249" spans="1:16" ht="16.5" thickTop="1">
      <c r="C1249" s="92"/>
      <c r="D1249" s="92"/>
      <c r="E1249" s="92"/>
      <c r="F1249" s="150"/>
      <c r="G1249" s="150"/>
      <c r="J1249" s="92"/>
      <c r="K1249" s="150"/>
      <c r="L1249" s="150"/>
    </row>
    <row r="1250" spans="1:16">
      <c r="A1250" s="90" t="s">
        <v>342</v>
      </c>
      <c r="C1250" s="92"/>
      <c r="D1250" s="92"/>
      <c r="E1250" s="92"/>
      <c r="J1250" s="92"/>
    </row>
    <row r="1251" spans="1:16">
      <c r="A1251" s="93" t="s">
        <v>343</v>
      </c>
      <c r="C1251" s="92">
        <f>C1259+C1267</f>
        <v>33.068807339449499</v>
      </c>
      <c r="D1251" s="92">
        <f t="shared" ref="D1251" si="277">D1259+D1267</f>
        <v>48</v>
      </c>
      <c r="E1251" s="92"/>
      <c r="F1251" s="95">
        <v>2.1800000000000002</v>
      </c>
      <c r="G1251" s="95"/>
      <c r="H1251" s="96">
        <f>ROUND($F1251*C1251,0)</f>
        <v>72</v>
      </c>
      <c r="I1251" s="96">
        <f>ROUND($F1251*D1251,0)</f>
        <v>105</v>
      </c>
      <c r="J1251" s="92"/>
      <c r="K1251" s="95">
        <f>F1251</f>
        <v>2.1800000000000002</v>
      </c>
      <c r="L1251" s="95"/>
      <c r="M1251" s="96">
        <f>ROUND($K1251*D1251,0)</f>
        <v>105</v>
      </c>
    </row>
    <row r="1252" spans="1:16">
      <c r="A1252" s="93" t="s">
        <v>344</v>
      </c>
      <c r="C1252" s="92">
        <f t="shared" ref="C1252:D1256" si="278">C1260+C1268</f>
        <v>211.844633543783</v>
      </c>
      <c r="D1252" s="92">
        <f t="shared" si="278"/>
        <v>208</v>
      </c>
      <c r="E1252" s="92"/>
      <c r="F1252" s="214">
        <v>2.1858</v>
      </c>
      <c r="G1252" s="120"/>
      <c r="H1252" s="174">
        <f>ROUND($F1252*C1252,0)</f>
        <v>463</v>
      </c>
      <c r="I1252" s="174">
        <f>ROUND($F1252*D1252,0)</f>
        <v>455</v>
      </c>
      <c r="J1252" s="92"/>
      <c r="K1252" s="214">
        <f>F1252</f>
        <v>2.1858</v>
      </c>
      <c r="L1252" s="120"/>
      <c r="M1252" s="174">
        <f>ROUND($K1252*D1252,0)</f>
        <v>455</v>
      </c>
    </row>
    <row r="1253" spans="1:16">
      <c r="A1253" s="93" t="s">
        <v>345</v>
      </c>
      <c r="C1253" s="183">
        <f t="shared" si="278"/>
        <v>244.91344088323251</v>
      </c>
      <c r="D1253" s="92">
        <f t="shared" si="278"/>
        <v>256</v>
      </c>
      <c r="E1253" s="92"/>
      <c r="H1253" s="96">
        <f>SUM(H1251:H1252)</f>
        <v>535</v>
      </c>
      <c r="I1253" s="96">
        <f>SUM(I1251:I1252)</f>
        <v>560</v>
      </c>
      <c r="J1253" s="92"/>
      <c r="M1253" s="96">
        <f>SUM(M1251:M1252)</f>
        <v>560</v>
      </c>
    </row>
    <row r="1254" spans="1:16" ht="16.5" thickBot="1">
      <c r="A1254" s="93" t="s">
        <v>346</v>
      </c>
      <c r="C1254" s="215">
        <f t="shared" si="278"/>
        <v>7102.4897856137368</v>
      </c>
      <c r="D1254" s="94">
        <f t="shared" si="278"/>
        <v>7423</v>
      </c>
      <c r="E1254" s="94"/>
      <c r="J1254" s="94"/>
    </row>
    <row r="1255" spans="1:16" ht="16.5" thickTop="1">
      <c r="A1255" s="93" t="s">
        <v>149</v>
      </c>
      <c r="C1255" s="94">
        <f t="shared" si="278"/>
        <v>3</v>
      </c>
      <c r="D1255" s="94">
        <f t="shared" si="278"/>
        <v>4</v>
      </c>
      <c r="E1255" s="94"/>
      <c r="J1255" s="94"/>
    </row>
    <row r="1256" spans="1:16" ht="16.5" thickBot="1">
      <c r="A1256" s="133" t="s">
        <v>105</v>
      </c>
      <c r="B1256" s="134"/>
      <c r="C1256" s="160">
        <f t="shared" si="278"/>
        <v>7102.4897856137368</v>
      </c>
      <c r="D1256" s="160">
        <f>D1264+D1272</f>
        <v>7423</v>
      </c>
      <c r="E1256" s="160"/>
      <c r="F1256" s="179"/>
      <c r="G1256" s="179"/>
      <c r="H1256" s="179">
        <f>H1253</f>
        <v>535</v>
      </c>
      <c r="I1256" s="179">
        <f>I1253</f>
        <v>560</v>
      </c>
      <c r="J1256" s="160"/>
      <c r="K1256" s="179"/>
      <c r="L1256" s="179"/>
      <c r="M1256" s="179">
        <f>M1253</f>
        <v>560</v>
      </c>
      <c r="O1256" s="72" t="s">
        <v>86</v>
      </c>
      <c r="P1256" s="121">
        <f>M1256/I1256-1</f>
        <v>0</v>
      </c>
    </row>
    <row r="1257" spans="1:16" ht="16.5" thickTop="1">
      <c r="C1257" s="92"/>
      <c r="D1257" s="92"/>
      <c r="E1257" s="92"/>
      <c r="F1257" s="150"/>
      <c r="G1257" s="150"/>
      <c r="J1257" s="92"/>
      <c r="K1257" s="150"/>
      <c r="L1257" s="150"/>
    </row>
    <row r="1258" spans="1:16">
      <c r="A1258" s="90" t="s">
        <v>347</v>
      </c>
      <c r="C1258" s="92"/>
      <c r="D1258" s="92"/>
      <c r="E1258" s="92"/>
      <c r="J1258" s="92"/>
    </row>
    <row r="1259" spans="1:16">
      <c r="A1259" s="93" t="s">
        <v>343</v>
      </c>
      <c r="C1259" s="92">
        <v>0</v>
      </c>
      <c r="D1259" s="92">
        <f>ROUND($C1259*(D$1262/$C$1262),0)</f>
        <v>0</v>
      </c>
      <c r="E1259" s="92"/>
      <c r="F1259" s="95">
        <v>2.1800000000000002</v>
      </c>
      <c r="G1259" s="95"/>
      <c r="H1259" s="96">
        <f>ROUND($F1259*C1259,0)</f>
        <v>0</v>
      </c>
      <c r="I1259" s="96">
        <f>ROUND($F1259*D1259,0)</f>
        <v>0</v>
      </c>
      <c r="J1259" s="92"/>
      <c r="K1259" s="95">
        <f>K1251</f>
        <v>2.1800000000000002</v>
      </c>
      <c r="L1259" s="95"/>
      <c r="M1259" s="96">
        <f>ROUND($K1259*D1259,0)</f>
        <v>0</v>
      </c>
    </row>
    <row r="1260" spans="1:16">
      <c r="A1260" s="93" t="s">
        <v>344</v>
      </c>
      <c r="C1260" s="92">
        <v>211.844633543783</v>
      </c>
      <c r="D1260" s="171">
        <f>ROUND($C1260*(D$1262/$C$1262),0)</f>
        <v>208</v>
      </c>
      <c r="E1260" s="171"/>
      <c r="F1260" s="214">
        <v>2.1858</v>
      </c>
      <c r="G1260" s="120"/>
      <c r="H1260" s="174">
        <f>ROUND($F1260*C1260,0)</f>
        <v>463</v>
      </c>
      <c r="I1260" s="174">
        <f>ROUND($F1260*D1260,0)</f>
        <v>455</v>
      </c>
      <c r="J1260" s="171"/>
      <c r="K1260" s="214">
        <f>K1252</f>
        <v>2.1858</v>
      </c>
      <c r="L1260" s="120"/>
      <c r="M1260" s="174">
        <f>ROUND($K1260*D1260,0)</f>
        <v>455</v>
      </c>
    </row>
    <row r="1261" spans="1:16">
      <c r="A1261" s="93" t="s">
        <v>345</v>
      </c>
      <c r="C1261" s="183">
        <f>SUM(C1259:C1260)</f>
        <v>211.844633543783</v>
      </c>
      <c r="D1261" s="92">
        <f>SUM(D1259:D1260)</f>
        <v>208</v>
      </c>
      <c r="E1261" s="92"/>
      <c r="H1261" s="96">
        <f>SUM(H1259:H1260)</f>
        <v>463</v>
      </c>
      <c r="I1261" s="96">
        <f>SUM(I1259:I1260)</f>
        <v>455</v>
      </c>
      <c r="J1261" s="92"/>
      <c r="M1261" s="96">
        <f>SUM(M1259:M1260)</f>
        <v>455</v>
      </c>
    </row>
    <row r="1262" spans="1:16" ht="16.5" thickBot="1">
      <c r="A1262" s="93" t="s">
        <v>346</v>
      </c>
      <c r="C1262" s="215">
        <v>6143.4943727697</v>
      </c>
      <c r="D1262" s="94">
        <v>6031</v>
      </c>
      <c r="E1262" s="94"/>
      <c r="J1262" s="94"/>
    </row>
    <row r="1263" spans="1:16" ht="16.5" thickTop="1">
      <c r="A1263" s="93" t="s">
        <v>149</v>
      </c>
      <c r="C1263" s="94">
        <v>2</v>
      </c>
      <c r="D1263" s="94">
        <v>2</v>
      </c>
      <c r="E1263" s="94"/>
      <c r="J1263" s="94"/>
    </row>
    <row r="1264" spans="1:16" ht="16.5" thickBot="1">
      <c r="A1264" s="133" t="s">
        <v>105</v>
      </c>
      <c r="B1264" s="134"/>
      <c r="C1264" s="160">
        <f>C1262</f>
        <v>6143.4943727697</v>
      </c>
      <c r="D1264" s="160">
        <f t="shared" ref="D1264" si="279">D1262</f>
        <v>6031</v>
      </c>
      <c r="E1264" s="160"/>
      <c r="F1264" s="179"/>
      <c r="G1264" s="179"/>
      <c r="H1264" s="179">
        <f>H1261</f>
        <v>463</v>
      </c>
      <c r="I1264" s="179">
        <f>I1261</f>
        <v>455</v>
      </c>
      <c r="J1264" s="160"/>
      <c r="K1264" s="179"/>
      <c r="L1264" s="179"/>
      <c r="M1264" s="179">
        <f>M1261</f>
        <v>455</v>
      </c>
      <c r="O1264" s="72" t="s">
        <v>86</v>
      </c>
      <c r="P1264" s="121">
        <f>M1264/I1264-1</f>
        <v>0</v>
      </c>
    </row>
    <row r="1265" spans="1:16" ht="16.5" thickTop="1">
      <c r="C1265" s="92"/>
      <c r="D1265" s="92"/>
      <c r="E1265" s="92"/>
      <c r="F1265" s="150"/>
      <c r="G1265" s="150"/>
      <c r="J1265" s="92"/>
      <c r="K1265" s="150"/>
      <c r="L1265" s="150"/>
    </row>
    <row r="1266" spans="1:16">
      <c r="A1266" s="90" t="s">
        <v>348</v>
      </c>
      <c r="C1266" s="92"/>
      <c r="D1266" s="92"/>
      <c r="E1266" s="92"/>
      <c r="J1266" s="92"/>
    </row>
    <row r="1267" spans="1:16">
      <c r="A1267" s="93" t="s">
        <v>343</v>
      </c>
      <c r="C1267" s="92">
        <v>33.068807339449499</v>
      </c>
      <c r="D1267" s="92">
        <f>ROUND($C1267*(D$1270/$C$1270),0)</f>
        <v>48</v>
      </c>
      <c r="E1267" s="92"/>
      <c r="F1267" s="95">
        <v>2.1800000000000002</v>
      </c>
      <c r="G1267" s="95"/>
      <c r="H1267" s="96">
        <f>ROUND($F1267*C1267,0)</f>
        <v>72</v>
      </c>
      <c r="I1267" s="96">
        <f>ROUND($F1267*D1267,0)</f>
        <v>105</v>
      </c>
      <c r="J1267" s="92"/>
      <c r="K1267" s="95">
        <f>K1251</f>
        <v>2.1800000000000002</v>
      </c>
      <c r="L1267" s="95"/>
      <c r="M1267" s="96">
        <f>ROUND($K1267*D1267,0)</f>
        <v>105</v>
      </c>
    </row>
    <row r="1268" spans="1:16">
      <c r="A1268" s="93" t="s">
        <v>344</v>
      </c>
      <c r="C1268" s="92">
        <v>0</v>
      </c>
      <c r="D1268" s="171">
        <f>ROUND($C1268*(D$1270/$C$1270),0)</f>
        <v>0</v>
      </c>
      <c r="E1268" s="171"/>
      <c r="F1268" s="214">
        <v>2.1858</v>
      </c>
      <c r="G1268" s="120"/>
      <c r="H1268" s="174">
        <f>ROUND($F1268*C1268,0)</f>
        <v>0</v>
      </c>
      <c r="I1268" s="174">
        <f>ROUND($F1268*D1268,0)</f>
        <v>0</v>
      </c>
      <c r="J1268" s="171"/>
      <c r="K1268" s="214">
        <f>K1252</f>
        <v>2.1858</v>
      </c>
      <c r="L1268" s="120"/>
      <c r="M1268" s="174">
        <f>ROUND($K1268*D1268,0)</f>
        <v>0</v>
      </c>
    </row>
    <row r="1269" spans="1:16">
      <c r="A1269" s="93" t="s">
        <v>345</v>
      </c>
      <c r="C1269" s="183">
        <f>SUM(C1267:C1268)</f>
        <v>33.068807339449499</v>
      </c>
      <c r="D1269" s="92">
        <f>SUM(D1267:D1268)</f>
        <v>48</v>
      </c>
      <c r="E1269" s="92"/>
      <c r="H1269" s="96">
        <f>SUM(H1267:H1268)</f>
        <v>72</v>
      </c>
      <c r="I1269" s="96">
        <f>SUM(I1267:I1268)</f>
        <v>105</v>
      </c>
      <c r="J1269" s="92"/>
      <c r="M1269" s="96">
        <f>SUM(M1267:M1268)</f>
        <v>105</v>
      </c>
    </row>
    <row r="1270" spans="1:16" ht="16.5" thickBot="1">
      <c r="A1270" s="93" t="s">
        <v>346</v>
      </c>
      <c r="C1270" s="215">
        <v>958.99541284403699</v>
      </c>
      <c r="D1270" s="94">
        <v>1392</v>
      </c>
      <c r="E1270" s="94"/>
      <c r="J1270" s="94"/>
    </row>
    <row r="1271" spans="1:16" ht="16.5" thickTop="1">
      <c r="A1271" s="93" t="s">
        <v>149</v>
      </c>
      <c r="C1271" s="94">
        <v>1</v>
      </c>
      <c r="D1271" s="94">
        <v>2</v>
      </c>
      <c r="E1271" s="94"/>
      <c r="J1271" s="94"/>
    </row>
    <row r="1272" spans="1:16" ht="16.5" thickBot="1">
      <c r="A1272" s="133" t="s">
        <v>105</v>
      </c>
      <c r="B1272" s="134"/>
      <c r="C1272" s="160">
        <f>C1270</f>
        <v>958.99541284403699</v>
      </c>
      <c r="D1272" s="160">
        <f t="shared" ref="D1272" si="280">D1270</f>
        <v>1392</v>
      </c>
      <c r="E1272" s="160"/>
      <c r="F1272" s="179"/>
      <c r="G1272" s="179"/>
      <c r="H1272" s="179">
        <f>H1269</f>
        <v>72</v>
      </c>
      <c r="I1272" s="179">
        <f>I1269</f>
        <v>105</v>
      </c>
      <c r="J1272" s="160"/>
      <c r="K1272" s="179"/>
      <c r="L1272" s="179"/>
      <c r="M1272" s="179">
        <f>M1269</f>
        <v>105</v>
      </c>
      <c r="O1272" s="72" t="s">
        <v>86</v>
      </c>
      <c r="P1272" s="121">
        <f>M1272/I1272-1</f>
        <v>0</v>
      </c>
    </row>
    <row r="1273" spans="1:16" ht="16.5" thickTop="1">
      <c r="C1273" s="92"/>
      <c r="D1273" s="92"/>
      <c r="E1273" s="92"/>
      <c r="J1273" s="92"/>
    </row>
    <row r="1274" spans="1:16">
      <c r="A1274" s="90" t="s">
        <v>349</v>
      </c>
      <c r="F1274" s="150"/>
      <c r="G1274" s="150"/>
      <c r="K1274" s="150"/>
      <c r="L1274" s="150"/>
    </row>
    <row r="1275" spans="1:16">
      <c r="A1275" s="93" t="s">
        <v>350</v>
      </c>
      <c r="C1275" s="216"/>
      <c r="D1275" s="216"/>
      <c r="E1275" s="216"/>
      <c r="F1275" s="150"/>
      <c r="G1275" s="150"/>
      <c r="H1275" s="96">
        <v>37136.720000000008</v>
      </c>
      <c r="I1275" s="96">
        <v>37136.720000000008</v>
      </c>
      <c r="J1275" s="216"/>
      <c r="K1275" s="150"/>
      <c r="L1275" s="150"/>
      <c r="M1275" s="96">
        <f>I1275</f>
        <v>37136.720000000008</v>
      </c>
    </row>
    <row r="1276" spans="1:16">
      <c r="A1276" s="93" t="s">
        <v>351</v>
      </c>
      <c r="C1276" s="216"/>
      <c r="D1276" s="216"/>
      <c r="E1276" s="216"/>
      <c r="F1276" s="150"/>
      <c r="G1276" s="150"/>
      <c r="H1276" s="96">
        <v>5958540.370000001</v>
      </c>
      <c r="I1276" s="96">
        <v>5958540.370000001</v>
      </c>
      <c r="J1276" s="216"/>
      <c r="K1276" s="150"/>
      <c r="L1276" s="150"/>
      <c r="M1276" s="96">
        <f t="shared" ref="M1276:M1279" si="281">I1276</f>
        <v>5958540.370000001</v>
      </c>
    </row>
    <row r="1277" spans="1:16">
      <c r="A1277" s="93" t="s">
        <v>352</v>
      </c>
      <c r="C1277" s="216"/>
      <c r="D1277" s="216"/>
      <c r="E1277" s="216"/>
      <c r="F1277" s="150"/>
      <c r="G1277" s="150"/>
      <c r="H1277" s="96">
        <v>877980.84</v>
      </c>
      <c r="I1277" s="96">
        <v>877980.84</v>
      </c>
      <c r="J1277" s="216"/>
      <c r="K1277" s="150"/>
      <c r="L1277" s="150"/>
      <c r="M1277" s="96">
        <f t="shared" si="281"/>
        <v>877980.84</v>
      </c>
    </row>
    <row r="1278" spans="1:16">
      <c r="A1278" s="93" t="s">
        <v>353</v>
      </c>
      <c r="C1278" s="216"/>
      <c r="D1278" s="216"/>
      <c r="E1278" s="216"/>
      <c r="F1278" s="150"/>
      <c r="G1278" s="150"/>
      <c r="H1278" s="96">
        <v>203156.84000000003</v>
      </c>
      <c r="I1278" s="96">
        <v>203156.84000000003</v>
      </c>
      <c r="J1278" s="216"/>
      <c r="K1278" s="150"/>
      <c r="L1278" s="150"/>
      <c r="M1278" s="96">
        <f t="shared" si="281"/>
        <v>203156.84000000003</v>
      </c>
    </row>
    <row r="1279" spans="1:16">
      <c r="A1279" s="93" t="s">
        <v>354</v>
      </c>
      <c r="C1279" s="216"/>
      <c r="D1279" s="216"/>
      <c r="E1279" s="216"/>
      <c r="F1279" s="150"/>
      <c r="G1279" s="150"/>
      <c r="H1279" s="174">
        <v>4661.6400000000003</v>
      </c>
      <c r="I1279" s="174">
        <v>4661.6400000000003</v>
      </c>
      <c r="J1279" s="216"/>
      <c r="K1279" s="150"/>
      <c r="L1279" s="150"/>
      <c r="M1279" s="174">
        <f t="shared" si="281"/>
        <v>4661.6400000000003</v>
      </c>
    </row>
    <row r="1280" spans="1:16" ht="16.5" thickBot="1">
      <c r="A1280" s="133" t="s">
        <v>355</v>
      </c>
      <c r="B1280" s="134"/>
      <c r="C1280" s="217"/>
      <c r="D1280" s="217"/>
      <c r="E1280" s="217"/>
      <c r="F1280" s="208"/>
      <c r="G1280" s="208"/>
      <c r="H1280" s="136">
        <f>SUM(H1275:H1279)</f>
        <v>7081476.4100000001</v>
      </c>
      <c r="I1280" s="136">
        <f>SUM(I1275:I1279)</f>
        <v>7081476.4100000001</v>
      </c>
      <c r="J1280" s="217"/>
      <c r="K1280" s="208"/>
      <c r="L1280" s="208"/>
      <c r="M1280" s="136">
        <f>SUM(M1275:M1279)</f>
        <v>7081476.4100000001</v>
      </c>
      <c r="O1280" s="72" t="s">
        <v>86</v>
      </c>
      <c r="P1280" s="121">
        <f>M1280/I1280-1</f>
        <v>0</v>
      </c>
    </row>
    <row r="1281" spans="1:21" ht="16.5" thickTop="1">
      <c r="A1281" s="93"/>
      <c r="F1281" s="150"/>
      <c r="G1281" s="150"/>
      <c r="H1281" s="96"/>
      <c r="I1281" s="96"/>
      <c r="K1281" s="150"/>
      <c r="L1281" s="150"/>
      <c r="M1281" s="96"/>
    </row>
    <row r="1282" spans="1:21" ht="16.5" thickBot="1">
      <c r="A1282" s="189" t="s">
        <v>356</v>
      </c>
      <c r="B1282" s="134"/>
      <c r="C1282" s="217">
        <f>C27+C67+C82+C102+C48+C123+C179+C236+C296+C359+C400+C456+C470+C511+C559+C581+C610+C687+C696+C730+C767+C831+C945+C1124+C1170+C1217+C1231+C1242+C1248+C1220+C1256</f>
        <v>25917499352.651615</v>
      </c>
      <c r="D1282" s="217">
        <f>D27+D67+D82+D102+D48+D123+D179+D236+D296+D359+D400+D456+D470+D511+D559+D581+D610+D687+D696+D730+D767+D831+D945+D1124+D1170+D1217+D1231+D1242+D1248+D1220+D1256</f>
        <v>28826511503.800049</v>
      </c>
      <c r="E1282" s="217"/>
      <c r="F1282" s="134"/>
      <c r="G1282" s="134"/>
      <c r="H1282" s="136">
        <f>H27+H67+H82+H102+H48+H123+H179+H236+H296+H359+H400+H456+H470+H511+H559+H581+H610+H687+H696+H730+H767+H831+H945+H1124+H1170+H1217+H1231+H1242+H1248+H1220+H1256+H1280</f>
        <v>2183367073.540267</v>
      </c>
      <c r="I1282" s="136">
        <f>I27+I67+I82+I102+I48+I123+I179+I236+I296+I359+I400+I456+I470+I511+I559+I581+I610+I687+I696+I730+I767+I831+I945+I1124+I1170+I1217+I1231+I1242+I1248+I1220+I1256+I1280</f>
        <v>2356946872.6316357</v>
      </c>
      <c r="J1282" s="217"/>
      <c r="K1282" s="134"/>
      <c r="L1282" s="134"/>
      <c r="M1282" s="136">
        <f>M27+M67+M82+M102+M48+M123+M179+M236+M296+M359+M400+M456+M470+M511+M559+M581+M610+M687+M696+M730+M767+M831+M945+M1124+M1170+M1217+M1231+M1242+M1248+M1220+M1256+M1280</f>
        <v>2537758921.6316357</v>
      </c>
      <c r="O1282" s="72" t="s">
        <v>86</v>
      </c>
      <c r="P1282" s="121">
        <f>M1282/I1282-1</f>
        <v>7.6714520424516541E-2</v>
      </c>
    </row>
    <row r="1283" spans="1:21" s="4" customFormat="1" ht="16.5" thickTop="1">
      <c r="A1283" s="289" t="s">
        <v>471</v>
      </c>
      <c r="G1283" s="30"/>
      <c r="H1283" s="30"/>
      <c r="I1283" s="30"/>
      <c r="J1283" s="30"/>
      <c r="K1283" s="30"/>
      <c r="N1283" s="30"/>
      <c r="O1283" s="30"/>
      <c r="P1283" s="30"/>
      <c r="Q1283" s="30"/>
      <c r="S1283" s="30"/>
      <c r="T1283" s="30"/>
      <c r="U1283" s="30"/>
    </row>
    <row r="1284" spans="1:21" s="4" customFormat="1">
      <c r="A1284" s="4" t="s">
        <v>472</v>
      </c>
      <c r="G1284" s="30"/>
      <c r="H1284" s="30"/>
      <c r="I1284" s="30"/>
      <c r="J1284" s="30"/>
      <c r="K1284" s="30"/>
      <c r="N1284" s="30"/>
      <c r="O1284" s="30"/>
      <c r="P1284" s="30"/>
      <c r="Q1284" s="30"/>
      <c r="S1284" s="30"/>
      <c r="T1284" s="30"/>
      <c r="U1284" s="30"/>
    </row>
    <row r="1285" spans="1:21" s="4" customFormat="1">
      <c r="A1285" s="4" t="s">
        <v>473</v>
      </c>
      <c r="I1285" s="12"/>
      <c r="K1285" s="30"/>
      <c r="L1285" s="30"/>
      <c r="M1285" s="30"/>
      <c r="N1285" s="30"/>
    </row>
    <row r="1286" spans="1:21">
      <c r="C1286" s="92"/>
    </row>
    <row r="1287" spans="1:21">
      <c r="D1287" s="92"/>
      <c r="E1287" s="92"/>
      <c r="J1287" s="92"/>
      <c r="M1287" s="121"/>
    </row>
    <row r="1288" spans="1:21">
      <c r="C1288" s="218"/>
      <c r="H1288" s="218"/>
      <c r="I1288" s="96"/>
      <c r="M1288" s="96"/>
    </row>
    <row r="1289" spans="1:21">
      <c r="C1289" s="218"/>
      <c r="I1289" s="96"/>
      <c r="M1289" s="96"/>
    </row>
    <row r="1290" spans="1:21">
      <c r="M1290" s="121"/>
    </row>
  </sheetData>
  <printOptions horizontalCentered="1"/>
  <pageMargins left="1" right="0.5" top="1" bottom="0.55000000000000004" header="0.25" footer="0.25"/>
  <pageSetup scale="60" fitToHeight="88" orientation="portrait" r:id="rId1"/>
  <headerFooter alignWithMargins="0">
    <oddFooter>Page &amp;P of &amp;N</oddFooter>
  </headerFooter>
  <rowBreaks count="6" manualBreakCount="6">
    <brk id="109" max="12" man="1"/>
    <brk id="456" max="12" man="1"/>
    <brk id="610" max="12" man="1"/>
    <brk id="767" max="12" man="1"/>
    <brk id="1112" max="12" man="1"/>
    <brk id="1217" max="12" man="1"/>
  </rowBreaks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3FB8D0-429E-48AC-8FB4-E1C63D547545}">
  <sheetPr>
    <pageSetUpPr fitToPage="1"/>
  </sheetPr>
  <dimension ref="A1:U112"/>
  <sheetViews>
    <sheetView view="pageBreakPreview" topLeftCell="A91" zoomScale="80" zoomScaleNormal="90" zoomScaleSheetLayoutView="80" workbookViewId="0">
      <selection activeCell="B39" sqref="B39"/>
    </sheetView>
  </sheetViews>
  <sheetFormatPr defaultColWidth="9.140625" defaultRowHeight="15.75"/>
  <cols>
    <col min="1" max="1" width="66.42578125" style="223" bestFit="1" customWidth="1"/>
    <col min="2" max="2" width="9.42578125" style="223" customWidth="1"/>
    <col min="3" max="3" width="2.85546875" style="223" customWidth="1"/>
    <col min="4" max="4" width="19.28515625" style="223" customWidth="1"/>
    <col min="5" max="5" width="6.85546875" style="223" bestFit="1" customWidth="1"/>
    <col min="6" max="6" width="19" style="223" customWidth="1"/>
    <col min="7" max="7" width="3.42578125" style="223" customWidth="1"/>
    <col min="8" max="8" width="18.7109375" style="223" customWidth="1"/>
    <col min="9" max="9" width="6.85546875" style="223" bestFit="1" customWidth="1"/>
    <col min="10" max="10" width="10.85546875" style="223" bestFit="1" customWidth="1"/>
    <col min="11" max="11" width="3" style="223" customWidth="1"/>
    <col min="12" max="12" width="15.85546875" style="223" customWidth="1"/>
    <col min="13" max="16384" width="9.140625" style="223"/>
  </cols>
  <sheetData>
    <row r="1" spans="1:21">
      <c r="A1" s="219" t="s">
        <v>69</v>
      </c>
      <c r="B1" s="220"/>
      <c r="C1" s="220"/>
      <c r="D1" s="220"/>
      <c r="E1" s="220"/>
      <c r="F1" s="220"/>
      <c r="G1" s="220"/>
      <c r="H1" s="220"/>
      <c r="I1" s="220"/>
      <c r="J1" s="220"/>
      <c r="K1" s="221"/>
      <c r="L1" s="222"/>
    </row>
    <row r="2" spans="1:21">
      <c r="A2" s="219" t="s">
        <v>357</v>
      </c>
      <c r="B2" s="220"/>
      <c r="C2" s="220"/>
      <c r="D2" s="220"/>
      <c r="E2" s="220"/>
      <c r="F2" s="220"/>
      <c r="G2" s="220"/>
      <c r="H2" s="220"/>
      <c r="I2" s="220"/>
      <c r="J2" s="220"/>
      <c r="K2" s="221"/>
      <c r="L2" s="222"/>
    </row>
    <row r="3" spans="1:21">
      <c r="A3" s="219"/>
      <c r="B3" s="220"/>
      <c r="C3" s="220"/>
      <c r="D3" s="220"/>
      <c r="E3" s="220"/>
      <c r="F3" s="220"/>
      <c r="G3" s="220"/>
      <c r="H3" s="220"/>
      <c r="I3" s="220"/>
      <c r="J3" s="220"/>
      <c r="K3" s="221"/>
      <c r="L3" s="222"/>
    </row>
    <row r="4" spans="1:21">
      <c r="A4" s="224" t="s">
        <v>358</v>
      </c>
      <c r="B4" s="225"/>
      <c r="C4" s="225"/>
      <c r="D4" s="225"/>
      <c r="E4" s="225"/>
      <c r="F4" s="225"/>
      <c r="G4" s="225"/>
      <c r="H4" s="225"/>
      <c r="I4" s="225"/>
      <c r="J4" s="225"/>
      <c r="K4" s="226"/>
      <c r="L4" s="227"/>
    </row>
    <row r="5" spans="1:21" ht="31.5">
      <c r="A5" s="228" t="s">
        <v>359</v>
      </c>
      <c r="B5" s="229" t="s">
        <v>360</v>
      </c>
      <c r="C5" s="230"/>
      <c r="D5" s="229" t="s">
        <v>361</v>
      </c>
      <c r="E5" s="231"/>
      <c r="F5" s="231" t="s">
        <v>16</v>
      </c>
      <c r="G5" s="176"/>
      <c r="H5" s="229"/>
      <c r="I5" s="176"/>
      <c r="J5" s="231"/>
      <c r="K5" s="221"/>
      <c r="L5" s="222"/>
    </row>
    <row r="6" spans="1:21">
      <c r="A6" s="232" t="s">
        <v>121</v>
      </c>
      <c r="B6" s="233">
        <v>53</v>
      </c>
      <c r="C6" s="176"/>
      <c r="D6" s="233">
        <f>'Rate Design'!K112</f>
        <v>58</v>
      </c>
      <c r="E6" s="176"/>
      <c r="F6" s="233">
        <f>D6-B6</f>
        <v>5</v>
      </c>
      <c r="G6" s="233"/>
      <c r="H6" s="233"/>
      <c r="I6" s="233"/>
      <c r="J6" s="233"/>
      <c r="K6" s="221"/>
      <c r="L6" s="222"/>
    </row>
    <row r="7" spans="1:21">
      <c r="A7" s="232" t="s">
        <v>362</v>
      </c>
      <c r="B7" s="233">
        <v>13.27</v>
      </c>
      <c r="C7" s="176"/>
      <c r="D7" s="233">
        <f>'Rate Design'!K116</f>
        <v>14.49</v>
      </c>
      <c r="E7" s="176"/>
      <c r="F7" s="233"/>
      <c r="G7" s="233"/>
      <c r="H7" s="233"/>
      <c r="I7" s="233"/>
      <c r="J7" s="233"/>
      <c r="K7" s="221"/>
      <c r="L7" s="222"/>
    </row>
    <row r="8" spans="1:21">
      <c r="A8" s="232" t="s">
        <v>363</v>
      </c>
      <c r="B8" s="233">
        <v>11.74</v>
      </c>
      <c r="C8" s="176"/>
      <c r="D8" s="233">
        <f>'Rate Design'!K117</f>
        <v>12.82</v>
      </c>
      <c r="E8" s="176"/>
      <c r="F8" s="233"/>
      <c r="G8" s="233"/>
      <c r="H8" s="233"/>
      <c r="I8" s="233"/>
      <c r="J8" s="233"/>
      <c r="K8" s="221"/>
      <c r="L8" s="222"/>
    </row>
    <row r="9" spans="1:21">
      <c r="A9" s="232" t="s">
        <v>364</v>
      </c>
      <c r="B9" s="233">
        <v>3.99</v>
      </c>
      <c r="C9" s="176"/>
      <c r="D9" s="233">
        <f>'Rate Design'!K115</f>
        <v>4.3600000000000003</v>
      </c>
      <c r="E9" s="176"/>
      <c r="F9" s="233"/>
      <c r="G9" s="233"/>
      <c r="H9" s="233"/>
      <c r="I9" s="233"/>
      <c r="J9" s="233"/>
      <c r="K9" s="221"/>
      <c r="L9" s="222"/>
    </row>
    <row r="10" spans="1:21">
      <c r="A10" s="232" t="s">
        <v>128</v>
      </c>
      <c r="B10" s="233">
        <v>-0.96</v>
      </c>
      <c r="C10" s="176"/>
      <c r="D10" s="233">
        <f>'Rate Design'!K120</f>
        <v>-0.96</v>
      </c>
      <c r="E10" s="176"/>
      <c r="F10" s="233"/>
      <c r="G10" s="233"/>
      <c r="H10" s="233"/>
      <c r="I10" s="233"/>
      <c r="J10" s="233"/>
      <c r="K10" s="221"/>
      <c r="L10" s="222"/>
    </row>
    <row r="11" spans="1:21">
      <c r="A11" s="234"/>
      <c r="B11" s="220"/>
      <c r="C11" s="220"/>
      <c r="D11" s="220"/>
      <c r="E11" s="220"/>
      <c r="F11" s="220"/>
      <c r="G11" s="220"/>
      <c r="H11" s="220"/>
      <c r="I11" s="220"/>
      <c r="J11" s="220"/>
      <c r="K11" s="221"/>
      <c r="L11" s="222"/>
    </row>
    <row r="12" spans="1:21" s="235" customFormat="1">
      <c r="A12" s="234" t="s">
        <v>365</v>
      </c>
      <c r="B12" s="220"/>
      <c r="C12" s="220"/>
      <c r="D12" s="220"/>
      <c r="E12" s="220"/>
      <c r="F12" s="220"/>
      <c r="G12" s="220"/>
      <c r="H12" s="220"/>
      <c r="I12" s="220"/>
      <c r="J12" s="220"/>
      <c r="K12" s="221"/>
    </row>
    <row r="13" spans="1:21" s="235" customFormat="1" ht="31.5">
      <c r="A13" s="228" t="s">
        <v>359</v>
      </c>
      <c r="B13" s="229" t="s">
        <v>360</v>
      </c>
      <c r="C13" s="230"/>
      <c r="D13" s="229" t="s">
        <v>361</v>
      </c>
      <c r="E13" s="231"/>
      <c r="F13" s="231" t="s">
        <v>16</v>
      </c>
      <c r="G13" s="176"/>
      <c r="H13" s="229"/>
      <c r="I13" s="176"/>
      <c r="J13" s="231"/>
    </row>
    <row r="14" spans="1:21" s="235" customFormat="1">
      <c r="A14" s="232" t="s">
        <v>121</v>
      </c>
      <c r="B14" s="233">
        <v>71</v>
      </c>
      <c r="C14" s="176"/>
      <c r="D14" s="233">
        <f>'Rate Design'!K389</f>
        <v>76</v>
      </c>
      <c r="E14" s="176"/>
      <c r="F14" s="233">
        <f>D14-B14</f>
        <v>5</v>
      </c>
      <c r="G14" s="233"/>
      <c r="H14" s="233"/>
      <c r="I14" s="233"/>
      <c r="J14" s="233"/>
      <c r="K14" s="233"/>
      <c r="L14" s="233"/>
      <c r="M14" s="233"/>
      <c r="N14" s="233"/>
      <c r="O14" s="233"/>
      <c r="P14" s="233"/>
      <c r="Q14" s="233"/>
      <c r="R14" s="233"/>
      <c r="S14" s="233"/>
      <c r="T14" s="233"/>
      <c r="U14" s="233"/>
    </row>
    <row r="15" spans="1:21" s="235" customFormat="1">
      <c r="A15" s="232" t="s">
        <v>362</v>
      </c>
      <c r="B15" s="233">
        <v>15.73</v>
      </c>
      <c r="C15" s="176"/>
      <c r="D15" s="233">
        <f>'Rate Design'!K392</f>
        <v>16.84</v>
      </c>
      <c r="E15" s="176"/>
      <c r="F15" s="233"/>
      <c r="G15" s="233"/>
      <c r="H15" s="233"/>
      <c r="I15" s="233"/>
      <c r="J15" s="233"/>
      <c r="K15" s="233"/>
      <c r="L15" s="233"/>
      <c r="M15" s="233"/>
      <c r="N15" s="233"/>
      <c r="O15" s="233"/>
      <c r="P15" s="233"/>
      <c r="Q15" s="233"/>
      <c r="R15" s="233"/>
      <c r="S15" s="233"/>
      <c r="T15" s="233"/>
      <c r="U15" s="233"/>
    </row>
    <row r="16" spans="1:21" s="235" customFormat="1">
      <c r="A16" s="232" t="s">
        <v>363</v>
      </c>
      <c r="B16" s="233">
        <v>13.92</v>
      </c>
      <c r="C16" s="176"/>
      <c r="D16" s="233">
        <f>'Rate Design'!K393</f>
        <v>14.9</v>
      </c>
      <c r="E16" s="176"/>
      <c r="F16" s="233"/>
      <c r="G16" s="233"/>
      <c r="H16" s="233"/>
      <c r="I16" s="233"/>
      <c r="J16" s="233"/>
      <c r="K16" s="233"/>
      <c r="L16" s="233"/>
      <c r="M16" s="233"/>
      <c r="N16" s="233"/>
      <c r="O16" s="233"/>
      <c r="P16" s="233"/>
      <c r="Q16" s="233"/>
      <c r="R16" s="233"/>
      <c r="S16" s="233"/>
      <c r="T16" s="233"/>
      <c r="U16" s="233"/>
    </row>
    <row r="17" spans="1:21" s="235" customFormat="1">
      <c r="A17" s="232" t="s">
        <v>364</v>
      </c>
      <c r="B17" s="233">
        <v>4.8099999999999996</v>
      </c>
      <c r="C17" s="176"/>
      <c r="D17" s="233">
        <f>'Rate Design'!K391</f>
        <v>5.15</v>
      </c>
      <c r="E17" s="176"/>
      <c r="F17" s="233"/>
      <c r="G17" s="233"/>
      <c r="H17" s="233"/>
      <c r="I17" s="233"/>
      <c r="J17" s="233"/>
      <c r="K17" s="233"/>
      <c r="L17" s="233"/>
      <c r="M17" s="233"/>
      <c r="N17" s="233"/>
      <c r="O17" s="233"/>
      <c r="P17" s="233"/>
      <c r="Q17" s="233"/>
      <c r="R17" s="233"/>
      <c r="S17" s="233"/>
      <c r="T17" s="233"/>
      <c r="U17" s="233"/>
    </row>
    <row r="18" spans="1:21" s="235" customFormat="1">
      <c r="A18" s="232" t="s">
        <v>128</v>
      </c>
      <c r="B18" s="233">
        <v>-1.1299999999999999</v>
      </c>
      <c r="C18" s="176"/>
      <c r="D18" s="233">
        <f>'Rate Design'!K398</f>
        <v>-1.1299999999999999</v>
      </c>
      <c r="E18" s="176"/>
      <c r="F18" s="233"/>
      <c r="G18" s="233"/>
      <c r="H18" s="233"/>
      <c r="I18" s="233"/>
      <c r="J18" s="233"/>
      <c r="K18" s="233"/>
      <c r="L18" s="233"/>
      <c r="M18" s="233"/>
      <c r="N18" s="233"/>
      <c r="O18" s="233"/>
      <c r="P18" s="233"/>
      <c r="Q18" s="233"/>
      <c r="R18" s="233"/>
      <c r="S18" s="233"/>
      <c r="T18" s="233"/>
      <c r="U18" s="233"/>
    </row>
    <row r="19" spans="1:21" s="235" customFormat="1">
      <c r="A19" s="232"/>
      <c r="B19" s="233"/>
      <c r="C19" s="176"/>
      <c r="D19" s="233"/>
      <c r="E19" s="176"/>
      <c r="F19" s="233"/>
      <c r="G19" s="233"/>
      <c r="H19" s="233"/>
      <c r="I19" s="233"/>
      <c r="J19" s="233"/>
      <c r="K19" s="233"/>
      <c r="L19" s="233"/>
      <c r="M19" s="233"/>
      <c r="N19" s="233"/>
      <c r="O19" s="233"/>
      <c r="P19" s="233"/>
      <c r="Q19" s="233"/>
      <c r="R19" s="233"/>
      <c r="S19" s="233"/>
      <c r="T19" s="233"/>
      <c r="U19" s="233"/>
    </row>
    <row r="20" spans="1:21" s="235" customFormat="1">
      <c r="A20" s="234" t="s">
        <v>366</v>
      </c>
      <c r="B20" s="236"/>
      <c r="C20" s="220"/>
      <c r="D20" s="236"/>
      <c r="E20" s="220"/>
      <c r="F20" s="236"/>
      <c r="G20" s="236"/>
      <c r="H20" s="236"/>
      <c r="I20" s="236"/>
      <c r="J20" s="236"/>
      <c r="K20" s="236"/>
      <c r="L20" s="233"/>
      <c r="M20" s="233"/>
      <c r="N20" s="233"/>
      <c r="O20" s="233"/>
      <c r="P20" s="233"/>
      <c r="Q20" s="233"/>
      <c r="R20" s="233"/>
      <c r="S20" s="233"/>
      <c r="T20" s="233"/>
      <c r="U20" s="233"/>
    </row>
    <row r="21" spans="1:21" s="235" customFormat="1">
      <c r="A21" s="232"/>
      <c r="B21" s="233"/>
      <c r="C21" s="176"/>
      <c r="D21" s="233"/>
      <c r="E21" s="176"/>
      <c r="F21" s="233"/>
      <c r="G21" s="233"/>
      <c r="H21" s="233"/>
      <c r="I21" s="233"/>
      <c r="J21" s="233"/>
      <c r="K21" s="233"/>
      <c r="L21" s="233"/>
      <c r="M21" s="233"/>
      <c r="N21" s="233"/>
      <c r="O21" s="233"/>
      <c r="P21" s="233"/>
      <c r="Q21" s="233"/>
      <c r="R21" s="233"/>
      <c r="S21" s="233"/>
      <c r="T21" s="233"/>
      <c r="U21" s="233"/>
    </row>
    <row r="22" spans="1:21" s="235" customFormat="1" ht="31.5">
      <c r="A22" s="237" t="s">
        <v>359</v>
      </c>
      <c r="B22" s="229" t="s">
        <v>360</v>
      </c>
      <c r="C22" s="230"/>
      <c r="D22" s="229" t="s">
        <v>361</v>
      </c>
      <c r="E22" s="231"/>
      <c r="F22" s="231" t="s">
        <v>16</v>
      </c>
      <c r="G22" s="176"/>
      <c r="H22" s="229"/>
      <c r="I22" s="176"/>
      <c r="J22" s="231"/>
      <c r="K22" s="233"/>
      <c r="L22" s="233"/>
      <c r="M22" s="233"/>
      <c r="N22" s="233"/>
      <c r="O22" s="233"/>
      <c r="P22" s="233"/>
      <c r="Q22" s="233"/>
      <c r="R22" s="233"/>
      <c r="S22" s="233"/>
      <c r="T22" s="233"/>
      <c r="U22" s="233"/>
    </row>
    <row r="23" spans="1:21" s="235" customFormat="1">
      <c r="A23" s="232" t="s">
        <v>121</v>
      </c>
      <c r="B23" s="233">
        <v>266</v>
      </c>
      <c r="C23" s="176"/>
      <c r="D23" s="233">
        <f>'Rate Design'!K459</f>
        <v>399</v>
      </c>
      <c r="E23" s="176"/>
      <c r="F23" s="233">
        <f>D23-B23</f>
        <v>133</v>
      </c>
      <c r="G23" s="233"/>
      <c r="H23" s="233"/>
      <c r="I23" s="233"/>
      <c r="J23" s="233"/>
      <c r="K23" s="233"/>
      <c r="L23" s="233"/>
      <c r="M23" s="233"/>
      <c r="N23" s="233"/>
      <c r="O23" s="233"/>
      <c r="P23" s="233"/>
      <c r="Q23" s="233"/>
      <c r="R23" s="233"/>
      <c r="S23" s="233"/>
      <c r="T23" s="233"/>
      <c r="U23" s="233"/>
    </row>
    <row r="24" spans="1:21" s="235" customFormat="1">
      <c r="A24" s="232" t="s">
        <v>362</v>
      </c>
      <c r="B24" s="233">
        <v>14.33</v>
      </c>
      <c r="C24" s="176"/>
      <c r="D24" s="233">
        <f>'Rate Design'!K463</f>
        <v>15.54</v>
      </c>
      <c r="E24" s="176"/>
      <c r="F24" s="233"/>
      <c r="G24" s="233"/>
      <c r="H24" s="233"/>
      <c r="I24" s="233"/>
      <c r="J24" s="233"/>
      <c r="K24" s="233"/>
      <c r="L24" s="233"/>
      <c r="M24" s="233"/>
      <c r="N24" s="233"/>
      <c r="O24" s="233"/>
      <c r="P24" s="233"/>
      <c r="Q24" s="233"/>
      <c r="R24" s="233"/>
      <c r="S24" s="233"/>
      <c r="T24" s="233"/>
      <c r="U24" s="233"/>
    </row>
    <row r="25" spans="1:21" s="235" customFormat="1">
      <c r="A25" s="232" t="s">
        <v>363</v>
      </c>
      <c r="B25" s="233">
        <v>12.68</v>
      </c>
      <c r="C25" s="176"/>
      <c r="D25" s="233">
        <f>'Rate Design'!K464</f>
        <v>13.75</v>
      </c>
      <c r="E25" s="176"/>
      <c r="F25" s="233"/>
      <c r="G25" s="233"/>
      <c r="H25" s="233"/>
      <c r="I25" s="233"/>
      <c r="J25" s="233"/>
      <c r="K25" s="233"/>
      <c r="L25" s="233"/>
      <c r="M25" s="233"/>
      <c r="N25" s="233"/>
      <c r="O25" s="233"/>
      <c r="P25" s="233"/>
      <c r="Q25" s="233"/>
      <c r="R25" s="233"/>
      <c r="S25" s="233"/>
      <c r="T25" s="233"/>
      <c r="U25" s="233"/>
    </row>
    <row r="26" spans="1:21" s="235" customFormat="1">
      <c r="A26" s="232" t="s">
        <v>364</v>
      </c>
      <c r="B26" s="233">
        <v>2.2799999999999998</v>
      </c>
      <c r="C26" s="176"/>
      <c r="D26" s="233">
        <f>'Rate Design'!K462</f>
        <v>2.4700000000000002</v>
      </c>
      <c r="E26" s="176"/>
      <c r="F26" s="233"/>
      <c r="G26" s="233"/>
      <c r="H26" s="233"/>
      <c r="I26" s="233"/>
      <c r="J26" s="233"/>
      <c r="K26" s="233"/>
      <c r="L26" s="233"/>
      <c r="M26" s="233"/>
      <c r="N26" s="233"/>
      <c r="O26" s="233"/>
      <c r="P26" s="233"/>
      <c r="Q26" s="233"/>
      <c r="R26" s="233"/>
      <c r="S26" s="233"/>
      <c r="T26" s="233"/>
      <c r="U26" s="233"/>
    </row>
    <row r="27" spans="1:21" s="235" customFormat="1">
      <c r="A27" s="238"/>
      <c r="B27" s="239"/>
      <c r="C27" s="239"/>
      <c r="D27" s="240"/>
      <c r="E27" s="239"/>
      <c r="F27" s="240"/>
      <c r="G27" s="240"/>
      <c r="H27" s="240"/>
      <c r="I27" s="240"/>
      <c r="J27" s="240"/>
      <c r="K27" s="240"/>
      <c r="L27" s="240"/>
      <c r="M27" s="233"/>
      <c r="N27" s="233"/>
      <c r="O27" s="233"/>
      <c r="P27" s="233"/>
      <c r="Q27" s="233"/>
      <c r="R27" s="233"/>
      <c r="S27" s="233"/>
      <c r="T27" s="233"/>
      <c r="U27" s="233"/>
    </row>
    <row r="28" spans="1:21" s="235" customFormat="1">
      <c r="A28" s="241" t="s">
        <v>367</v>
      </c>
      <c r="B28" s="225"/>
      <c r="C28" s="225"/>
      <c r="D28" s="242"/>
      <c r="E28" s="225"/>
      <c r="F28" s="242"/>
      <c r="G28" s="242"/>
      <c r="H28" s="242"/>
      <c r="I28" s="242"/>
      <c r="J28" s="242"/>
      <c r="K28" s="242"/>
      <c r="L28" s="243"/>
      <c r="M28" s="233"/>
      <c r="N28" s="233"/>
      <c r="O28" s="233"/>
      <c r="P28" s="233"/>
      <c r="Q28" s="233"/>
      <c r="R28" s="233"/>
      <c r="S28" s="233"/>
      <c r="T28" s="233"/>
      <c r="U28" s="233"/>
    </row>
    <row r="29" spans="1:21" s="235" customFormat="1">
      <c r="A29" s="244"/>
      <c r="F29" s="233"/>
      <c r="G29" s="233"/>
      <c r="H29" s="233"/>
      <c r="I29" s="233"/>
      <c r="J29" s="233"/>
      <c r="K29" s="233"/>
      <c r="L29" s="233"/>
      <c r="M29" s="233"/>
      <c r="N29" s="233"/>
      <c r="O29" s="233"/>
      <c r="P29" s="233"/>
      <c r="Q29" s="233"/>
      <c r="R29" s="233"/>
      <c r="S29" s="233"/>
      <c r="T29" s="233"/>
      <c r="U29" s="233"/>
    </row>
    <row r="30" spans="1:21" ht="32.25" thickBot="1">
      <c r="A30" s="237" t="s">
        <v>359</v>
      </c>
      <c r="B30" s="229" t="s">
        <v>360</v>
      </c>
      <c r="C30" s="230"/>
      <c r="D30" s="229" t="s">
        <v>368</v>
      </c>
      <c r="E30" s="230"/>
      <c r="F30" s="229" t="s">
        <v>361</v>
      </c>
      <c r="G30" s="233"/>
      <c r="H30" s="229"/>
      <c r="I30" s="233"/>
      <c r="J30" s="229"/>
      <c r="K30" s="233"/>
      <c r="L30" s="233"/>
      <c r="M30" s="233"/>
      <c r="N30" s="233"/>
      <c r="O30" s="233"/>
      <c r="P30" s="233"/>
      <c r="Q30" s="233"/>
      <c r="R30" s="233"/>
      <c r="S30" s="233"/>
      <c r="T30" s="233"/>
      <c r="U30" s="233"/>
    </row>
    <row r="31" spans="1:21" ht="16.5" thickBot="1">
      <c r="A31" s="232" t="s">
        <v>369</v>
      </c>
      <c r="B31" s="233">
        <v>137</v>
      </c>
      <c r="C31" s="245" t="s">
        <v>370</v>
      </c>
      <c r="D31" s="233">
        <f>$F$14</f>
        <v>5</v>
      </c>
      <c r="E31" s="245" t="s">
        <v>371</v>
      </c>
      <c r="F31" s="246">
        <f>B31+D31</f>
        <v>142</v>
      </c>
      <c r="G31" s="245"/>
      <c r="H31" s="233"/>
      <c r="I31" s="245"/>
      <c r="J31" s="247"/>
      <c r="K31" s="233"/>
      <c r="L31" s="233"/>
      <c r="M31" s="233"/>
      <c r="N31" s="233"/>
      <c r="O31" s="233"/>
      <c r="P31" s="233"/>
      <c r="Q31" s="233"/>
      <c r="R31" s="233"/>
      <c r="S31" s="233"/>
      <c r="T31" s="233"/>
      <c r="U31" s="233"/>
    </row>
    <row r="32" spans="1:21" ht="16.5" thickBot="1">
      <c r="A32" s="232" t="s">
        <v>372</v>
      </c>
      <c r="B32" s="233">
        <v>621</v>
      </c>
      <c r="C32" s="245" t="s">
        <v>370</v>
      </c>
      <c r="D32" s="233">
        <f>$F$14</f>
        <v>5</v>
      </c>
      <c r="E32" s="245" t="s">
        <v>371</v>
      </c>
      <c r="F32" s="248">
        <f>B32+D32</f>
        <v>626</v>
      </c>
      <c r="G32" s="245"/>
      <c r="H32" s="233"/>
      <c r="I32" s="245"/>
      <c r="J32" s="247"/>
      <c r="K32" s="233"/>
      <c r="L32" s="233"/>
      <c r="M32" s="233"/>
      <c r="N32" s="233"/>
      <c r="O32" s="233"/>
      <c r="P32" s="233"/>
      <c r="Q32" s="233"/>
      <c r="R32" s="233"/>
      <c r="S32" s="233"/>
      <c r="T32" s="233"/>
      <c r="U32" s="233"/>
    </row>
    <row r="33" spans="1:21" ht="16.5" thickBot="1">
      <c r="A33" s="232" t="s">
        <v>373</v>
      </c>
      <c r="B33" s="233">
        <v>696</v>
      </c>
      <c r="C33" s="245" t="s">
        <v>370</v>
      </c>
      <c r="D33" s="233">
        <f>$F$23</f>
        <v>133</v>
      </c>
      <c r="E33" s="245" t="s">
        <v>371</v>
      </c>
      <c r="F33" s="249">
        <f>B33+D33</f>
        <v>829</v>
      </c>
      <c r="G33" s="245"/>
      <c r="H33" s="233"/>
      <c r="I33" s="245"/>
      <c r="J33" s="247"/>
      <c r="K33" s="233"/>
      <c r="L33" s="233"/>
      <c r="M33" s="233"/>
      <c r="N33" s="233"/>
      <c r="O33" s="233"/>
      <c r="P33" s="233"/>
      <c r="Q33" s="233"/>
      <c r="R33" s="233"/>
      <c r="S33" s="233"/>
      <c r="T33" s="233"/>
      <c r="U33" s="233"/>
    </row>
    <row r="34" spans="1:21">
      <c r="A34" s="232"/>
      <c r="B34" s="233"/>
      <c r="D34" s="233"/>
      <c r="F34" s="233"/>
      <c r="G34" s="233"/>
      <c r="H34" s="233"/>
      <c r="I34" s="233"/>
      <c r="J34" s="233"/>
      <c r="K34" s="233"/>
      <c r="L34" s="233"/>
      <c r="M34" s="233"/>
      <c r="N34" s="233"/>
      <c r="O34" s="233"/>
      <c r="P34" s="233"/>
      <c r="Q34" s="233"/>
      <c r="R34" s="233"/>
      <c r="S34" s="233"/>
      <c r="T34" s="233"/>
      <c r="U34" s="233"/>
    </row>
    <row r="35" spans="1:21">
      <c r="A35" s="232"/>
      <c r="B35" s="233"/>
      <c r="D35" s="233"/>
      <c r="F35" s="233"/>
      <c r="G35" s="233"/>
      <c r="H35" s="233"/>
      <c r="I35" s="233"/>
      <c r="J35" s="233"/>
      <c r="K35" s="233"/>
      <c r="L35" s="233"/>
      <c r="M35" s="233"/>
      <c r="N35" s="233"/>
      <c r="O35" s="233"/>
      <c r="P35" s="233"/>
      <c r="Q35" s="233"/>
      <c r="R35" s="233"/>
      <c r="S35" s="233"/>
      <c r="T35" s="233"/>
      <c r="U35" s="233"/>
    </row>
    <row r="36" spans="1:21" ht="32.25" thickBot="1">
      <c r="A36" s="228" t="s">
        <v>359</v>
      </c>
      <c r="B36" s="229" t="s">
        <v>360</v>
      </c>
      <c r="D36" s="229"/>
      <c r="E36" s="250"/>
      <c r="F36" s="229"/>
      <c r="G36" s="251"/>
      <c r="H36" s="229"/>
      <c r="I36" s="251"/>
      <c r="J36" s="229"/>
      <c r="K36" s="233"/>
      <c r="L36" s="229" t="s">
        <v>361</v>
      </c>
      <c r="M36" s="233"/>
      <c r="N36" s="233"/>
      <c r="O36" s="233"/>
      <c r="P36" s="233"/>
      <c r="Q36" s="233"/>
      <c r="R36" s="233"/>
      <c r="S36" s="233"/>
      <c r="T36" s="233"/>
      <c r="U36" s="233"/>
    </row>
    <row r="37" spans="1:21" ht="16.5" thickBot="1">
      <c r="A37" s="232" t="s">
        <v>374</v>
      </c>
      <c r="B37" s="233">
        <v>5.75</v>
      </c>
      <c r="D37" s="233"/>
      <c r="E37" s="245"/>
      <c r="F37" s="233"/>
      <c r="G37" s="245"/>
      <c r="H37" s="233"/>
      <c r="I37" s="245"/>
      <c r="J37" s="247"/>
      <c r="K37" s="233"/>
      <c r="L37" s="246">
        <f>ROUND(B37*(1+'Rate Design'!$P$393),2)</f>
        <v>6.16</v>
      </c>
      <c r="M37" s="233"/>
      <c r="N37" s="233"/>
      <c r="O37" s="233"/>
      <c r="P37" s="233"/>
      <c r="Q37" s="233"/>
      <c r="R37" s="233"/>
      <c r="S37" s="233"/>
      <c r="T37" s="233"/>
      <c r="U37" s="233"/>
    </row>
    <row r="38" spans="1:21" ht="16.5" thickBot="1">
      <c r="A38" s="232" t="s">
        <v>375</v>
      </c>
      <c r="B38" s="233">
        <v>4.58</v>
      </c>
      <c r="D38" s="233"/>
      <c r="E38" s="245"/>
      <c r="F38" s="233"/>
      <c r="G38" s="245"/>
      <c r="H38" s="233"/>
      <c r="I38" s="245"/>
      <c r="J38" s="247"/>
      <c r="K38" s="233"/>
      <c r="L38" s="246">
        <f>ROUND(B38*(1+'Rate Design'!$P$393),2)</f>
        <v>4.91</v>
      </c>
      <c r="M38" s="233"/>
      <c r="N38" s="233"/>
      <c r="O38" s="233"/>
      <c r="P38" s="233"/>
      <c r="Q38" s="233"/>
      <c r="R38" s="233"/>
      <c r="S38" s="233"/>
      <c r="T38" s="233"/>
      <c r="U38" s="233"/>
    </row>
    <row r="39" spans="1:21" ht="16.5" thickBot="1">
      <c r="A39" s="232" t="s">
        <v>376</v>
      </c>
      <c r="B39" s="233">
        <v>2.7</v>
      </c>
      <c r="D39" s="233"/>
      <c r="E39" s="245"/>
      <c r="F39" s="233"/>
      <c r="G39" s="245"/>
      <c r="H39" s="233"/>
      <c r="I39" s="245"/>
      <c r="J39" s="247"/>
      <c r="K39" s="233"/>
      <c r="L39" s="248">
        <f>ROUND(B39*(1+2*'Rate Design'!P467),2)</f>
        <v>3.16</v>
      </c>
      <c r="M39" s="233"/>
      <c r="N39" s="233"/>
      <c r="O39" s="233"/>
      <c r="P39" s="233"/>
      <c r="Q39" s="233"/>
      <c r="R39" s="233"/>
      <c r="S39" s="233"/>
      <c r="T39" s="233"/>
      <c r="U39" s="233"/>
    </row>
    <row r="40" spans="1:21">
      <c r="A40" s="232"/>
      <c r="D40" s="233"/>
      <c r="F40" s="233"/>
      <c r="G40" s="233"/>
      <c r="H40" s="233"/>
      <c r="I40" s="233"/>
      <c r="J40" s="233"/>
      <c r="K40" s="233"/>
      <c r="L40" s="233"/>
      <c r="M40" s="233"/>
      <c r="N40" s="233"/>
      <c r="O40" s="233"/>
      <c r="P40" s="233"/>
      <c r="Q40" s="233"/>
      <c r="R40" s="233"/>
      <c r="S40" s="233"/>
      <c r="T40" s="233"/>
      <c r="U40" s="233"/>
    </row>
    <row r="41" spans="1:21" ht="48" thickBot="1">
      <c r="A41" s="228" t="s">
        <v>359</v>
      </c>
      <c r="B41" s="229" t="s">
        <v>360</v>
      </c>
      <c r="D41" s="229" t="s">
        <v>377</v>
      </c>
      <c r="F41" s="229" t="s">
        <v>378</v>
      </c>
      <c r="G41" s="233"/>
      <c r="H41" s="229" t="s">
        <v>379</v>
      </c>
      <c r="I41" s="233"/>
      <c r="J41" s="229" t="s">
        <v>380</v>
      </c>
      <c r="K41" s="233"/>
      <c r="L41" s="229" t="s">
        <v>361</v>
      </c>
      <c r="M41" s="233"/>
      <c r="N41" s="233"/>
      <c r="O41" s="233"/>
      <c r="P41" s="233"/>
      <c r="Q41" s="233"/>
      <c r="R41" s="233"/>
      <c r="S41" s="233"/>
      <c r="T41" s="233"/>
      <c r="U41" s="233"/>
    </row>
    <row r="42" spans="1:21" ht="16.5" thickBot="1">
      <c r="A42" s="232" t="s">
        <v>381</v>
      </c>
      <c r="B42" s="233">
        <v>0.9</v>
      </c>
      <c r="D42" s="233">
        <f>D15+D17</f>
        <v>21.990000000000002</v>
      </c>
      <c r="E42" s="245" t="s">
        <v>382</v>
      </c>
      <c r="F42" s="233">
        <f>L37</f>
        <v>6.16</v>
      </c>
      <c r="G42" s="245" t="s">
        <v>371</v>
      </c>
      <c r="H42" s="233">
        <f>D42-F42</f>
        <v>15.830000000000002</v>
      </c>
      <c r="I42" s="252" t="s">
        <v>383</v>
      </c>
      <c r="J42" s="253">
        <f>((5*52)-8)/12</f>
        <v>21</v>
      </c>
      <c r="K42" s="245" t="s">
        <v>371</v>
      </c>
      <c r="L42" s="246">
        <f>ROUND(H42/J42,2)</f>
        <v>0.75</v>
      </c>
      <c r="M42" s="233"/>
      <c r="N42" s="233"/>
      <c r="O42" s="233"/>
      <c r="P42" s="233"/>
      <c r="Q42" s="233"/>
      <c r="R42" s="233"/>
      <c r="S42" s="233"/>
      <c r="T42" s="233"/>
      <c r="U42" s="233"/>
    </row>
    <row r="43" spans="1:21" ht="16.5" thickBot="1">
      <c r="A43" s="232" t="s">
        <v>384</v>
      </c>
      <c r="B43" s="233">
        <v>0.8</v>
      </c>
      <c r="D43" s="233">
        <f>D16+D17</f>
        <v>20.05</v>
      </c>
      <c r="E43" s="245" t="s">
        <v>382</v>
      </c>
      <c r="F43" s="233">
        <f>F42</f>
        <v>6.16</v>
      </c>
      <c r="G43" s="245" t="s">
        <v>371</v>
      </c>
      <c r="H43" s="233">
        <f t="shared" ref="H43:H47" si="0">D43-F43</f>
        <v>13.89</v>
      </c>
      <c r="I43" s="252" t="s">
        <v>383</v>
      </c>
      <c r="J43" s="253">
        <f>J42</f>
        <v>21</v>
      </c>
      <c r="K43" s="245" t="s">
        <v>371</v>
      </c>
      <c r="L43" s="246">
        <f t="shared" ref="L43:L47" si="1">ROUND(H43/J43,2)</f>
        <v>0.66</v>
      </c>
      <c r="M43" s="233"/>
      <c r="N43" s="233"/>
      <c r="O43" s="233"/>
      <c r="P43" s="233"/>
      <c r="Q43" s="233"/>
      <c r="R43" s="233"/>
      <c r="S43" s="233"/>
      <c r="T43" s="233"/>
      <c r="U43" s="233"/>
    </row>
    <row r="44" spans="1:21" ht="16.5" thickBot="1">
      <c r="A44" s="232" t="s">
        <v>385</v>
      </c>
      <c r="B44" s="233">
        <v>0.88</v>
      </c>
      <c r="D44" s="233">
        <f>D15+D17+D18</f>
        <v>20.860000000000003</v>
      </c>
      <c r="E44" s="245" t="s">
        <v>382</v>
      </c>
      <c r="F44" s="233">
        <f>L38</f>
        <v>4.91</v>
      </c>
      <c r="G44" s="245" t="s">
        <v>371</v>
      </c>
      <c r="H44" s="233">
        <f t="shared" si="0"/>
        <v>15.950000000000003</v>
      </c>
      <c r="I44" s="252" t="s">
        <v>383</v>
      </c>
      <c r="J44" s="253">
        <f t="shared" ref="J44:J47" si="2">J43</f>
        <v>21</v>
      </c>
      <c r="K44" s="245" t="s">
        <v>371</v>
      </c>
      <c r="L44" s="246">
        <f t="shared" si="1"/>
        <v>0.76</v>
      </c>
      <c r="M44" s="233"/>
      <c r="N44" s="233"/>
      <c r="O44" s="233"/>
      <c r="P44" s="233"/>
      <c r="Q44" s="233"/>
      <c r="R44" s="233"/>
      <c r="S44" s="233"/>
      <c r="T44" s="233"/>
      <c r="U44" s="233"/>
    </row>
    <row r="45" spans="1:21" ht="16.5" thickBot="1">
      <c r="A45" s="232" t="s">
        <v>386</v>
      </c>
      <c r="B45" s="233">
        <v>0.78</v>
      </c>
      <c r="D45" s="233">
        <f>D16+D17+D18</f>
        <v>18.920000000000002</v>
      </c>
      <c r="E45" s="245" t="s">
        <v>382</v>
      </c>
      <c r="F45" s="233">
        <f>F44</f>
        <v>4.91</v>
      </c>
      <c r="G45" s="245" t="s">
        <v>371</v>
      </c>
      <c r="H45" s="233">
        <f t="shared" si="0"/>
        <v>14.010000000000002</v>
      </c>
      <c r="I45" s="252" t="s">
        <v>383</v>
      </c>
      <c r="J45" s="253">
        <f t="shared" si="2"/>
        <v>21</v>
      </c>
      <c r="K45" s="245" t="s">
        <v>371</v>
      </c>
      <c r="L45" s="246">
        <f t="shared" si="1"/>
        <v>0.67</v>
      </c>
      <c r="M45" s="233"/>
      <c r="N45" s="233"/>
      <c r="O45" s="233"/>
      <c r="P45" s="233"/>
      <c r="Q45" s="233"/>
      <c r="R45" s="233"/>
      <c r="S45" s="233"/>
      <c r="T45" s="233"/>
      <c r="U45" s="233"/>
    </row>
    <row r="46" spans="1:21" ht="16.5" thickBot="1">
      <c r="A46" s="232" t="s">
        <v>387</v>
      </c>
      <c r="B46" s="233">
        <v>0.78</v>
      </c>
      <c r="D46" s="233">
        <f>D24+D26</f>
        <v>18.009999999999998</v>
      </c>
      <c r="E46" s="245" t="s">
        <v>382</v>
      </c>
      <c r="F46" s="233">
        <f>L39</f>
        <v>3.16</v>
      </c>
      <c r="G46" s="245" t="s">
        <v>371</v>
      </c>
      <c r="H46" s="233">
        <f t="shared" si="0"/>
        <v>14.849999999999998</v>
      </c>
      <c r="I46" s="252" t="s">
        <v>383</v>
      </c>
      <c r="J46" s="253">
        <f t="shared" si="2"/>
        <v>21</v>
      </c>
      <c r="K46" s="245" t="s">
        <v>371</v>
      </c>
      <c r="L46" s="246">
        <f t="shared" si="1"/>
        <v>0.71</v>
      </c>
      <c r="M46" s="233"/>
      <c r="N46" s="233"/>
      <c r="O46" s="233"/>
      <c r="P46" s="233"/>
      <c r="Q46" s="233"/>
      <c r="R46" s="233"/>
      <c r="S46" s="233"/>
      <c r="T46" s="233"/>
      <c r="U46" s="233"/>
    </row>
    <row r="47" spans="1:21">
      <c r="A47" s="232" t="s">
        <v>388</v>
      </c>
      <c r="B47" s="233">
        <v>0.69</v>
      </c>
      <c r="D47" s="233">
        <f>D25+D26</f>
        <v>16.22</v>
      </c>
      <c r="E47" s="245" t="s">
        <v>382</v>
      </c>
      <c r="F47" s="233">
        <f>F46</f>
        <v>3.16</v>
      </c>
      <c r="G47" s="245" t="s">
        <v>371</v>
      </c>
      <c r="H47" s="233">
        <f t="shared" si="0"/>
        <v>13.059999999999999</v>
      </c>
      <c r="I47" s="252" t="s">
        <v>383</v>
      </c>
      <c r="J47" s="253">
        <f t="shared" si="2"/>
        <v>21</v>
      </c>
      <c r="K47" s="245" t="s">
        <v>371</v>
      </c>
      <c r="L47" s="246">
        <f t="shared" si="1"/>
        <v>0.62</v>
      </c>
      <c r="M47" s="233"/>
      <c r="N47" s="233"/>
      <c r="O47" s="233"/>
      <c r="P47" s="233"/>
      <c r="Q47" s="233"/>
      <c r="R47" s="233"/>
      <c r="S47" s="233"/>
      <c r="T47" s="233"/>
      <c r="U47" s="233"/>
    </row>
    <row r="48" spans="1:21">
      <c r="A48" s="232"/>
      <c r="B48" s="233"/>
      <c r="D48" s="233"/>
      <c r="F48" s="233"/>
      <c r="G48" s="233"/>
      <c r="H48" s="233"/>
      <c r="I48" s="233"/>
      <c r="J48" s="253"/>
      <c r="K48" s="233"/>
      <c r="L48" s="254"/>
      <c r="M48" s="233"/>
      <c r="N48" s="233"/>
      <c r="O48" s="233"/>
      <c r="P48" s="233"/>
      <c r="Q48" s="233"/>
      <c r="R48" s="233"/>
      <c r="S48" s="233"/>
      <c r="T48" s="233"/>
      <c r="U48" s="233"/>
    </row>
    <row r="49" spans="1:21">
      <c r="A49" s="232"/>
      <c r="B49" s="233"/>
      <c r="D49" s="233"/>
      <c r="F49" s="233"/>
      <c r="G49" s="233"/>
      <c r="H49" s="233"/>
      <c r="I49" s="233"/>
      <c r="J49" s="253"/>
      <c r="K49" s="233"/>
      <c r="L49" s="247"/>
      <c r="M49" s="233"/>
      <c r="N49" s="233"/>
      <c r="O49" s="233"/>
      <c r="P49" s="233"/>
      <c r="Q49" s="233"/>
      <c r="R49" s="233"/>
      <c r="S49" s="233"/>
      <c r="T49" s="233"/>
      <c r="U49" s="233"/>
    </row>
    <row r="50" spans="1:21" ht="48" thickBot="1">
      <c r="A50" s="228" t="s">
        <v>359</v>
      </c>
      <c r="B50" s="229" t="s">
        <v>360</v>
      </c>
      <c r="D50" s="229" t="s">
        <v>377</v>
      </c>
      <c r="F50" s="229" t="s">
        <v>389</v>
      </c>
      <c r="G50" s="233"/>
      <c r="H50" s="229"/>
      <c r="I50" s="233"/>
      <c r="J50" s="229"/>
      <c r="K50" s="233"/>
      <c r="L50" s="233"/>
      <c r="M50" s="233"/>
      <c r="N50" s="233"/>
      <c r="O50" s="233"/>
      <c r="P50" s="233"/>
      <c r="Q50" s="233"/>
      <c r="R50" s="233"/>
      <c r="S50" s="233"/>
      <c r="T50" s="233"/>
      <c r="U50" s="233"/>
    </row>
    <row r="51" spans="1:21" ht="16.5" thickBot="1">
      <c r="A51" s="232" t="s">
        <v>390</v>
      </c>
      <c r="B51" s="233">
        <v>41.89</v>
      </c>
      <c r="D51" s="233">
        <f t="shared" ref="D51:D56" si="3">D42</f>
        <v>21.990000000000002</v>
      </c>
      <c r="E51" s="250" t="s">
        <v>391</v>
      </c>
      <c r="F51" s="246">
        <f>ROUND(D51*2,2)</f>
        <v>43.98</v>
      </c>
      <c r="G51" s="233"/>
      <c r="H51" s="233"/>
      <c r="I51" s="250"/>
      <c r="J51" s="247"/>
      <c r="K51" s="233"/>
      <c r="L51" s="233"/>
      <c r="M51" s="233"/>
      <c r="N51" s="233"/>
      <c r="O51" s="233"/>
      <c r="P51" s="233"/>
      <c r="Q51" s="233"/>
      <c r="R51" s="233"/>
      <c r="S51" s="233"/>
      <c r="T51" s="233"/>
      <c r="U51" s="233"/>
    </row>
    <row r="52" spans="1:21" ht="16.5" thickBot="1">
      <c r="A52" s="232" t="s">
        <v>392</v>
      </c>
      <c r="B52" s="233">
        <v>37.07</v>
      </c>
      <c r="D52" s="233">
        <f t="shared" si="3"/>
        <v>20.05</v>
      </c>
      <c r="E52" s="250" t="s">
        <v>391</v>
      </c>
      <c r="F52" s="246">
        <f t="shared" ref="F52:F56" si="4">ROUND(D52*2,2)</f>
        <v>40.1</v>
      </c>
      <c r="G52" s="233"/>
      <c r="H52" s="233"/>
      <c r="I52" s="250"/>
      <c r="J52" s="247"/>
      <c r="K52" s="233"/>
      <c r="L52" s="233"/>
      <c r="M52" s="233"/>
      <c r="N52" s="233"/>
      <c r="O52" s="233"/>
      <c r="P52" s="233"/>
      <c r="Q52" s="233"/>
      <c r="R52" s="233"/>
      <c r="S52" s="233"/>
      <c r="T52" s="233"/>
      <c r="U52" s="233"/>
    </row>
    <row r="53" spans="1:21" ht="16.5" thickBot="1">
      <c r="A53" s="232" t="s">
        <v>393</v>
      </c>
      <c r="B53" s="233">
        <v>39.56</v>
      </c>
      <c r="D53" s="233">
        <f t="shared" si="3"/>
        <v>20.860000000000003</v>
      </c>
      <c r="E53" s="250" t="s">
        <v>391</v>
      </c>
      <c r="F53" s="246">
        <f t="shared" si="4"/>
        <v>41.72</v>
      </c>
      <c r="G53" s="233"/>
      <c r="H53" s="233"/>
      <c r="I53" s="250"/>
      <c r="J53" s="247"/>
      <c r="K53" s="233"/>
      <c r="L53" s="233"/>
      <c r="M53" s="233"/>
      <c r="N53" s="233"/>
      <c r="O53" s="233"/>
      <c r="P53" s="233"/>
      <c r="Q53" s="233"/>
      <c r="R53" s="233"/>
      <c r="S53" s="233"/>
      <c r="T53" s="233"/>
      <c r="U53" s="233"/>
    </row>
    <row r="54" spans="1:21" ht="16.5" thickBot="1">
      <c r="A54" s="232" t="s">
        <v>394</v>
      </c>
      <c r="B54" s="233">
        <v>35.01</v>
      </c>
      <c r="D54" s="233">
        <f t="shared" si="3"/>
        <v>18.920000000000002</v>
      </c>
      <c r="E54" s="250" t="s">
        <v>391</v>
      </c>
      <c r="F54" s="246">
        <f t="shared" si="4"/>
        <v>37.840000000000003</v>
      </c>
      <c r="G54" s="233"/>
      <c r="H54" s="233"/>
      <c r="I54" s="250"/>
      <c r="J54" s="247"/>
      <c r="K54" s="233"/>
      <c r="L54" s="233"/>
      <c r="M54" s="233"/>
      <c r="N54" s="233"/>
      <c r="O54" s="233"/>
      <c r="P54" s="233"/>
      <c r="Q54" s="233"/>
      <c r="R54" s="233"/>
      <c r="S54" s="233"/>
      <c r="T54" s="233"/>
      <c r="U54" s="233"/>
    </row>
    <row r="55" spans="1:21" ht="16.5" thickBot="1">
      <c r="A55" s="232" t="s">
        <v>395</v>
      </c>
      <c r="B55" s="233">
        <v>33.21</v>
      </c>
      <c r="D55" s="233">
        <f t="shared" si="3"/>
        <v>18.009999999999998</v>
      </c>
      <c r="E55" s="250" t="s">
        <v>391</v>
      </c>
      <c r="F55" s="246">
        <f t="shared" si="4"/>
        <v>36.020000000000003</v>
      </c>
      <c r="G55" s="233"/>
      <c r="H55" s="233"/>
      <c r="I55" s="250"/>
      <c r="J55" s="247"/>
      <c r="K55" s="233"/>
      <c r="L55" s="233"/>
      <c r="M55" s="233"/>
      <c r="N55" s="233"/>
      <c r="O55" s="233"/>
      <c r="P55" s="233"/>
      <c r="Q55" s="233"/>
      <c r="R55" s="233"/>
      <c r="S55" s="233"/>
      <c r="T55" s="233"/>
      <c r="U55" s="233"/>
    </row>
    <row r="56" spans="1:21">
      <c r="A56" s="232" t="s">
        <v>396</v>
      </c>
      <c r="B56" s="233">
        <v>29.39</v>
      </c>
      <c r="D56" s="233">
        <f t="shared" si="3"/>
        <v>16.22</v>
      </c>
      <c r="E56" s="250" t="s">
        <v>391</v>
      </c>
      <c r="F56" s="246">
        <f t="shared" si="4"/>
        <v>32.44</v>
      </c>
      <c r="G56" s="233"/>
      <c r="H56" s="233"/>
      <c r="I56" s="250"/>
      <c r="J56" s="247"/>
      <c r="K56" s="233"/>
      <c r="L56" s="233"/>
      <c r="M56" s="233"/>
      <c r="N56" s="233"/>
      <c r="O56" s="233"/>
      <c r="P56" s="233"/>
      <c r="Q56" s="233"/>
      <c r="R56" s="233"/>
      <c r="S56" s="233"/>
      <c r="T56" s="233"/>
      <c r="U56" s="233"/>
    </row>
    <row r="57" spans="1:21">
      <c r="A57" s="255"/>
      <c r="B57" s="256"/>
      <c r="C57" s="256"/>
      <c r="D57" s="256"/>
      <c r="E57" s="256"/>
      <c r="F57" s="240"/>
      <c r="G57" s="240"/>
      <c r="H57" s="240"/>
      <c r="I57" s="240"/>
      <c r="J57" s="240"/>
      <c r="K57" s="240"/>
      <c r="L57" s="240"/>
      <c r="M57" s="233"/>
      <c r="N57" s="233"/>
      <c r="O57" s="233"/>
      <c r="P57" s="233"/>
      <c r="Q57" s="233"/>
      <c r="R57" s="233"/>
      <c r="S57" s="233"/>
      <c r="T57" s="233"/>
      <c r="U57" s="233"/>
    </row>
    <row r="58" spans="1:21">
      <c r="A58" s="241" t="s">
        <v>397</v>
      </c>
      <c r="B58" s="225"/>
      <c r="C58" s="225"/>
      <c r="D58" s="242"/>
      <c r="E58" s="225"/>
      <c r="F58" s="242"/>
      <c r="G58" s="242"/>
      <c r="H58" s="242"/>
      <c r="I58" s="242"/>
      <c r="J58" s="242"/>
      <c r="K58" s="242"/>
      <c r="L58" s="242"/>
      <c r="M58" s="233"/>
      <c r="N58" s="233"/>
      <c r="O58" s="233"/>
      <c r="P58" s="233"/>
      <c r="Q58" s="233"/>
      <c r="R58" s="233"/>
      <c r="S58" s="233"/>
      <c r="T58" s="233"/>
      <c r="U58" s="233"/>
    </row>
    <row r="59" spans="1:21">
      <c r="A59" s="244"/>
      <c r="B59" s="235"/>
      <c r="C59" s="235"/>
      <c r="D59" s="235"/>
      <c r="E59" s="235"/>
      <c r="F59" s="233"/>
      <c r="G59" s="233"/>
      <c r="H59" s="233"/>
      <c r="I59" s="233"/>
      <c r="J59" s="233"/>
      <c r="K59" s="233"/>
      <c r="L59" s="233"/>
      <c r="M59" s="233"/>
      <c r="N59" s="233"/>
      <c r="O59" s="233"/>
      <c r="P59" s="233"/>
      <c r="Q59" s="233"/>
      <c r="R59" s="233"/>
      <c r="S59" s="233"/>
      <c r="T59" s="233"/>
      <c r="U59" s="233"/>
    </row>
    <row r="60" spans="1:21" ht="32.25" thickBot="1">
      <c r="A60" s="237" t="s">
        <v>359</v>
      </c>
      <c r="B60" s="229" t="s">
        <v>360</v>
      </c>
      <c r="C60" s="230"/>
      <c r="D60" s="229"/>
      <c r="E60" s="230"/>
      <c r="F60" s="229" t="s">
        <v>361</v>
      </c>
      <c r="G60" s="233"/>
      <c r="H60" s="229"/>
      <c r="I60" s="233"/>
      <c r="J60" s="229"/>
      <c r="K60" s="233"/>
      <c r="L60" s="233"/>
      <c r="M60" s="233"/>
      <c r="N60" s="233"/>
      <c r="O60" s="233"/>
      <c r="P60" s="233"/>
      <c r="Q60" s="233"/>
      <c r="R60" s="233"/>
      <c r="S60" s="233"/>
      <c r="T60" s="233"/>
      <c r="U60" s="233"/>
    </row>
    <row r="61" spans="1:21" ht="16.5" thickBot="1">
      <c r="A61" s="232" t="s">
        <v>369</v>
      </c>
      <c r="B61" s="233">
        <v>55</v>
      </c>
      <c r="C61" s="245"/>
      <c r="D61" s="233"/>
      <c r="E61" s="245"/>
      <c r="F61" s="246">
        <f>ROUND(F87*$D$112,0)</f>
        <v>59</v>
      </c>
      <c r="G61" s="245"/>
      <c r="H61" s="233"/>
      <c r="I61" s="245"/>
      <c r="J61" s="247"/>
      <c r="K61" s="233"/>
      <c r="L61" s="233"/>
      <c r="M61" s="233"/>
      <c r="N61" s="233"/>
      <c r="O61" s="233"/>
      <c r="P61" s="233"/>
      <c r="Q61" s="233"/>
      <c r="R61" s="233"/>
      <c r="S61" s="233"/>
      <c r="T61" s="233"/>
      <c r="U61" s="233"/>
    </row>
    <row r="62" spans="1:21" ht="16.5" thickBot="1">
      <c r="A62" s="232" t="s">
        <v>372</v>
      </c>
      <c r="B62" s="233">
        <v>72</v>
      </c>
      <c r="C62" s="245"/>
      <c r="D62" s="233"/>
      <c r="E62" s="245"/>
      <c r="F62" s="246">
        <f t="shared" ref="F62:F63" si="5">ROUND(F88*$D$112,0)</f>
        <v>77</v>
      </c>
      <c r="G62" s="245"/>
      <c r="H62" s="233"/>
      <c r="I62" s="245"/>
      <c r="J62" s="247"/>
      <c r="K62" s="233"/>
      <c r="L62" s="233"/>
      <c r="M62" s="233"/>
      <c r="N62" s="233"/>
      <c r="O62" s="233"/>
      <c r="P62" s="233"/>
      <c r="Q62" s="233"/>
      <c r="R62" s="233"/>
      <c r="S62" s="233"/>
      <c r="T62" s="233"/>
      <c r="U62" s="233"/>
    </row>
    <row r="63" spans="1:21" ht="16.5" thickBot="1">
      <c r="A63" s="232" t="s">
        <v>373</v>
      </c>
      <c r="B63" s="233">
        <v>266</v>
      </c>
      <c r="C63" s="245"/>
      <c r="D63" s="233"/>
      <c r="E63" s="245"/>
      <c r="F63" s="248">
        <f t="shared" si="5"/>
        <v>294</v>
      </c>
      <c r="G63" s="245"/>
      <c r="H63" s="233"/>
      <c r="I63" s="245"/>
      <c r="J63" s="247"/>
      <c r="K63" s="233"/>
      <c r="L63" s="233"/>
      <c r="M63" s="233"/>
      <c r="N63" s="233"/>
      <c r="O63" s="233"/>
      <c r="P63" s="233"/>
      <c r="Q63" s="233"/>
      <c r="R63" s="233"/>
      <c r="S63" s="233"/>
      <c r="T63" s="233"/>
      <c r="U63" s="233"/>
    </row>
    <row r="64" spans="1:21">
      <c r="A64" s="232"/>
      <c r="F64" s="233"/>
      <c r="G64" s="233"/>
      <c r="H64" s="233"/>
      <c r="I64" s="233"/>
      <c r="J64" s="233"/>
      <c r="K64" s="233"/>
      <c r="L64" s="233"/>
      <c r="M64" s="233"/>
      <c r="N64" s="233"/>
      <c r="O64" s="233"/>
      <c r="P64" s="233"/>
      <c r="Q64" s="233"/>
      <c r="R64" s="233"/>
      <c r="S64" s="233"/>
      <c r="T64" s="233"/>
      <c r="U64" s="233"/>
    </row>
    <row r="65" spans="1:21" ht="32.25" thickBot="1">
      <c r="A65" s="228" t="s">
        <v>359</v>
      </c>
      <c r="B65" s="229" t="s">
        <v>360</v>
      </c>
      <c r="D65" s="229"/>
      <c r="E65" s="250"/>
      <c r="F65" s="229"/>
      <c r="G65" s="251"/>
      <c r="H65" s="229"/>
      <c r="I65" s="233"/>
      <c r="J65" s="229" t="s">
        <v>361</v>
      </c>
      <c r="M65" s="233"/>
      <c r="N65" s="233"/>
      <c r="O65" s="233"/>
      <c r="P65" s="233"/>
      <c r="Q65" s="233"/>
      <c r="R65" s="233"/>
      <c r="S65" s="233"/>
      <c r="T65" s="233"/>
      <c r="U65" s="233"/>
    </row>
    <row r="66" spans="1:21" ht="16.5" thickBot="1">
      <c r="A66" s="232" t="s">
        <v>398</v>
      </c>
      <c r="B66" s="233">
        <v>7.52</v>
      </c>
      <c r="D66" s="233"/>
      <c r="E66" s="245"/>
      <c r="F66" s="233"/>
      <c r="G66" s="245"/>
      <c r="H66" s="247"/>
      <c r="I66" s="233"/>
      <c r="J66" s="246">
        <f>ROUND(J92*$D$112,2)</f>
        <v>9.02</v>
      </c>
      <c r="M66" s="233"/>
      <c r="N66" s="233"/>
      <c r="O66" s="233"/>
      <c r="P66" s="233"/>
      <c r="Q66" s="233"/>
      <c r="R66" s="233"/>
      <c r="S66" s="233"/>
      <c r="T66" s="233"/>
      <c r="U66" s="233"/>
    </row>
    <row r="67" spans="1:21" ht="16.5" thickBot="1">
      <c r="A67" s="232" t="s">
        <v>399</v>
      </c>
      <c r="B67" s="233">
        <v>6.56</v>
      </c>
      <c r="D67" s="233"/>
      <c r="E67" s="245"/>
      <c r="F67" s="233"/>
      <c r="G67" s="245"/>
      <c r="H67" s="247"/>
      <c r="I67" s="233"/>
      <c r="J67" s="246">
        <f t="shared" ref="J67:J70" si="6">ROUND(J93*$D$112,2)</f>
        <v>8.16</v>
      </c>
      <c r="M67" s="233"/>
      <c r="N67" s="233"/>
      <c r="O67" s="233"/>
      <c r="P67" s="233"/>
      <c r="Q67" s="233"/>
      <c r="R67" s="233"/>
      <c r="S67" s="233"/>
      <c r="T67" s="233"/>
      <c r="U67" s="233"/>
    </row>
    <row r="68" spans="1:21" ht="16.5" thickBot="1">
      <c r="A68" s="232" t="s">
        <v>400</v>
      </c>
      <c r="B68" s="233">
        <v>8.3699999999999992</v>
      </c>
      <c r="D68" s="233"/>
      <c r="E68" s="245"/>
      <c r="F68" s="233"/>
      <c r="G68" s="245"/>
      <c r="H68" s="247"/>
      <c r="I68" s="233"/>
      <c r="J68" s="246">
        <f t="shared" si="6"/>
        <v>10.37</v>
      </c>
      <c r="M68" s="233"/>
      <c r="N68" s="233"/>
      <c r="O68" s="233"/>
      <c r="P68" s="233"/>
      <c r="Q68" s="233"/>
      <c r="R68" s="233"/>
      <c r="S68" s="233"/>
      <c r="T68" s="233"/>
      <c r="U68" s="233"/>
    </row>
    <row r="69" spans="1:21" ht="16.5" thickBot="1">
      <c r="A69" s="232" t="s">
        <v>401</v>
      </c>
      <c r="B69" s="233">
        <v>7.24</v>
      </c>
      <c r="D69" s="233"/>
      <c r="E69" s="245"/>
      <c r="F69" s="233"/>
      <c r="G69" s="245"/>
      <c r="H69" s="247"/>
      <c r="I69" s="233"/>
      <c r="J69" s="246">
        <f t="shared" si="6"/>
        <v>9.7100000000000009</v>
      </c>
      <c r="M69" s="233"/>
      <c r="N69" s="233"/>
      <c r="O69" s="233"/>
      <c r="P69" s="233"/>
      <c r="Q69" s="233"/>
      <c r="R69" s="233"/>
      <c r="S69" s="233"/>
      <c r="T69" s="233"/>
      <c r="U69" s="233"/>
    </row>
    <row r="70" spans="1:21" ht="16.5" thickBot="1">
      <c r="A70" s="232" t="s">
        <v>402</v>
      </c>
      <c r="B70" s="233">
        <v>4.3499999999999996</v>
      </c>
      <c r="D70" s="233"/>
      <c r="E70" s="245"/>
      <c r="F70" s="233"/>
      <c r="G70" s="245"/>
      <c r="H70" s="247"/>
      <c r="I70" s="233"/>
      <c r="J70" s="248">
        <f t="shared" si="6"/>
        <v>5.19</v>
      </c>
      <c r="M70" s="233"/>
      <c r="N70" s="233"/>
      <c r="O70" s="233"/>
      <c r="P70" s="233"/>
      <c r="Q70" s="233"/>
      <c r="R70" s="233"/>
      <c r="S70" s="233"/>
      <c r="T70" s="233"/>
      <c r="U70" s="233"/>
    </row>
    <row r="71" spans="1:21">
      <c r="A71" s="232"/>
      <c r="F71" s="233"/>
      <c r="G71" s="233"/>
      <c r="H71" s="233"/>
      <c r="I71" s="233"/>
      <c r="J71" s="233"/>
      <c r="K71" s="233"/>
      <c r="L71" s="233"/>
      <c r="M71" s="233"/>
      <c r="N71" s="233"/>
      <c r="O71" s="233"/>
      <c r="P71" s="233"/>
      <c r="Q71" s="233"/>
      <c r="R71" s="233"/>
      <c r="S71" s="233"/>
      <c r="T71" s="233"/>
      <c r="U71" s="233"/>
    </row>
    <row r="72" spans="1:21" ht="32.25" thickBot="1">
      <c r="A72" s="228" t="s">
        <v>359</v>
      </c>
      <c r="B72" s="229" t="s">
        <v>360</v>
      </c>
      <c r="D72" s="229"/>
      <c r="F72" s="229"/>
      <c r="G72" s="233"/>
      <c r="H72" s="229"/>
      <c r="I72" s="233"/>
      <c r="J72" s="229"/>
      <c r="K72" s="233"/>
      <c r="L72" s="229" t="s">
        <v>361</v>
      </c>
      <c r="M72" s="233"/>
      <c r="N72" s="233"/>
      <c r="O72" s="233"/>
      <c r="P72" s="233"/>
      <c r="Q72" s="233"/>
      <c r="R72" s="233"/>
      <c r="S72" s="233"/>
      <c r="T72" s="233"/>
      <c r="U72" s="233"/>
    </row>
    <row r="73" spans="1:21" ht="16.5" thickBot="1">
      <c r="A73" s="232" t="s">
        <v>403</v>
      </c>
      <c r="B73" s="233">
        <v>0.56999999999999995</v>
      </c>
      <c r="D73" s="233"/>
      <c r="E73" s="245"/>
      <c r="F73" s="233"/>
      <c r="G73" s="245"/>
      <c r="H73" s="233"/>
      <c r="I73" s="252"/>
      <c r="J73" s="253"/>
      <c r="K73" s="245"/>
      <c r="L73" s="246">
        <f t="shared" ref="L73:L82" si="7">ROUND(L99*$D$112,2)</f>
        <v>0.45</v>
      </c>
      <c r="M73" s="233"/>
      <c r="N73" s="233"/>
      <c r="O73" s="233"/>
      <c r="P73" s="233"/>
      <c r="Q73" s="233"/>
      <c r="R73" s="233"/>
      <c r="S73" s="233"/>
      <c r="T73" s="233"/>
      <c r="U73" s="233"/>
    </row>
    <row r="74" spans="1:21" ht="16.5" thickBot="1">
      <c r="A74" s="232" t="s">
        <v>404</v>
      </c>
      <c r="B74" s="233">
        <v>0.48</v>
      </c>
      <c r="D74" s="233"/>
      <c r="E74" s="245"/>
      <c r="F74" s="233"/>
      <c r="G74" s="245"/>
      <c r="H74" s="233"/>
      <c r="I74" s="252"/>
      <c r="J74" s="253"/>
      <c r="K74" s="245"/>
      <c r="L74" s="246">
        <f t="shared" si="7"/>
        <v>0.37</v>
      </c>
      <c r="M74" s="233"/>
      <c r="N74" s="233"/>
      <c r="O74" s="233"/>
      <c r="P74" s="233"/>
      <c r="Q74" s="233"/>
      <c r="R74" s="233"/>
      <c r="S74" s="233"/>
      <c r="T74" s="233"/>
      <c r="U74" s="233"/>
    </row>
    <row r="75" spans="1:21" ht="16.5" thickBot="1">
      <c r="A75" s="232" t="s">
        <v>405</v>
      </c>
      <c r="B75" s="233">
        <v>0.56999999999999995</v>
      </c>
      <c r="D75" s="233"/>
      <c r="E75" s="245"/>
      <c r="F75" s="233"/>
      <c r="G75" s="245"/>
      <c r="H75" s="233"/>
      <c r="I75" s="252"/>
      <c r="J75" s="253"/>
      <c r="K75" s="245"/>
      <c r="L75" s="246">
        <f t="shared" si="7"/>
        <v>0.45</v>
      </c>
    </row>
    <row r="76" spans="1:21" ht="16.5" thickBot="1">
      <c r="A76" s="232" t="s">
        <v>406</v>
      </c>
      <c r="B76" s="233">
        <v>0.47</v>
      </c>
      <c r="D76" s="233"/>
      <c r="E76" s="245"/>
      <c r="F76" s="233"/>
      <c r="G76" s="245"/>
      <c r="H76" s="233"/>
      <c r="I76" s="252"/>
      <c r="J76" s="253"/>
      <c r="K76" s="245"/>
      <c r="L76" s="246">
        <f t="shared" si="7"/>
        <v>0.37</v>
      </c>
    </row>
    <row r="77" spans="1:21" ht="16.5" thickBot="1">
      <c r="A77" s="232" t="s">
        <v>407</v>
      </c>
      <c r="B77" s="233">
        <v>0.72</v>
      </c>
      <c r="D77" s="233"/>
      <c r="E77" s="245"/>
      <c r="F77" s="233"/>
      <c r="G77" s="245"/>
      <c r="H77" s="233"/>
      <c r="I77" s="252"/>
      <c r="J77" s="253"/>
      <c r="K77" s="245"/>
      <c r="L77" s="246">
        <f t="shared" si="7"/>
        <v>0.55000000000000004</v>
      </c>
    </row>
    <row r="78" spans="1:21" ht="16.5" thickBot="1">
      <c r="A78" s="232" t="s">
        <v>408</v>
      </c>
      <c r="B78" s="233">
        <v>0.61</v>
      </c>
      <c r="D78" s="233"/>
      <c r="E78" s="245"/>
      <c r="F78" s="233"/>
      <c r="G78" s="245"/>
      <c r="H78" s="233"/>
      <c r="I78" s="252"/>
      <c r="J78" s="253"/>
      <c r="K78" s="245"/>
      <c r="L78" s="246">
        <f t="shared" si="7"/>
        <v>0.46</v>
      </c>
    </row>
    <row r="79" spans="1:21" ht="16.5" thickBot="1">
      <c r="A79" s="232" t="s">
        <v>409</v>
      </c>
      <c r="B79" s="233">
        <v>0.71</v>
      </c>
      <c r="D79" s="233"/>
      <c r="E79" s="245"/>
      <c r="F79" s="233"/>
      <c r="G79" s="245"/>
      <c r="H79" s="233"/>
      <c r="I79" s="252"/>
      <c r="J79" s="253"/>
      <c r="K79" s="245"/>
      <c r="L79" s="246">
        <f t="shared" si="7"/>
        <v>0.53</v>
      </c>
    </row>
    <row r="80" spans="1:21" ht="16.5" thickBot="1">
      <c r="A80" s="232" t="s">
        <v>410</v>
      </c>
      <c r="B80" s="233">
        <v>0.59</v>
      </c>
      <c r="D80" s="233"/>
      <c r="E80" s="245"/>
      <c r="F80" s="233"/>
      <c r="G80" s="245"/>
      <c r="H80" s="233"/>
      <c r="I80" s="252"/>
      <c r="J80" s="253"/>
      <c r="K80" s="245"/>
      <c r="L80" s="246">
        <f t="shared" si="7"/>
        <v>0.44</v>
      </c>
    </row>
    <row r="81" spans="1:12" ht="16.5" thickBot="1">
      <c r="A81" s="232" t="s">
        <v>411</v>
      </c>
      <c r="B81" s="233">
        <v>0.71</v>
      </c>
      <c r="D81" s="233"/>
      <c r="E81" s="245"/>
      <c r="F81" s="233"/>
      <c r="G81" s="245"/>
      <c r="H81" s="233"/>
      <c r="I81" s="252"/>
      <c r="J81" s="253"/>
      <c r="K81" s="245"/>
      <c r="L81" s="246">
        <f t="shared" si="7"/>
        <v>0.63</v>
      </c>
    </row>
    <row r="82" spans="1:12" ht="16.5" thickBot="1">
      <c r="A82" s="232" t="s">
        <v>412</v>
      </c>
      <c r="B82" s="233">
        <v>0.61</v>
      </c>
      <c r="D82" s="233"/>
      <c r="E82" s="245"/>
      <c r="F82" s="233"/>
      <c r="G82" s="245"/>
      <c r="H82" s="233"/>
      <c r="I82" s="252"/>
      <c r="J82" s="253"/>
      <c r="K82" s="245"/>
      <c r="L82" s="248">
        <f t="shared" si="7"/>
        <v>0.54</v>
      </c>
    </row>
    <row r="83" spans="1:12">
      <c r="A83" s="232"/>
      <c r="L83" s="254"/>
    </row>
    <row r="84" spans="1:12">
      <c r="A84" s="257" t="s">
        <v>397</v>
      </c>
      <c r="B84" s="258"/>
      <c r="C84" s="258"/>
      <c r="D84" s="259"/>
      <c r="E84" s="258"/>
      <c r="F84" s="259"/>
      <c r="G84" s="259"/>
      <c r="H84" s="259"/>
      <c r="I84" s="259"/>
      <c r="J84" s="259"/>
      <c r="K84" s="259"/>
      <c r="L84" s="259"/>
    </row>
    <row r="85" spans="1:12">
      <c r="A85" s="257" t="s">
        <v>413</v>
      </c>
      <c r="B85" s="258"/>
      <c r="C85" s="258"/>
      <c r="D85" s="259"/>
      <c r="E85" s="258"/>
      <c r="F85" s="259"/>
      <c r="G85" s="259"/>
      <c r="H85" s="259"/>
      <c r="I85" s="259"/>
      <c r="J85" s="259"/>
      <c r="K85" s="259"/>
      <c r="L85" s="259"/>
    </row>
    <row r="86" spans="1:12" ht="48" thickBot="1">
      <c r="A86" s="260" t="s">
        <v>359</v>
      </c>
      <c r="B86" s="261" t="s">
        <v>360</v>
      </c>
      <c r="C86" s="262"/>
      <c r="D86" s="261" t="s">
        <v>368</v>
      </c>
      <c r="E86" s="262"/>
      <c r="F86" s="261" t="s">
        <v>414</v>
      </c>
      <c r="G86" s="263"/>
      <c r="H86" s="261"/>
      <c r="I86" s="263"/>
      <c r="J86" s="261"/>
      <c r="K86" s="263"/>
      <c r="L86" s="263"/>
    </row>
    <row r="87" spans="1:12" ht="16.5" thickBot="1">
      <c r="A87" s="264" t="s">
        <v>369</v>
      </c>
      <c r="B87" s="263">
        <v>55</v>
      </c>
      <c r="C87" s="265" t="s">
        <v>370</v>
      </c>
      <c r="D87" s="263">
        <v>6</v>
      </c>
      <c r="E87" s="265" t="s">
        <v>371</v>
      </c>
      <c r="F87" s="266">
        <v>61</v>
      </c>
      <c r="G87" s="265"/>
      <c r="H87" s="263"/>
      <c r="I87" s="265"/>
      <c r="J87" s="267"/>
      <c r="K87" s="263"/>
      <c r="L87" s="263"/>
    </row>
    <row r="88" spans="1:12" ht="16.5" thickBot="1">
      <c r="A88" s="264" t="s">
        <v>372</v>
      </c>
      <c r="B88" s="263">
        <v>72</v>
      </c>
      <c r="C88" s="265" t="s">
        <v>370</v>
      </c>
      <c r="D88" s="263">
        <v>8</v>
      </c>
      <c r="E88" s="265" t="s">
        <v>371</v>
      </c>
      <c r="F88" s="266">
        <v>80</v>
      </c>
      <c r="G88" s="265"/>
      <c r="H88" s="263"/>
      <c r="I88" s="265"/>
      <c r="J88" s="267"/>
      <c r="K88" s="263"/>
      <c r="L88" s="263"/>
    </row>
    <row r="89" spans="1:12" ht="16.5" thickBot="1">
      <c r="A89" s="264" t="s">
        <v>373</v>
      </c>
      <c r="B89" s="263">
        <v>266</v>
      </c>
      <c r="C89" s="265" t="s">
        <v>370</v>
      </c>
      <c r="D89" s="263">
        <v>39</v>
      </c>
      <c r="E89" s="265" t="s">
        <v>371</v>
      </c>
      <c r="F89" s="268">
        <v>305</v>
      </c>
      <c r="G89" s="265"/>
      <c r="H89" s="263"/>
      <c r="I89" s="265"/>
      <c r="J89" s="267"/>
      <c r="K89" s="263"/>
      <c r="L89" s="263"/>
    </row>
    <row r="90" spans="1:12">
      <c r="A90" s="264"/>
      <c r="B90" s="269"/>
      <c r="C90" s="269"/>
      <c r="D90" s="269"/>
      <c r="E90" s="269"/>
      <c r="F90" s="263"/>
      <c r="G90" s="263"/>
      <c r="H90" s="263"/>
      <c r="I90" s="263"/>
      <c r="J90" s="263"/>
      <c r="K90" s="263"/>
      <c r="L90" s="263"/>
    </row>
    <row r="91" spans="1:12" ht="79.5" thickBot="1">
      <c r="A91" s="270" t="s">
        <v>359</v>
      </c>
      <c r="B91" s="261" t="s">
        <v>360</v>
      </c>
      <c r="C91" s="269"/>
      <c r="D91" s="261" t="s">
        <v>415</v>
      </c>
      <c r="E91" s="271"/>
      <c r="F91" s="261" t="s">
        <v>416</v>
      </c>
      <c r="G91" s="272"/>
      <c r="H91" s="261" t="s">
        <v>417</v>
      </c>
      <c r="I91" s="263"/>
      <c r="J91" s="261" t="s">
        <v>414</v>
      </c>
      <c r="K91" s="269"/>
      <c r="L91" s="269"/>
    </row>
    <row r="92" spans="1:12" ht="16.5" thickBot="1">
      <c r="A92" s="264" t="s">
        <v>398</v>
      </c>
      <c r="B92" s="263">
        <v>7.52</v>
      </c>
      <c r="C92" s="269"/>
      <c r="D92" s="263">
        <v>5.8002988416405437</v>
      </c>
      <c r="E92" s="265" t="s">
        <v>370</v>
      </c>
      <c r="F92" s="263">
        <v>5.4302495510769146</v>
      </c>
      <c r="G92" s="265" t="s">
        <v>371</v>
      </c>
      <c r="H92" s="266">
        <v>11.230548392717459</v>
      </c>
      <c r="I92" s="263"/>
      <c r="J92" s="266">
        <v>9.3752741963587294</v>
      </c>
      <c r="K92" s="269"/>
      <c r="L92" s="269"/>
    </row>
    <row r="93" spans="1:12" ht="16.5" thickBot="1">
      <c r="A93" s="264" t="s">
        <v>399</v>
      </c>
      <c r="B93" s="263">
        <v>6.56</v>
      </c>
      <c r="C93" s="269"/>
      <c r="D93" s="263">
        <v>5.8002988416405437</v>
      </c>
      <c r="E93" s="265" t="s">
        <v>370</v>
      </c>
      <c r="F93" s="263">
        <v>4.5959978773035193</v>
      </c>
      <c r="G93" s="265" t="s">
        <v>371</v>
      </c>
      <c r="H93" s="266">
        <v>10.396296718944063</v>
      </c>
      <c r="I93" s="263"/>
      <c r="J93" s="266">
        <v>8.4781483594720317</v>
      </c>
      <c r="K93" s="269"/>
      <c r="L93" s="269"/>
    </row>
    <row r="94" spans="1:12" ht="16.5" thickBot="1">
      <c r="A94" s="264" t="s">
        <v>400</v>
      </c>
      <c r="B94" s="263">
        <v>8.3699999999999992</v>
      </c>
      <c r="C94" s="269"/>
      <c r="D94" s="263">
        <v>7.8789456125049036</v>
      </c>
      <c r="E94" s="265" t="s">
        <v>370</v>
      </c>
      <c r="F94" s="263">
        <v>5.3047765255136019</v>
      </c>
      <c r="G94" s="265" t="s">
        <v>371</v>
      </c>
      <c r="H94" s="266">
        <v>13.183722138018506</v>
      </c>
      <c r="I94" s="263"/>
      <c r="J94" s="266">
        <v>10.776861069009254</v>
      </c>
      <c r="K94" s="269"/>
      <c r="L94" s="269"/>
    </row>
    <row r="95" spans="1:12" ht="16.5" thickBot="1">
      <c r="A95" s="264" t="s">
        <v>401</v>
      </c>
      <c r="B95" s="263">
        <v>7.24</v>
      </c>
      <c r="C95" s="269"/>
      <c r="D95" s="263">
        <v>7.8789456125049036</v>
      </c>
      <c r="E95" s="265" t="s">
        <v>370</v>
      </c>
      <c r="F95" s="263">
        <v>5.0631805220998585</v>
      </c>
      <c r="G95" s="265" t="s">
        <v>371</v>
      </c>
      <c r="H95" s="266">
        <v>12.942126134604763</v>
      </c>
      <c r="I95" s="263"/>
      <c r="J95" s="266">
        <v>10.091063067302382</v>
      </c>
      <c r="K95" s="269"/>
      <c r="L95" s="269"/>
    </row>
    <row r="96" spans="1:12" ht="16.5" thickBot="1">
      <c r="A96" s="264" t="s">
        <v>402</v>
      </c>
      <c r="B96" s="263">
        <v>4.3499999999999996</v>
      </c>
      <c r="C96" s="269"/>
      <c r="D96" s="263">
        <v>6.4399503642714766</v>
      </c>
      <c r="E96" s="265" t="s">
        <v>370</v>
      </c>
      <c r="F96" s="263">
        <v>0</v>
      </c>
      <c r="G96" s="265" t="s">
        <v>371</v>
      </c>
      <c r="H96" s="268">
        <v>6.4399503642714766</v>
      </c>
      <c r="I96" s="263"/>
      <c r="J96" s="268">
        <v>5.3949751821357381</v>
      </c>
      <c r="K96" s="269"/>
      <c r="L96" s="269"/>
    </row>
    <row r="97" spans="1:12">
      <c r="A97" s="264"/>
      <c r="B97" s="269"/>
      <c r="C97" s="269"/>
      <c r="D97" s="269"/>
      <c r="E97" s="269"/>
      <c r="F97" s="263"/>
      <c r="G97" s="263"/>
      <c r="H97" s="263"/>
      <c r="I97" s="263"/>
      <c r="J97" s="263"/>
      <c r="K97" s="263"/>
      <c r="L97" s="263"/>
    </row>
    <row r="98" spans="1:12" ht="48" thickBot="1">
      <c r="A98" s="270" t="s">
        <v>359</v>
      </c>
      <c r="B98" s="261" t="s">
        <v>360</v>
      </c>
      <c r="C98" s="269"/>
      <c r="D98" s="261" t="s">
        <v>377</v>
      </c>
      <c r="E98" s="269"/>
      <c r="F98" s="261" t="s">
        <v>418</v>
      </c>
      <c r="G98" s="263"/>
      <c r="H98" s="261" t="s">
        <v>379</v>
      </c>
      <c r="I98" s="263"/>
      <c r="J98" s="261" t="s">
        <v>380</v>
      </c>
      <c r="K98" s="263"/>
      <c r="L98" s="261" t="s">
        <v>414</v>
      </c>
    </row>
    <row r="99" spans="1:12" ht="16.5" thickBot="1">
      <c r="A99" s="264" t="s">
        <v>403</v>
      </c>
      <c r="B99" s="263">
        <v>0.56999999999999995</v>
      </c>
      <c r="C99" s="269"/>
      <c r="D99" s="263">
        <v>19.21</v>
      </c>
      <c r="E99" s="265" t="s">
        <v>382</v>
      </c>
      <c r="F99" s="263">
        <v>9.3752741963587294</v>
      </c>
      <c r="G99" s="265" t="s">
        <v>371</v>
      </c>
      <c r="H99" s="263">
        <v>9.8347258036412715</v>
      </c>
      <c r="I99" s="273" t="s">
        <v>383</v>
      </c>
      <c r="J99" s="274">
        <v>21</v>
      </c>
      <c r="K99" s="265" t="s">
        <v>371</v>
      </c>
      <c r="L99" s="266">
        <v>0.46832027636387008</v>
      </c>
    </row>
    <row r="100" spans="1:12" ht="16.5" thickBot="1">
      <c r="A100" s="264" t="s">
        <v>404</v>
      </c>
      <c r="B100" s="263">
        <v>0.48</v>
      </c>
      <c r="C100" s="269"/>
      <c r="D100" s="263">
        <v>17.5</v>
      </c>
      <c r="E100" s="265" t="s">
        <v>382</v>
      </c>
      <c r="F100" s="263">
        <v>9.3752741963587294</v>
      </c>
      <c r="G100" s="265" t="s">
        <v>371</v>
      </c>
      <c r="H100" s="263">
        <v>8.1247258036412706</v>
      </c>
      <c r="I100" s="273" t="s">
        <v>383</v>
      </c>
      <c r="J100" s="274">
        <v>21</v>
      </c>
      <c r="K100" s="265" t="s">
        <v>371</v>
      </c>
      <c r="L100" s="266">
        <v>0.38689170493529862</v>
      </c>
    </row>
    <row r="101" spans="1:12" ht="16.5" thickBot="1">
      <c r="A101" s="264" t="s">
        <v>405</v>
      </c>
      <c r="B101" s="263">
        <v>0.56999999999999995</v>
      </c>
      <c r="C101" s="269"/>
      <c r="D101" s="263">
        <v>18.25</v>
      </c>
      <c r="E101" s="265" t="s">
        <v>382</v>
      </c>
      <c r="F101" s="263">
        <v>8.4781483594720317</v>
      </c>
      <c r="G101" s="265" t="s">
        <v>371</v>
      </c>
      <c r="H101" s="263">
        <v>9.7718516405279683</v>
      </c>
      <c r="I101" s="273" t="s">
        <v>383</v>
      </c>
      <c r="J101" s="274">
        <v>21</v>
      </c>
      <c r="K101" s="265" t="s">
        <v>371</v>
      </c>
      <c r="L101" s="266">
        <v>0.46532626859656989</v>
      </c>
    </row>
    <row r="102" spans="1:12" ht="16.5" thickBot="1">
      <c r="A102" s="264" t="s">
        <v>406</v>
      </c>
      <c r="B102" s="263">
        <v>0.47</v>
      </c>
      <c r="C102" s="269"/>
      <c r="D102" s="263">
        <v>16.54</v>
      </c>
      <c r="E102" s="265" t="s">
        <v>382</v>
      </c>
      <c r="F102" s="263">
        <v>8.4781483594720317</v>
      </c>
      <c r="G102" s="265" t="s">
        <v>371</v>
      </c>
      <c r="H102" s="263">
        <v>8.0618516405279674</v>
      </c>
      <c r="I102" s="273" t="s">
        <v>383</v>
      </c>
      <c r="J102" s="274">
        <v>21</v>
      </c>
      <c r="K102" s="265" t="s">
        <v>371</v>
      </c>
      <c r="L102" s="266">
        <v>0.38389769716799843</v>
      </c>
    </row>
    <row r="103" spans="1:12" ht="16.5" thickBot="1">
      <c r="A103" s="264" t="s">
        <v>407</v>
      </c>
      <c r="B103" s="263">
        <v>0.72</v>
      </c>
      <c r="C103" s="269"/>
      <c r="D103" s="263">
        <v>22.759999999999998</v>
      </c>
      <c r="E103" s="265" t="s">
        <v>382</v>
      </c>
      <c r="F103" s="263">
        <v>10.776861069009254</v>
      </c>
      <c r="G103" s="265" t="s">
        <v>371</v>
      </c>
      <c r="H103" s="263">
        <v>11.983138930990744</v>
      </c>
      <c r="I103" s="273" t="s">
        <v>383</v>
      </c>
      <c r="J103" s="274">
        <v>21</v>
      </c>
      <c r="K103" s="265" t="s">
        <v>371</v>
      </c>
      <c r="L103" s="266">
        <v>0.57062566338051168</v>
      </c>
    </row>
    <row r="104" spans="1:12" ht="16.5" thickBot="1">
      <c r="A104" s="264" t="s">
        <v>408</v>
      </c>
      <c r="B104" s="263">
        <v>0.61</v>
      </c>
      <c r="C104" s="269"/>
      <c r="D104" s="263">
        <v>20.75</v>
      </c>
      <c r="E104" s="265" t="s">
        <v>382</v>
      </c>
      <c r="F104" s="263">
        <v>10.776861069009254</v>
      </c>
      <c r="G104" s="265" t="s">
        <v>371</v>
      </c>
      <c r="H104" s="263">
        <v>9.9731389309907463</v>
      </c>
      <c r="I104" s="273" t="s">
        <v>383</v>
      </c>
      <c r="J104" s="274">
        <v>21</v>
      </c>
      <c r="K104" s="265" t="s">
        <v>371</v>
      </c>
      <c r="L104" s="266">
        <v>0.47491137766622604</v>
      </c>
    </row>
    <row r="105" spans="1:12" ht="16.5" thickBot="1">
      <c r="A105" s="264" t="s">
        <v>409</v>
      </c>
      <c r="B105" s="263">
        <v>0.71</v>
      </c>
      <c r="C105" s="269"/>
      <c r="D105" s="263">
        <v>21.63</v>
      </c>
      <c r="E105" s="265" t="s">
        <v>382</v>
      </c>
      <c r="F105" s="263">
        <v>10.091063067302382</v>
      </c>
      <c r="G105" s="265" t="s">
        <v>371</v>
      </c>
      <c r="H105" s="263">
        <v>11.538936932697617</v>
      </c>
      <c r="I105" s="273" t="s">
        <v>383</v>
      </c>
      <c r="J105" s="274">
        <v>21</v>
      </c>
      <c r="K105" s="265" t="s">
        <v>371</v>
      </c>
      <c r="L105" s="266">
        <v>0.54947318727131511</v>
      </c>
    </row>
    <row r="106" spans="1:12" ht="16.5" thickBot="1">
      <c r="A106" s="264" t="s">
        <v>410</v>
      </c>
      <c r="B106" s="263">
        <v>0.59</v>
      </c>
      <c r="C106" s="269"/>
      <c r="D106" s="263">
        <v>19.62</v>
      </c>
      <c r="E106" s="265" t="s">
        <v>382</v>
      </c>
      <c r="F106" s="263">
        <v>10.091063067302382</v>
      </c>
      <c r="G106" s="265" t="s">
        <v>371</v>
      </c>
      <c r="H106" s="263">
        <v>9.5289369326976185</v>
      </c>
      <c r="I106" s="273" t="s">
        <v>383</v>
      </c>
      <c r="J106" s="274">
        <v>21</v>
      </c>
      <c r="K106" s="265" t="s">
        <v>371</v>
      </c>
      <c r="L106" s="266">
        <v>0.45375890155702947</v>
      </c>
    </row>
    <row r="107" spans="1:12" ht="16.5" thickBot="1">
      <c r="A107" s="264" t="s">
        <v>411</v>
      </c>
      <c r="B107" s="263">
        <v>0.71</v>
      </c>
      <c r="C107" s="269"/>
      <c r="D107" s="263">
        <v>19.07</v>
      </c>
      <c r="E107" s="265" t="s">
        <v>382</v>
      </c>
      <c r="F107" s="263">
        <v>5.3949751821357381</v>
      </c>
      <c r="G107" s="265" t="s">
        <v>371</v>
      </c>
      <c r="H107" s="263">
        <v>13.675024817864262</v>
      </c>
      <c r="I107" s="273" t="s">
        <v>383</v>
      </c>
      <c r="J107" s="274">
        <v>21</v>
      </c>
      <c r="K107" s="265" t="s">
        <v>371</v>
      </c>
      <c r="L107" s="266">
        <v>0.65119165799353629</v>
      </c>
    </row>
    <row r="108" spans="1:12" ht="16.5" thickBot="1">
      <c r="A108" s="264" t="s">
        <v>412</v>
      </c>
      <c r="B108" s="263">
        <v>0.61</v>
      </c>
      <c r="C108" s="269"/>
      <c r="D108" s="263">
        <v>17.18</v>
      </c>
      <c r="E108" s="265" t="s">
        <v>382</v>
      </c>
      <c r="F108" s="263">
        <v>5.3949751821357381</v>
      </c>
      <c r="G108" s="265" t="s">
        <v>371</v>
      </c>
      <c r="H108" s="263">
        <v>11.785024817864262</v>
      </c>
      <c r="I108" s="273" t="s">
        <v>383</v>
      </c>
      <c r="J108" s="274">
        <v>21</v>
      </c>
      <c r="K108" s="265" t="s">
        <v>371</v>
      </c>
      <c r="L108" s="268">
        <v>0.56119165799353632</v>
      </c>
    </row>
    <row r="110" spans="1:12">
      <c r="A110" s="223" t="s">
        <v>419</v>
      </c>
      <c r="D110" s="275">
        <v>2636690.4990858063</v>
      </c>
    </row>
    <row r="111" spans="1:12">
      <c r="A111" s="223" t="s">
        <v>420</v>
      </c>
      <c r="D111" s="276">
        <f>'Rate Spread'!M49</f>
        <v>2537810.6666316353</v>
      </c>
    </row>
    <row r="112" spans="1:12">
      <c r="A112" s="223" t="s">
        <v>421</v>
      </c>
      <c r="D112" s="277">
        <f>D111/D110</f>
        <v>0.96249850618096633</v>
      </c>
    </row>
  </sheetData>
  <printOptions horizontalCentered="1"/>
  <pageMargins left="0.7" right="0.7" top="0.75" bottom="0.75" header="0.3" footer="0.3"/>
  <pageSetup scale="50" fitToHeight="2" orientation="portrait" r:id="rId1"/>
  <rowBreaks count="1" manualBreakCount="1">
    <brk id="57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Rate Impact-GRC Incremental</vt:lpstr>
      <vt:lpstr>Rate Impact-GRC Total</vt:lpstr>
      <vt:lpstr>Rate Spread</vt:lpstr>
      <vt:lpstr>Rate Design</vt:lpstr>
      <vt:lpstr>Sch31-32 Rate</vt:lpstr>
      <vt:lpstr>'Rate Design'!Print_Area</vt:lpstr>
      <vt:lpstr>'Rate Impact-GRC Incremental'!Print_Area</vt:lpstr>
      <vt:lpstr>'Rate Impact-GRC Total'!Print_Area</vt:lpstr>
      <vt:lpstr>'Rate Spread'!Print_Area</vt:lpstr>
      <vt:lpstr>'Sch31-32 Rate'!Print_Area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Zhang, James (PacifiCorp)</dc:creator>
  <cp:lastModifiedBy>Fred Nass</cp:lastModifiedBy>
  <cp:lastPrinted>2026-06-22T21:12:36Z</cp:lastPrinted>
  <dcterms:created xsi:type="dcterms:W3CDTF">2025-06-30T21:24:23Z</dcterms:created>
  <dcterms:modified xsi:type="dcterms:W3CDTF">2026-08-26T22:58:25Z</dcterms:modified>
</cp:coreProperties>
</file>