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19200" windowHeight="1218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1'!$A$1:$AD$190</definedName>
    <definedName name="_xlnm.Print_Area" localSheetId="1">'Historical CF - Exhibit 1B'!$A$1:$O$64</definedName>
  </definedNames>
  <calcPr calcId="152511"/>
</workbook>
</file>

<file path=xl/calcChain.xml><?xml version="1.0" encoding="utf-8"?>
<calcChain xmlns="http://schemas.openxmlformats.org/spreadsheetml/2006/main">
  <c r="AD1" i="5" l="1"/>
  <c r="AD90" i="5"/>
  <c r="P50" i="5" l="1"/>
  <c r="A3" i="6"/>
  <c r="O7" i="6" l="1"/>
  <c r="N51" i="5"/>
  <c r="N66" i="5"/>
  <c r="M66" i="5"/>
  <c r="L66" i="5"/>
  <c r="K66" i="5"/>
  <c r="J66" i="5"/>
  <c r="I66" i="5"/>
  <c r="H66" i="5"/>
  <c r="N52" i="5"/>
  <c r="M52" i="5"/>
  <c r="L52" i="5"/>
  <c r="K52" i="5"/>
  <c r="J52" i="5"/>
  <c r="I52" i="5"/>
  <c r="H52" i="5"/>
  <c r="O190" i="5"/>
  <c r="N189" i="5"/>
  <c r="M54" i="5" l="1"/>
  <c r="M53" i="5"/>
  <c r="M68" i="5"/>
  <c r="AD166" i="5" l="1"/>
  <c r="AD173" i="5"/>
  <c r="AE174" i="5" l="1"/>
  <c r="AE172" i="5"/>
  <c r="AE171" i="5"/>
  <c r="AE173" i="5"/>
  <c r="O50" i="6"/>
  <c r="O39" i="6"/>
  <c r="O20" i="6"/>
  <c r="O161" i="5" l="1"/>
  <c r="AD138" i="5"/>
  <c r="AB138" i="5"/>
  <c r="AA138" i="5"/>
  <c r="AD100" i="5"/>
  <c r="AD157" i="5"/>
  <c r="AD168" i="5"/>
  <c r="AD167" i="5"/>
  <c r="AD165" i="5"/>
  <c r="AD164" i="5"/>
  <c r="AD154" i="5"/>
  <c r="AD153" i="5"/>
  <c r="AD152" i="5"/>
  <c r="AD151" i="5"/>
  <c r="AD150" i="5"/>
  <c r="AB153" i="5"/>
  <c r="AB147" i="5"/>
  <c r="AB168" i="5"/>
  <c r="AB174" i="5" s="1"/>
  <c r="AB154" i="5"/>
  <c r="AB159" i="5" s="1"/>
  <c r="AB131" i="5"/>
  <c r="AB130" i="5"/>
  <c r="AB128" i="5"/>
  <c r="AB126" i="5"/>
  <c r="AB125" i="5"/>
  <c r="AB123" i="5"/>
  <c r="AB122" i="5"/>
  <c r="AB121" i="5"/>
  <c r="AB119" i="5"/>
  <c r="AB118" i="5"/>
  <c r="AB117" i="5"/>
  <c r="AB110" i="5"/>
  <c r="AB109" i="5"/>
  <c r="AB108" i="5"/>
  <c r="AB107" i="5"/>
  <c r="AB104" i="5"/>
  <c r="AB103" i="5"/>
  <c r="AB102" i="5"/>
  <c r="AB101" i="5"/>
  <c r="AB100" i="5"/>
  <c r="AB96" i="5"/>
  <c r="AB160" i="5" l="1"/>
  <c r="AB157" i="5"/>
  <c r="AB161" i="5"/>
  <c r="AB158" i="5"/>
  <c r="AB175" i="5"/>
  <c r="AB171" i="5"/>
  <c r="AB172" i="5"/>
  <c r="AB173" i="5"/>
  <c r="M185" i="5"/>
  <c r="M181" i="5"/>
  <c r="O181" i="5" s="1"/>
  <c r="M182" i="5"/>
  <c r="H181" i="5"/>
  <c r="I181" i="5"/>
  <c r="J181" i="5"/>
  <c r="K181" i="5"/>
  <c r="L181" i="5"/>
  <c r="H182" i="5"/>
  <c r="I182" i="5"/>
  <c r="J182" i="5"/>
  <c r="K182" i="5"/>
  <c r="L182" i="5"/>
  <c r="O49" i="5" l="1"/>
  <c r="O90" i="5" s="1"/>
  <c r="O141" i="5" s="1"/>
  <c r="O1" i="6" s="1"/>
  <c r="A51" i="5"/>
  <c r="M194" i="5" l="1"/>
  <c r="M193" i="5"/>
  <c r="L189" i="5" l="1"/>
  <c r="K189" i="5"/>
  <c r="J189" i="5"/>
  <c r="I189" i="5"/>
  <c r="H189" i="5"/>
  <c r="M189" i="5"/>
  <c r="N50" i="6" l="1"/>
  <c r="N39" i="6"/>
  <c r="N29" i="6"/>
  <c r="N20" i="6"/>
  <c r="O138" i="5"/>
  <c r="O130" i="5"/>
  <c r="O125" i="5"/>
  <c r="O123" i="5"/>
  <c r="O122" i="5"/>
  <c r="O121" i="5"/>
  <c r="O117" i="5"/>
  <c r="O110" i="5"/>
  <c r="O109" i="5"/>
  <c r="O108" i="5"/>
  <c r="O107" i="5"/>
  <c r="O102" i="5"/>
  <c r="O101" i="5"/>
  <c r="O100" i="5"/>
  <c r="O86" i="5"/>
  <c r="O84" i="5"/>
  <c r="O83" i="5"/>
  <c r="O77" i="5"/>
  <c r="O76" i="5"/>
  <c r="O73" i="5"/>
  <c r="O72" i="5"/>
  <c r="O71" i="5"/>
  <c r="O70" i="5"/>
  <c r="O68" i="5"/>
  <c r="O63" i="5"/>
  <c r="O59" i="5"/>
  <c r="O58" i="5"/>
  <c r="O57" i="5"/>
  <c r="O56" i="5"/>
  <c r="O53" i="5"/>
  <c r="O42" i="5"/>
  <c r="O39" i="5"/>
  <c r="O38" i="5"/>
  <c r="O37" i="5"/>
  <c r="O31" i="5"/>
  <c r="O27" i="5"/>
  <c r="O22" i="5"/>
  <c r="O20" i="5"/>
  <c r="O17" i="5"/>
  <c r="O16" i="5"/>
  <c r="O14" i="5"/>
  <c r="O11" i="5"/>
  <c r="O10" i="5"/>
  <c r="O54" i="5" l="1"/>
  <c r="M126" i="5"/>
  <c r="M118" i="5"/>
  <c r="M104" i="5"/>
  <c r="M87" i="5"/>
  <c r="M186" i="5" s="1"/>
  <c r="M78" i="5"/>
  <c r="M43" i="5"/>
  <c r="M29" i="5"/>
  <c r="M34" i="5" s="1"/>
  <c r="M157" i="5" s="1"/>
  <c r="M24" i="5"/>
  <c r="N55" i="6"/>
  <c r="N42" i="6"/>
  <c r="M187" i="5" l="1"/>
  <c r="M156" i="5"/>
  <c r="M150" i="5"/>
  <c r="M80" i="5"/>
  <c r="M151" i="5"/>
  <c r="M44" i="5"/>
  <c r="M161" i="5"/>
  <c r="M119" i="5"/>
  <c r="M128" i="5" s="1"/>
  <c r="M168" i="5"/>
  <c r="M45" i="5"/>
  <c r="M155" i="5" l="1"/>
  <c r="AB86" i="5"/>
  <c r="AB78" i="5"/>
  <c r="AB72" i="5"/>
  <c r="AB66" i="5"/>
  <c r="AB56" i="5"/>
  <c r="AB44" i="5"/>
  <c r="AB38" i="5"/>
  <c r="AB29" i="5"/>
  <c r="AB21" i="5"/>
  <c r="AB11" i="5"/>
  <c r="AB84" i="5"/>
  <c r="AB77" i="5"/>
  <c r="AB71" i="5"/>
  <c r="AB59" i="5"/>
  <c r="AB54" i="5"/>
  <c r="AB43" i="5"/>
  <c r="AB37" i="5"/>
  <c r="AB27" i="5"/>
  <c r="AB20" i="5"/>
  <c r="AB10" i="5"/>
  <c r="AB83" i="5"/>
  <c r="AB76" i="5"/>
  <c r="AB70" i="5"/>
  <c r="AB58" i="5"/>
  <c r="AB53" i="5"/>
  <c r="AB42" i="5"/>
  <c r="AB34" i="5"/>
  <c r="AB17" i="5"/>
  <c r="AB87" i="5"/>
  <c r="AB80" i="5"/>
  <c r="AB73" i="5"/>
  <c r="AB68" i="5"/>
  <c r="AB57" i="5"/>
  <c r="AB45" i="5"/>
  <c r="AB39" i="5"/>
  <c r="AB31" i="5"/>
  <c r="AB22" i="5"/>
  <c r="AB14" i="5"/>
  <c r="AB24" i="5"/>
  <c r="M88" i="5"/>
  <c r="M131" i="5"/>
  <c r="M158" i="5"/>
  <c r="M46" i="5" l="1"/>
  <c r="AB88" i="5"/>
  <c r="M162" i="5"/>
  <c r="M190" i="5"/>
  <c r="M135" i="5"/>
  <c r="N10" i="6"/>
  <c r="N31" i="6" s="1"/>
  <c r="N57" i="6" s="1"/>
  <c r="AA153" i="5"/>
  <c r="M39" i="6"/>
  <c r="M29" i="6"/>
  <c r="M20" i="6"/>
  <c r="O55" i="6"/>
  <c r="O42" i="6"/>
  <c r="AC168" i="5"/>
  <c r="AC174" i="5" s="1"/>
  <c r="AC154" i="5"/>
  <c r="AC7" i="5"/>
  <c r="AC6" i="5"/>
  <c r="O6" i="6" s="1"/>
  <c r="N126" i="5"/>
  <c r="N118" i="5"/>
  <c r="N104" i="5"/>
  <c r="N96" i="5"/>
  <c r="AC96" i="5" s="1"/>
  <c r="N95" i="5"/>
  <c r="N146" i="5" s="1"/>
  <c r="AC146" i="5" s="1"/>
  <c r="N87" i="5"/>
  <c r="N78" i="5"/>
  <c r="N151" i="5"/>
  <c r="N43" i="5"/>
  <c r="N29" i="5"/>
  <c r="N34" i="5" s="1"/>
  <c r="N24" i="5"/>
  <c r="N156" i="5" l="1"/>
  <c r="N147" i="5"/>
  <c r="AC147" i="5" s="1"/>
  <c r="N186" i="5"/>
  <c r="N185" i="5"/>
  <c r="N182" i="5"/>
  <c r="N187" i="5"/>
  <c r="N181" i="5"/>
  <c r="N119" i="5"/>
  <c r="AC119" i="5" s="1"/>
  <c r="AC175" i="5"/>
  <c r="AC171" i="5"/>
  <c r="AC173" i="5"/>
  <c r="AC100" i="5"/>
  <c r="AC104" i="5"/>
  <c r="AC110" i="5"/>
  <c r="AC121" i="5"/>
  <c r="AC126" i="5"/>
  <c r="N168" i="5"/>
  <c r="AC101" i="5"/>
  <c r="AC107" i="5"/>
  <c r="AC117" i="5"/>
  <c r="AC122" i="5"/>
  <c r="N161" i="5"/>
  <c r="AC102" i="5"/>
  <c r="AC108" i="5"/>
  <c r="AC118" i="5"/>
  <c r="AC123" i="5"/>
  <c r="AC130" i="5"/>
  <c r="AC103" i="5"/>
  <c r="AC109" i="5"/>
  <c r="AC125" i="5"/>
  <c r="N80" i="5"/>
  <c r="N155" i="5" s="1"/>
  <c r="N44" i="5"/>
  <c r="N45" i="5"/>
  <c r="AC83" i="5" s="1"/>
  <c r="N157" i="5"/>
  <c r="N150" i="5"/>
  <c r="AC95" i="5"/>
  <c r="AC161" i="5"/>
  <c r="AC157" i="5"/>
  <c r="AC160" i="5"/>
  <c r="AC158" i="5"/>
  <c r="AC159" i="5"/>
  <c r="AC172" i="5"/>
  <c r="N128" i="5" l="1"/>
  <c r="N131" i="5" s="1"/>
  <c r="N162" i="5" s="1"/>
  <c r="AC21" i="5"/>
  <c r="AC20" i="5"/>
  <c r="N88" i="5"/>
  <c r="N46" i="5" s="1"/>
  <c r="AC44" i="5"/>
  <c r="AC10" i="5"/>
  <c r="AC86" i="5"/>
  <c r="AC42" i="5"/>
  <c r="AC14" i="5"/>
  <c r="AC76" i="5"/>
  <c r="AC24" i="5"/>
  <c r="AC87" i="5"/>
  <c r="AC37" i="5"/>
  <c r="AC73" i="5"/>
  <c r="AC72" i="5"/>
  <c r="AC80" i="5"/>
  <c r="AC77" i="5"/>
  <c r="AC58" i="5"/>
  <c r="AC17" i="5"/>
  <c r="AC78" i="5"/>
  <c r="AC22" i="5"/>
  <c r="AC43" i="5"/>
  <c r="AC56" i="5"/>
  <c r="AC68" i="5"/>
  <c r="AC45" i="5"/>
  <c r="AC53" i="5"/>
  <c r="AC71" i="5"/>
  <c r="AC29" i="5"/>
  <c r="AC39" i="5"/>
  <c r="AC38" i="5"/>
  <c r="AC31" i="5"/>
  <c r="AC70" i="5"/>
  <c r="AC34" i="5"/>
  <c r="AC57" i="5"/>
  <c r="AC11" i="5"/>
  <c r="AC59" i="5"/>
  <c r="AC84" i="5"/>
  <c r="AC27" i="5"/>
  <c r="AC54" i="5"/>
  <c r="AC66" i="5"/>
  <c r="M42" i="6"/>
  <c r="AA154" i="5"/>
  <c r="L78" i="5"/>
  <c r="K11" i="5"/>
  <c r="J11" i="5"/>
  <c r="L104" i="5"/>
  <c r="M152" i="5" s="1"/>
  <c r="Z153" i="5"/>
  <c r="L39" i="6"/>
  <c r="L29" i="6"/>
  <c r="L20" i="6"/>
  <c r="P75" i="5"/>
  <c r="P103" i="5"/>
  <c r="K104" i="5"/>
  <c r="Z103" i="5" s="1"/>
  <c r="M55" i="6"/>
  <c r="AA168" i="5"/>
  <c r="L126" i="5"/>
  <c r="L118" i="5"/>
  <c r="L87" i="5"/>
  <c r="L151" i="5"/>
  <c r="L43" i="5"/>
  <c r="L29" i="5"/>
  <c r="L34" i="5" s="1"/>
  <c r="L24" i="5"/>
  <c r="L55" i="6"/>
  <c r="L42" i="6"/>
  <c r="AB6" i="6"/>
  <c r="Z168" i="5"/>
  <c r="Z174" i="5" s="1"/>
  <c r="Z154" i="5"/>
  <c r="Z160" i="5" s="1"/>
  <c r="K126" i="5"/>
  <c r="K118" i="5"/>
  <c r="K87" i="5"/>
  <c r="K78" i="5"/>
  <c r="K43" i="5"/>
  <c r="K29" i="5"/>
  <c r="K34" i="5" s="1"/>
  <c r="K20" i="6"/>
  <c r="K50" i="6"/>
  <c r="K39" i="6"/>
  <c r="J29" i="6"/>
  <c r="K29" i="6"/>
  <c r="P69" i="5"/>
  <c r="P113" i="5"/>
  <c r="P116" i="5"/>
  <c r="Y154" i="5"/>
  <c r="H78" i="5"/>
  <c r="O78" i="5" s="1"/>
  <c r="AD147" i="5"/>
  <c r="Y168" i="5"/>
  <c r="Y174" i="5" s="1"/>
  <c r="W154" i="5"/>
  <c r="W161" i="5" s="1"/>
  <c r="V154" i="5"/>
  <c r="V160" i="5" s="1"/>
  <c r="W168" i="5"/>
  <c r="V168" i="5"/>
  <c r="V175" i="5" s="1"/>
  <c r="W175" i="5"/>
  <c r="W174" i="5"/>
  <c r="W173" i="5"/>
  <c r="W172" i="5"/>
  <c r="V172" i="5"/>
  <c r="W171" i="5"/>
  <c r="X168" i="5"/>
  <c r="X175" i="5" s="1"/>
  <c r="X154" i="5"/>
  <c r="X159" i="5" s="1"/>
  <c r="P174" i="5"/>
  <c r="P161" i="5"/>
  <c r="P168" i="5" s="1"/>
  <c r="P175" i="5" s="1"/>
  <c r="P160" i="5"/>
  <c r="P159" i="5"/>
  <c r="P166" i="5" s="1"/>
  <c r="P173" i="5" s="1"/>
  <c r="P158" i="5"/>
  <c r="P165" i="5" s="1"/>
  <c r="P172" i="5" s="1"/>
  <c r="P157" i="5"/>
  <c r="P164" i="5" s="1"/>
  <c r="P171" i="5" s="1"/>
  <c r="AD141" i="5"/>
  <c r="AC138" i="5" l="1"/>
  <c r="O10" i="6"/>
  <c r="O31" i="6" s="1"/>
  <c r="O57" i="6" s="1"/>
  <c r="N190" i="5"/>
  <c r="N135" i="5"/>
  <c r="AC128" i="5"/>
  <c r="N158" i="5"/>
  <c r="AC131" i="5"/>
  <c r="X174" i="5"/>
  <c r="M169" i="5"/>
  <c r="N169" i="5"/>
  <c r="W158" i="5"/>
  <c r="N171" i="5"/>
  <c r="M171" i="5"/>
  <c r="X157" i="5"/>
  <c r="W160" i="5"/>
  <c r="Z130" i="5"/>
  <c r="M170" i="5"/>
  <c r="M165" i="5"/>
  <c r="M164" i="5"/>
  <c r="V157" i="5"/>
  <c r="V159" i="5"/>
  <c r="V161" i="5"/>
  <c r="W157" i="5"/>
  <c r="W159" i="5"/>
  <c r="V158" i="5"/>
  <c r="V174" i="5"/>
  <c r="K186" i="5"/>
  <c r="K185" i="5"/>
  <c r="K187" i="5"/>
  <c r="L185" i="5"/>
  <c r="L187" i="5"/>
  <c r="L186" i="5"/>
  <c r="AA174" i="5"/>
  <c r="N164" i="5"/>
  <c r="N165" i="5"/>
  <c r="N170" i="5"/>
  <c r="AA103" i="5"/>
  <c r="N152" i="5"/>
  <c r="AC88" i="5"/>
  <c r="X160" i="5"/>
  <c r="X172" i="5"/>
  <c r="Z102" i="5"/>
  <c r="X158" i="5"/>
  <c r="X161" i="5"/>
  <c r="X173" i="5"/>
  <c r="V171" i="5"/>
  <c r="V173" i="5"/>
  <c r="X171" i="5"/>
  <c r="L80" i="5"/>
  <c r="L155" i="5" s="1"/>
  <c r="L45" i="5"/>
  <c r="L119" i="5"/>
  <c r="L128" i="5" s="1"/>
  <c r="L131" i="5" s="1"/>
  <c r="AA131" i="5" s="1"/>
  <c r="L152" i="5"/>
  <c r="L161" i="5"/>
  <c r="L168" i="5"/>
  <c r="AA101" i="5"/>
  <c r="AA104" i="5"/>
  <c r="AA108" i="5"/>
  <c r="AA110" i="5"/>
  <c r="AA118" i="5"/>
  <c r="AA121" i="5"/>
  <c r="AA123" i="5"/>
  <c r="AA126" i="5"/>
  <c r="AA130" i="5"/>
  <c r="L169" i="5"/>
  <c r="AA100" i="5"/>
  <c r="AA102" i="5"/>
  <c r="AA107" i="5"/>
  <c r="AA109" i="5"/>
  <c r="AA117" i="5"/>
  <c r="AA122" i="5"/>
  <c r="AA125" i="5"/>
  <c r="L156" i="5"/>
  <c r="L157" i="5"/>
  <c r="L150" i="5"/>
  <c r="AA171" i="5"/>
  <c r="AA173" i="5"/>
  <c r="AA175" i="5"/>
  <c r="AA157" i="5"/>
  <c r="AA172" i="5"/>
  <c r="L44" i="5"/>
  <c r="AB8" i="6"/>
  <c r="AB14" i="6" s="1"/>
  <c r="K80" i="5"/>
  <c r="K88" i="5" s="1"/>
  <c r="K169" i="5"/>
  <c r="K161" i="5"/>
  <c r="Z100" i="5"/>
  <c r="Z107" i="5"/>
  <c r="Z109" i="5"/>
  <c r="Z117" i="5"/>
  <c r="Z122" i="5"/>
  <c r="Z125" i="5"/>
  <c r="Z101" i="5"/>
  <c r="Z104" i="5"/>
  <c r="Z108" i="5"/>
  <c r="Z110" i="5"/>
  <c r="Z118" i="5"/>
  <c r="Z121" i="5"/>
  <c r="Z123" i="5"/>
  <c r="Z126" i="5"/>
  <c r="Z157" i="5"/>
  <c r="Z159" i="5"/>
  <c r="Z161" i="5"/>
  <c r="Z171" i="5"/>
  <c r="Z173" i="5"/>
  <c r="Z175" i="5"/>
  <c r="Z158" i="5"/>
  <c r="Z172" i="5"/>
  <c r="K44" i="5"/>
  <c r="K24" i="5"/>
  <c r="L170" i="5" s="1"/>
  <c r="K119" i="5"/>
  <c r="K156" i="5"/>
  <c r="K168" i="5"/>
  <c r="K151" i="5"/>
  <c r="K157" i="5"/>
  <c r="Y161" i="5"/>
  <c r="Y158" i="5"/>
  <c r="Y160" i="5"/>
  <c r="Y171" i="5"/>
  <c r="Y175" i="5"/>
  <c r="Y173" i="5"/>
  <c r="Y172" i="5"/>
  <c r="Y157" i="5"/>
  <c r="Y159" i="5"/>
  <c r="I78" i="5"/>
  <c r="J78" i="5"/>
  <c r="K55" i="6"/>
  <c r="K42" i="6"/>
  <c r="J126" i="5"/>
  <c r="J118" i="5"/>
  <c r="J104" i="5"/>
  <c r="K152" i="5" s="1"/>
  <c r="J87" i="5"/>
  <c r="J151" i="5"/>
  <c r="J43" i="5"/>
  <c r="J29" i="5"/>
  <c r="J34" i="5" s="1"/>
  <c r="L171" i="5" s="1"/>
  <c r="J24" i="5"/>
  <c r="Y7" i="5"/>
  <c r="J7" i="5"/>
  <c r="K7" i="5" s="1"/>
  <c r="J40" i="6"/>
  <c r="J20" i="6"/>
  <c r="J55" i="6"/>
  <c r="J42" i="6"/>
  <c r="G61" i="6"/>
  <c r="G53" i="6"/>
  <c r="G51" i="6"/>
  <c r="G39" i="6"/>
  <c r="G40" i="6"/>
  <c r="G29" i="6"/>
  <c r="G15" i="6"/>
  <c r="H53" i="6"/>
  <c r="H55" i="6" s="1"/>
  <c r="H51" i="6"/>
  <c r="H29" i="6"/>
  <c r="H20" i="6"/>
  <c r="I53" i="6"/>
  <c r="I55" i="6" s="1"/>
  <c r="I40" i="6"/>
  <c r="I42" i="6" s="1"/>
  <c r="I29" i="6"/>
  <c r="I20" i="6"/>
  <c r="Q12" i="6"/>
  <c r="Q17" i="6"/>
  <c r="J7" i="6"/>
  <c r="Z7" i="6" s="1"/>
  <c r="G76" i="5"/>
  <c r="I87" i="5"/>
  <c r="I43" i="5"/>
  <c r="I29" i="5"/>
  <c r="I34" i="5" s="1"/>
  <c r="K171" i="5" s="1"/>
  <c r="I24" i="5"/>
  <c r="I126" i="5"/>
  <c r="I118" i="5"/>
  <c r="I104" i="5"/>
  <c r="X7" i="5"/>
  <c r="I96" i="5"/>
  <c r="P18" i="5"/>
  <c r="V95" i="5"/>
  <c r="V6" i="5"/>
  <c r="G95" i="5"/>
  <c r="G146" i="5" s="1"/>
  <c r="Q47" i="6"/>
  <c r="Q38" i="6"/>
  <c r="Q37" i="6"/>
  <c r="P77" i="5"/>
  <c r="P64" i="5"/>
  <c r="P63" i="5"/>
  <c r="P41" i="5"/>
  <c r="P32" i="5"/>
  <c r="G24" i="5"/>
  <c r="P23" i="5"/>
  <c r="P102" i="5"/>
  <c r="G104" i="5"/>
  <c r="F104" i="5"/>
  <c r="F161" i="5" s="1"/>
  <c r="E104" i="5"/>
  <c r="E161" i="5" s="1"/>
  <c r="D104" i="5"/>
  <c r="D161" i="5" s="1"/>
  <c r="H104" i="5"/>
  <c r="O104" i="5" s="1"/>
  <c r="H126" i="5"/>
  <c r="O126" i="5" s="1"/>
  <c r="H118" i="5"/>
  <c r="O118" i="5" s="1"/>
  <c r="H87" i="5"/>
  <c r="O87" i="5" s="1"/>
  <c r="O66" i="5"/>
  <c r="H43" i="5"/>
  <c r="O43" i="5" s="1"/>
  <c r="H29" i="5"/>
  <c r="O29" i="5" s="1"/>
  <c r="H24" i="5"/>
  <c r="O24" i="5" s="1"/>
  <c r="Q46" i="6"/>
  <c r="F39" i="6"/>
  <c r="F42" i="6" s="1"/>
  <c r="F20" i="6"/>
  <c r="Q26" i="6"/>
  <c r="Q20" i="6"/>
  <c r="P85" i="5"/>
  <c r="F123" i="5"/>
  <c r="P124" i="5"/>
  <c r="D45" i="6"/>
  <c r="D29" i="6"/>
  <c r="D21" i="6"/>
  <c r="D16" i="6"/>
  <c r="C45" i="6"/>
  <c r="C55" i="6" s="1"/>
  <c r="C29" i="6"/>
  <c r="C21" i="6"/>
  <c r="H42" i="6"/>
  <c r="G118" i="5"/>
  <c r="D87" i="5"/>
  <c r="D187" i="5" s="1"/>
  <c r="C87" i="5"/>
  <c r="B87" i="5"/>
  <c r="B186" i="5" s="1"/>
  <c r="B65" i="5"/>
  <c r="B66" i="5" s="1"/>
  <c r="C42" i="5"/>
  <c r="C43" i="5" s="1"/>
  <c r="B42" i="5"/>
  <c r="B43" i="5" s="1"/>
  <c r="P21" i="5"/>
  <c r="P19" i="5"/>
  <c r="C100" i="5"/>
  <c r="C99" i="5"/>
  <c r="C104" i="5" s="1"/>
  <c r="B100" i="5"/>
  <c r="B99" i="5"/>
  <c r="C112" i="5"/>
  <c r="B108" i="5"/>
  <c r="G87" i="5"/>
  <c r="G66" i="5"/>
  <c r="G43" i="5"/>
  <c r="G29" i="5"/>
  <c r="E53" i="6"/>
  <c r="E45" i="6"/>
  <c r="E39" i="6"/>
  <c r="E42" i="6" s="1"/>
  <c r="E29" i="6"/>
  <c r="E21" i="6"/>
  <c r="Q19" i="6"/>
  <c r="Q18" i="6"/>
  <c r="Q16" i="6"/>
  <c r="P86" i="5"/>
  <c r="P74" i="5"/>
  <c r="P73" i="5"/>
  <c r="P72" i="5"/>
  <c r="P71" i="5"/>
  <c r="E87" i="5"/>
  <c r="E186" i="5" s="1"/>
  <c r="F87" i="5"/>
  <c r="P62" i="5"/>
  <c r="P61" i="5"/>
  <c r="P60" i="5"/>
  <c r="P59" i="5"/>
  <c r="P58" i="5"/>
  <c r="P40" i="5"/>
  <c r="P39" i="5"/>
  <c r="P17" i="5"/>
  <c r="P16" i="5"/>
  <c r="P15" i="5"/>
  <c r="P14" i="5"/>
  <c r="P13" i="5"/>
  <c r="P109" i="5"/>
  <c r="P111" i="5"/>
  <c r="P100" i="5"/>
  <c r="B96" i="5"/>
  <c r="Q7" i="5"/>
  <c r="R7" i="5" s="1"/>
  <c r="V8" i="6"/>
  <c r="V19" i="6" s="1"/>
  <c r="R8" i="6"/>
  <c r="R13" i="6" s="1"/>
  <c r="B31" i="6"/>
  <c r="B126" i="5"/>
  <c r="C118" i="5"/>
  <c r="C126" i="5"/>
  <c r="D118" i="5"/>
  <c r="D126" i="5"/>
  <c r="AC6" i="6"/>
  <c r="E55" i="6"/>
  <c r="D42" i="6"/>
  <c r="D55" i="6"/>
  <c r="F55" i="6"/>
  <c r="C7" i="5"/>
  <c r="D7" i="5" s="1"/>
  <c r="C7" i="6"/>
  <c r="B7" i="6" s="1"/>
  <c r="R7" i="6" s="1"/>
  <c r="B61" i="6"/>
  <c r="C61" i="6"/>
  <c r="B42" i="6"/>
  <c r="B55" i="6"/>
  <c r="C42" i="6"/>
  <c r="A5" i="6"/>
  <c r="Q5" i="6" s="1"/>
  <c r="Q3" i="6"/>
  <c r="B24" i="5"/>
  <c r="C29" i="5"/>
  <c r="C34" i="5" s="1"/>
  <c r="D24" i="5"/>
  <c r="D29" i="5"/>
  <c r="D34" i="5" s="1"/>
  <c r="D43" i="5"/>
  <c r="E29" i="5"/>
  <c r="AG122" i="5"/>
  <c r="AG28" i="5"/>
  <c r="F24" i="5"/>
  <c r="F29" i="5"/>
  <c r="E118" i="5"/>
  <c r="E126" i="5"/>
  <c r="F118" i="5"/>
  <c r="F126" i="5"/>
  <c r="B78" i="5"/>
  <c r="C78" i="5"/>
  <c r="C66" i="5"/>
  <c r="C151" i="5" s="1"/>
  <c r="D78" i="5"/>
  <c r="D66" i="5"/>
  <c r="D151" i="5" s="1"/>
  <c r="E78" i="5"/>
  <c r="E66" i="5"/>
  <c r="E151" i="5" s="1"/>
  <c r="F78" i="5"/>
  <c r="F66" i="5"/>
  <c r="P36" i="5"/>
  <c r="P54" i="5"/>
  <c r="T104" i="5"/>
  <c r="P101" i="5"/>
  <c r="P104" i="5"/>
  <c r="P99" i="5"/>
  <c r="S129" i="5"/>
  <c r="S121" i="5"/>
  <c r="S110" i="5"/>
  <c r="P34" i="5"/>
  <c r="P122" i="5"/>
  <c r="P123" i="5"/>
  <c r="P125" i="5"/>
  <c r="P126" i="5"/>
  <c r="P128" i="5"/>
  <c r="P129" i="5"/>
  <c r="P130" i="5"/>
  <c r="P131" i="5"/>
  <c r="P137" i="5"/>
  <c r="P138" i="5"/>
  <c r="P121" i="5"/>
  <c r="P108" i="5"/>
  <c r="P110" i="5"/>
  <c r="P112" i="5"/>
  <c r="P117" i="5"/>
  <c r="P107" i="5"/>
  <c r="A143" i="5"/>
  <c r="P143" i="5" s="1"/>
  <c r="A92" i="5"/>
  <c r="AD6" i="5"/>
  <c r="O94" i="5"/>
  <c r="AD146" i="5"/>
  <c r="Q45" i="6"/>
  <c r="P88" i="5"/>
  <c r="P87" i="5"/>
  <c r="P84" i="5"/>
  <c r="P83" i="5"/>
  <c r="P82" i="5"/>
  <c r="P80" i="5"/>
  <c r="P70" i="5"/>
  <c r="P76" i="5"/>
  <c r="P78" i="5"/>
  <c r="P68" i="5"/>
  <c r="P38" i="5"/>
  <c r="P42" i="5"/>
  <c r="P37" i="5"/>
  <c r="P31" i="5"/>
  <c r="P28" i="5"/>
  <c r="P29" i="5"/>
  <c r="P27" i="5"/>
  <c r="Q53" i="6"/>
  <c r="Q52" i="6"/>
  <c r="Q51" i="6"/>
  <c r="Q50" i="6"/>
  <c r="Q48" i="6"/>
  <c r="Q40" i="6"/>
  <c r="Q39" i="6"/>
  <c r="Q34" i="6"/>
  <c r="Q29" i="6"/>
  <c r="Q28" i="6"/>
  <c r="Q27" i="6"/>
  <c r="Q25" i="6"/>
  <c r="Q24" i="6"/>
  <c r="Q23" i="6"/>
  <c r="Q22" i="6"/>
  <c r="Q21" i="6"/>
  <c r="Q15" i="6"/>
  <c r="Q14" i="6"/>
  <c r="Q13" i="6"/>
  <c r="Q11" i="6"/>
  <c r="Q10" i="6"/>
  <c r="P56" i="5"/>
  <c r="P57" i="5"/>
  <c r="P65" i="5"/>
  <c r="P53" i="5"/>
  <c r="P11" i="5"/>
  <c r="P20" i="5"/>
  <c r="P22" i="5"/>
  <c r="P24" i="5"/>
  <c r="P10" i="5"/>
  <c r="B147" i="5"/>
  <c r="A141" i="5" l="1"/>
  <c r="P141" i="5" s="1"/>
  <c r="A50" i="5"/>
  <c r="AA29" i="5"/>
  <c r="M163" i="5"/>
  <c r="S101" i="5"/>
  <c r="T123" i="5"/>
  <c r="T110" i="5"/>
  <c r="B187" i="5"/>
  <c r="J187" i="5"/>
  <c r="J186" i="5"/>
  <c r="J185" i="5"/>
  <c r="S118" i="5"/>
  <c r="G186" i="5"/>
  <c r="G185" i="5"/>
  <c r="G181" i="5"/>
  <c r="G182" i="5"/>
  <c r="G187" i="5"/>
  <c r="I151" i="5"/>
  <c r="O151" i="5" s="1"/>
  <c r="H185" i="5"/>
  <c r="H187" i="5"/>
  <c r="H186" i="5"/>
  <c r="I187" i="5"/>
  <c r="I186" i="5"/>
  <c r="O186" i="5" s="1"/>
  <c r="I185" i="5"/>
  <c r="O185" i="5" s="1"/>
  <c r="S108" i="5"/>
  <c r="S125" i="5"/>
  <c r="S99" i="5"/>
  <c r="W8" i="6"/>
  <c r="W26" i="6" s="1"/>
  <c r="AC26" i="6" s="1"/>
  <c r="H34" i="5"/>
  <c r="E187" i="5"/>
  <c r="T107" i="5"/>
  <c r="T125" i="5"/>
  <c r="T99" i="5"/>
  <c r="T108" i="5"/>
  <c r="T126" i="5"/>
  <c r="T121" i="5"/>
  <c r="T130" i="5"/>
  <c r="T117" i="5"/>
  <c r="E119" i="5"/>
  <c r="T119" i="5" s="1"/>
  <c r="W130" i="5"/>
  <c r="AD122" i="5"/>
  <c r="AD117" i="5"/>
  <c r="AD111" i="5"/>
  <c r="AD107" i="5"/>
  <c r="AD101" i="5"/>
  <c r="AD126" i="5"/>
  <c r="AD121" i="5"/>
  <c r="AD116" i="5"/>
  <c r="AD110" i="5"/>
  <c r="AD104" i="5"/>
  <c r="AD125" i="5"/>
  <c r="AD113" i="5"/>
  <c r="AD109" i="5"/>
  <c r="AD103" i="5"/>
  <c r="AD130" i="5"/>
  <c r="AD123" i="5"/>
  <c r="AD118" i="5"/>
  <c r="AD112" i="5"/>
  <c r="AD108" i="5"/>
  <c r="AD102" i="5"/>
  <c r="G161" i="5"/>
  <c r="W102" i="5"/>
  <c r="T101" i="5"/>
  <c r="T122" i="5"/>
  <c r="T112" i="5"/>
  <c r="Y8" i="6"/>
  <c r="Y28" i="6" s="1"/>
  <c r="AA17" i="5"/>
  <c r="N163" i="5"/>
  <c r="R42" i="6"/>
  <c r="R29" i="6"/>
  <c r="X8" i="6"/>
  <c r="X17" i="6" s="1"/>
  <c r="S104" i="5"/>
  <c r="S112" i="5"/>
  <c r="S122" i="5"/>
  <c r="S130" i="5"/>
  <c r="E152" i="5"/>
  <c r="S126" i="5"/>
  <c r="E185" i="5"/>
  <c r="S107" i="5"/>
  <c r="S117" i="5"/>
  <c r="S123" i="5"/>
  <c r="U8" i="6"/>
  <c r="U19" i="6" s="1"/>
  <c r="AA68" i="5"/>
  <c r="AA78" i="5"/>
  <c r="AA58" i="5"/>
  <c r="AA43" i="5"/>
  <c r="AA20" i="5"/>
  <c r="AA84" i="5"/>
  <c r="AA59" i="5"/>
  <c r="AA37" i="5"/>
  <c r="AA14" i="5"/>
  <c r="AA76" i="5"/>
  <c r="AA53" i="5"/>
  <c r="AA24" i="5"/>
  <c r="AA77" i="5"/>
  <c r="AA54" i="5"/>
  <c r="AA31" i="5"/>
  <c r="AA10" i="5"/>
  <c r="AA70" i="5"/>
  <c r="AA42" i="5"/>
  <c r="AA21" i="5"/>
  <c r="AA71" i="5"/>
  <c r="AA45" i="5"/>
  <c r="AA27" i="5"/>
  <c r="AA83" i="5"/>
  <c r="AA66" i="5"/>
  <c r="AA38" i="5"/>
  <c r="AA11" i="5"/>
  <c r="AA87" i="5"/>
  <c r="G42" i="6"/>
  <c r="C187" i="5"/>
  <c r="C186" i="5"/>
  <c r="C185" i="5"/>
  <c r="Q96" i="5"/>
  <c r="C96" i="5"/>
  <c r="F181" i="5"/>
  <c r="F187" i="5"/>
  <c r="F186" i="5"/>
  <c r="F185" i="5"/>
  <c r="X96" i="5"/>
  <c r="I147" i="5"/>
  <c r="X147" i="5" s="1"/>
  <c r="R48" i="6"/>
  <c r="R14" i="6"/>
  <c r="B185" i="5"/>
  <c r="D185" i="5"/>
  <c r="D186" i="5"/>
  <c r="V102" i="5"/>
  <c r="L7" i="5"/>
  <c r="M7" i="5" s="1"/>
  <c r="Z7" i="5"/>
  <c r="K96" i="5"/>
  <c r="J96" i="5"/>
  <c r="R21" i="6"/>
  <c r="B104" i="5"/>
  <c r="Q117" i="5" s="1"/>
  <c r="G78" i="5"/>
  <c r="AA44" i="5"/>
  <c r="AA73" i="5"/>
  <c r="AA57" i="5"/>
  <c r="AA39" i="5"/>
  <c r="AA22" i="5"/>
  <c r="AA86" i="5"/>
  <c r="AA72" i="5"/>
  <c r="AA56" i="5"/>
  <c r="AA34" i="5"/>
  <c r="L88" i="5"/>
  <c r="L46" i="5" s="1"/>
  <c r="AA80" i="5"/>
  <c r="L164" i="5"/>
  <c r="AA119" i="5"/>
  <c r="L158" i="5"/>
  <c r="L135" i="5"/>
  <c r="M10" i="6"/>
  <c r="M31" i="6" s="1"/>
  <c r="M57" i="6" s="1"/>
  <c r="AD158" i="5"/>
  <c r="AD159" i="5"/>
  <c r="AD160" i="5"/>
  <c r="AD161" i="5"/>
  <c r="K155" i="5"/>
  <c r="K170" i="5"/>
  <c r="AB42" i="6"/>
  <c r="AB48" i="6"/>
  <c r="AB55" i="6"/>
  <c r="AB15" i="6"/>
  <c r="AB29" i="6"/>
  <c r="AB50" i="6"/>
  <c r="AB25" i="6"/>
  <c r="AB53" i="6"/>
  <c r="AB40" i="6"/>
  <c r="AB17" i="6"/>
  <c r="AB52" i="6"/>
  <c r="AB46" i="6"/>
  <c r="AB39" i="6"/>
  <c r="AB20" i="6"/>
  <c r="AB13" i="6"/>
  <c r="AB51" i="6"/>
  <c r="AB45" i="6"/>
  <c r="AB34" i="6"/>
  <c r="AB23" i="6"/>
  <c r="L165" i="5"/>
  <c r="AA128" i="5"/>
  <c r="L162" i="5"/>
  <c r="L190" i="5"/>
  <c r="AA160" i="5"/>
  <c r="AA161" i="5"/>
  <c r="AA159" i="5"/>
  <c r="AA158" i="5"/>
  <c r="K128" i="5"/>
  <c r="K131" i="5" s="1"/>
  <c r="Z119" i="5"/>
  <c r="K45" i="5"/>
  <c r="M172" i="5" s="1"/>
  <c r="K150" i="5"/>
  <c r="S7" i="6"/>
  <c r="R55" i="6"/>
  <c r="R45" i="6"/>
  <c r="R40" i="6"/>
  <c r="R23" i="6"/>
  <c r="R15" i="6"/>
  <c r="AD174" i="5"/>
  <c r="AD172" i="5"/>
  <c r="AD175" i="5"/>
  <c r="AD171" i="5"/>
  <c r="J119" i="5"/>
  <c r="J157" i="5"/>
  <c r="J156" i="5"/>
  <c r="J80" i="5"/>
  <c r="J155" i="5" s="1"/>
  <c r="J150" i="5"/>
  <c r="J168" i="5"/>
  <c r="J170" i="5"/>
  <c r="Y101" i="5"/>
  <c r="Y104" i="5"/>
  <c r="Y108" i="5"/>
  <c r="Y110" i="5"/>
  <c r="Y118" i="5"/>
  <c r="Y121" i="5"/>
  <c r="Y123" i="5"/>
  <c r="Y125" i="5"/>
  <c r="Y130" i="5"/>
  <c r="AA8" i="6"/>
  <c r="AA15" i="6" s="1"/>
  <c r="J152" i="5"/>
  <c r="J161" i="5"/>
  <c r="J169" i="5"/>
  <c r="Y100" i="5"/>
  <c r="Y102" i="5"/>
  <c r="Y107" i="5"/>
  <c r="Y109" i="5"/>
  <c r="Y117" i="5"/>
  <c r="Y122" i="5"/>
  <c r="Y126" i="5"/>
  <c r="J45" i="5"/>
  <c r="J44" i="5"/>
  <c r="K7" i="6"/>
  <c r="Y10" i="6"/>
  <c r="X102" i="5"/>
  <c r="I150" i="5"/>
  <c r="X108" i="5"/>
  <c r="X121" i="5"/>
  <c r="Z8" i="6"/>
  <c r="Z15" i="6" s="1"/>
  <c r="X100" i="5"/>
  <c r="X125" i="5"/>
  <c r="Y45" i="6"/>
  <c r="I156" i="5"/>
  <c r="O156" i="5" s="1"/>
  <c r="I80" i="5"/>
  <c r="I88" i="5" s="1"/>
  <c r="I161" i="5"/>
  <c r="I169" i="5"/>
  <c r="O169" i="5" s="1"/>
  <c r="X104" i="5"/>
  <c r="X110" i="5"/>
  <c r="X118" i="5"/>
  <c r="X123" i="5"/>
  <c r="X130" i="5"/>
  <c r="I152" i="5"/>
  <c r="O152" i="5" s="1"/>
  <c r="I168" i="5"/>
  <c r="O168" i="5" s="1"/>
  <c r="I45" i="5"/>
  <c r="I157" i="5"/>
  <c r="O157" i="5" s="1"/>
  <c r="I44" i="5"/>
  <c r="I170" i="5"/>
  <c r="I119" i="5"/>
  <c r="X101" i="5"/>
  <c r="X107" i="5"/>
  <c r="X109" i="5"/>
  <c r="X117" i="5"/>
  <c r="X122" i="5"/>
  <c r="X126" i="5"/>
  <c r="Q130" i="5"/>
  <c r="T8" i="6"/>
  <c r="T19" i="6" s="1"/>
  <c r="R126" i="5"/>
  <c r="R117" i="5"/>
  <c r="R104" i="5"/>
  <c r="C161" i="5"/>
  <c r="D152" i="5"/>
  <c r="R129" i="5"/>
  <c r="R125" i="5"/>
  <c r="R122" i="5"/>
  <c r="R118" i="5"/>
  <c r="R112" i="5"/>
  <c r="R108" i="5"/>
  <c r="R101" i="5"/>
  <c r="R99" i="5"/>
  <c r="R107" i="5"/>
  <c r="R130" i="5"/>
  <c r="R123" i="5"/>
  <c r="R121" i="5"/>
  <c r="R110" i="5"/>
  <c r="R100" i="5"/>
  <c r="G34" i="5"/>
  <c r="G126" i="5"/>
  <c r="H151" i="5"/>
  <c r="H150" i="5"/>
  <c r="H80" i="5"/>
  <c r="O80" i="5" s="1"/>
  <c r="W101" i="5"/>
  <c r="W107" i="5"/>
  <c r="W109" i="5"/>
  <c r="W117" i="5"/>
  <c r="W122" i="5"/>
  <c r="W126" i="5"/>
  <c r="W100" i="5"/>
  <c r="W104" i="5"/>
  <c r="W108" i="5"/>
  <c r="W110" i="5"/>
  <c r="W118" i="5"/>
  <c r="W121" i="5"/>
  <c r="W123" i="5"/>
  <c r="W125" i="5"/>
  <c r="H168" i="5"/>
  <c r="H170" i="5"/>
  <c r="H119" i="5"/>
  <c r="O119" i="5" s="1"/>
  <c r="H152" i="5"/>
  <c r="H156" i="5"/>
  <c r="H161" i="5"/>
  <c r="H169" i="5"/>
  <c r="V46" i="6"/>
  <c r="V17" i="6"/>
  <c r="V26" i="6"/>
  <c r="V20" i="6"/>
  <c r="S100" i="5"/>
  <c r="U100" i="5"/>
  <c r="T100" i="5"/>
  <c r="T118" i="5"/>
  <c r="V100" i="5"/>
  <c r="G119" i="5"/>
  <c r="U112" i="5"/>
  <c r="U104" i="5"/>
  <c r="U123" i="5"/>
  <c r="U99" i="5"/>
  <c r="U108" i="5"/>
  <c r="U121" i="5"/>
  <c r="G151" i="5"/>
  <c r="G169" i="5"/>
  <c r="F169" i="5"/>
  <c r="D168" i="5"/>
  <c r="C169" i="5"/>
  <c r="E169" i="5"/>
  <c r="V104" i="5"/>
  <c r="V108" i="5"/>
  <c r="V118" i="5"/>
  <c r="V121" i="5"/>
  <c r="V123" i="5"/>
  <c r="R109" i="5"/>
  <c r="T109" i="5"/>
  <c r="V109" i="5"/>
  <c r="S111" i="5"/>
  <c r="U111" i="5"/>
  <c r="R124" i="5"/>
  <c r="T124" i="5"/>
  <c r="U101" i="5"/>
  <c r="U107" i="5"/>
  <c r="U110" i="5"/>
  <c r="U117" i="5"/>
  <c r="U122" i="5"/>
  <c r="U125" i="5"/>
  <c r="U130" i="5"/>
  <c r="G150" i="5"/>
  <c r="G152" i="5"/>
  <c r="G168" i="5"/>
  <c r="G170" i="5"/>
  <c r="C168" i="5"/>
  <c r="E168" i="5"/>
  <c r="D169" i="5"/>
  <c r="D171" i="5"/>
  <c r="V101" i="5"/>
  <c r="V107" i="5"/>
  <c r="V110" i="5"/>
  <c r="V117" i="5"/>
  <c r="V122" i="5"/>
  <c r="V125" i="5"/>
  <c r="V130" i="5"/>
  <c r="S109" i="5"/>
  <c r="U109" i="5"/>
  <c r="R111" i="5"/>
  <c r="T111" i="5"/>
  <c r="S124" i="5"/>
  <c r="U124" i="5"/>
  <c r="V16" i="6"/>
  <c r="V18" i="6"/>
  <c r="B57" i="6"/>
  <c r="R57" i="6" s="1"/>
  <c r="C181" i="5"/>
  <c r="G55" i="6"/>
  <c r="F182" i="5"/>
  <c r="U118" i="5"/>
  <c r="E181" i="5"/>
  <c r="D119" i="5"/>
  <c r="S119" i="5" s="1"/>
  <c r="D150" i="5"/>
  <c r="E43" i="5"/>
  <c r="E182" i="5"/>
  <c r="E24" i="5"/>
  <c r="E170" i="5" s="1"/>
  <c r="D45" i="5"/>
  <c r="S34" i="5" s="1"/>
  <c r="D44" i="5"/>
  <c r="E156" i="5"/>
  <c r="R10" i="6"/>
  <c r="R63" i="6"/>
  <c r="R61" i="6"/>
  <c r="R53" i="6"/>
  <c r="R52" i="6"/>
  <c r="R51" i="6"/>
  <c r="R50" i="6"/>
  <c r="R39" i="6"/>
  <c r="R34" i="6"/>
  <c r="R31" i="6"/>
  <c r="R28" i="6"/>
  <c r="R27" i="6"/>
  <c r="R25" i="6"/>
  <c r="R24" i="6"/>
  <c r="C182" i="5"/>
  <c r="F151" i="5"/>
  <c r="F152" i="5"/>
  <c r="C119" i="5"/>
  <c r="U126" i="5"/>
  <c r="F150" i="5"/>
  <c r="E80" i="5"/>
  <c r="E88" i="5" s="1"/>
  <c r="B151" i="5"/>
  <c r="B150" i="5"/>
  <c r="C80" i="5"/>
  <c r="C88" i="5" s="1"/>
  <c r="C156" i="5"/>
  <c r="E34" i="5"/>
  <c r="B80" i="5"/>
  <c r="B88" i="5" s="1"/>
  <c r="F43" i="5"/>
  <c r="F34" i="5"/>
  <c r="H171" i="5" s="1"/>
  <c r="C24" i="5"/>
  <c r="D80" i="5"/>
  <c r="D88" i="5" s="1"/>
  <c r="D7" i="6"/>
  <c r="T7" i="6" s="1"/>
  <c r="D181" i="5"/>
  <c r="D156" i="5"/>
  <c r="D157" i="5"/>
  <c r="D182" i="5"/>
  <c r="E7" i="6"/>
  <c r="U7" i="6" s="1"/>
  <c r="E7" i="5"/>
  <c r="V14" i="6"/>
  <c r="V15" i="6"/>
  <c r="V24" i="6"/>
  <c r="V25" i="6"/>
  <c r="V29" i="6"/>
  <c r="V40" i="6"/>
  <c r="V42" i="6"/>
  <c r="V50" i="6"/>
  <c r="V51" i="6"/>
  <c r="V55" i="6"/>
  <c r="V13" i="6"/>
  <c r="V21" i="6"/>
  <c r="V23" i="6"/>
  <c r="V27" i="6"/>
  <c r="V28" i="6"/>
  <c r="V34" i="6"/>
  <c r="V39" i="6"/>
  <c r="V45" i="6"/>
  <c r="V48" i="6"/>
  <c r="V52" i="6"/>
  <c r="V53" i="6"/>
  <c r="S7" i="5"/>
  <c r="C147" i="5"/>
  <c r="C44" i="5"/>
  <c r="C157" i="5"/>
  <c r="P1" i="5"/>
  <c r="B118" i="5"/>
  <c r="F80" i="5"/>
  <c r="F88" i="5" s="1"/>
  <c r="F156" i="5"/>
  <c r="F119" i="5"/>
  <c r="F168" i="5"/>
  <c r="B29" i="5"/>
  <c r="P90" i="5"/>
  <c r="A90" i="5"/>
  <c r="O150" i="5" l="1"/>
  <c r="O170" i="5"/>
  <c r="W21" i="6"/>
  <c r="W50" i="6"/>
  <c r="W29" i="6"/>
  <c r="Y53" i="6"/>
  <c r="C183" i="5"/>
  <c r="Q122" i="5"/>
  <c r="E188" i="5"/>
  <c r="H44" i="5"/>
  <c r="O44" i="5" s="1"/>
  <c r="O34" i="5"/>
  <c r="C152" i="5"/>
  <c r="O193" i="5"/>
  <c r="O187" i="5"/>
  <c r="D128" i="5"/>
  <c r="D131" i="5" s="1"/>
  <c r="E10" i="6" s="1"/>
  <c r="H45" i="5"/>
  <c r="AD71" i="5" s="1"/>
  <c r="Q101" i="5"/>
  <c r="AB7" i="5"/>
  <c r="M96" i="5"/>
  <c r="M147" i="5" s="1"/>
  <c r="O182" i="5"/>
  <c r="O194" i="5" s="1"/>
  <c r="W16" i="6"/>
  <c r="AC16" i="6" s="1"/>
  <c r="W28" i="6"/>
  <c r="W46" i="6"/>
  <c r="W51" i="6"/>
  <c r="W39" i="6"/>
  <c r="W23" i="6"/>
  <c r="Y55" i="6"/>
  <c r="Y13" i="6"/>
  <c r="Y25" i="6"/>
  <c r="W45" i="6"/>
  <c r="W15" i="6"/>
  <c r="W17" i="6"/>
  <c r="W52" i="6"/>
  <c r="W40" i="6"/>
  <c r="W27" i="6"/>
  <c r="W13" i="6"/>
  <c r="Y29" i="6"/>
  <c r="X39" i="6"/>
  <c r="W53" i="6"/>
  <c r="W48" i="6"/>
  <c r="W34" i="6"/>
  <c r="W25" i="6"/>
  <c r="W14" i="6"/>
  <c r="Y42" i="6"/>
  <c r="Y21" i="6"/>
  <c r="W42" i="6"/>
  <c r="T51" i="6"/>
  <c r="G45" i="5"/>
  <c r="V58" i="5" s="1"/>
  <c r="F170" i="5"/>
  <c r="U14" i="6"/>
  <c r="T18" i="6"/>
  <c r="C155" i="5"/>
  <c r="T48" i="6"/>
  <c r="E128" i="5"/>
  <c r="AD40" i="5"/>
  <c r="AD11" i="5"/>
  <c r="E155" i="5"/>
  <c r="F45" i="5"/>
  <c r="U73" i="5" s="1"/>
  <c r="Q112" i="5"/>
  <c r="B161" i="5"/>
  <c r="Y52" i="6"/>
  <c r="Y48" i="6"/>
  <c r="Y27" i="6"/>
  <c r="Y23" i="6"/>
  <c r="Z63" i="5"/>
  <c r="N172" i="5"/>
  <c r="C188" i="5"/>
  <c r="U27" i="6"/>
  <c r="X53" i="6"/>
  <c r="H157" i="5"/>
  <c r="Q107" i="5"/>
  <c r="Y39" i="6"/>
  <c r="Y40" i="6"/>
  <c r="Y15" i="6"/>
  <c r="Y20" i="6"/>
  <c r="J171" i="5"/>
  <c r="T15" i="6"/>
  <c r="AD119" i="5"/>
  <c r="Q126" i="5"/>
  <c r="Q99" i="5"/>
  <c r="Y46" i="6"/>
  <c r="Y51" i="6"/>
  <c r="Y34" i="6"/>
  <c r="Y17" i="6"/>
  <c r="Y14" i="6"/>
  <c r="V119" i="5"/>
  <c r="T27" i="6"/>
  <c r="U55" i="6"/>
  <c r="X15" i="6"/>
  <c r="U42" i="6"/>
  <c r="U48" i="6"/>
  <c r="U13" i="6"/>
  <c r="T45" i="6"/>
  <c r="T23" i="6"/>
  <c r="T42" i="6"/>
  <c r="T14" i="6"/>
  <c r="X52" i="6"/>
  <c r="X34" i="6"/>
  <c r="X14" i="6"/>
  <c r="U29" i="6"/>
  <c r="U45" i="6"/>
  <c r="T39" i="6"/>
  <c r="T13" i="6"/>
  <c r="T29" i="6"/>
  <c r="T16" i="6"/>
  <c r="X48" i="6"/>
  <c r="X27" i="6"/>
  <c r="U16" i="6"/>
  <c r="X46" i="6"/>
  <c r="U15" i="6"/>
  <c r="U28" i="6"/>
  <c r="T28" i="6"/>
  <c r="T55" i="6"/>
  <c r="T25" i="6"/>
  <c r="X45" i="6"/>
  <c r="X25" i="6"/>
  <c r="X20" i="6"/>
  <c r="U51" i="6"/>
  <c r="U25" i="6"/>
  <c r="U53" i="6"/>
  <c r="U39" i="6"/>
  <c r="U23" i="6"/>
  <c r="X51" i="6"/>
  <c r="X42" i="6"/>
  <c r="X29" i="6"/>
  <c r="X23" i="6"/>
  <c r="X13" i="6"/>
  <c r="U18" i="6"/>
  <c r="X10" i="6"/>
  <c r="U50" i="6"/>
  <c r="U24" i="6"/>
  <c r="U52" i="6"/>
  <c r="U34" i="6"/>
  <c r="U21" i="6"/>
  <c r="X55" i="6"/>
  <c r="X50" i="6"/>
  <c r="X40" i="6"/>
  <c r="X28" i="6"/>
  <c r="X21" i="6"/>
  <c r="F183" i="5"/>
  <c r="S8" i="6"/>
  <c r="S13" i="6" s="1"/>
  <c r="Q124" i="5"/>
  <c r="Q111" i="5"/>
  <c r="Q100" i="5"/>
  <c r="Q121" i="5"/>
  <c r="Q104" i="5"/>
  <c r="Q125" i="5"/>
  <c r="Q110" i="5"/>
  <c r="G156" i="5"/>
  <c r="Q109" i="5"/>
  <c r="G80" i="5"/>
  <c r="Q123" i="5"/>
  <c r="Q108" i="5"/>
  <c r="Q129" i="5"/>
  <c r="U62" i="5"/>
  <c r="I171" i="5"/>
  <c r="O171" i="5" s="1"/>
  <c r="AA7" i="5"/>
  <c r="L96" i="5"/>
  <c r="J147" i="5"/>
  <c r="Y147" i="5" s="1"/>
  <c r="Y96" i="5"/>
  <c r="W55" i="6"/>
  <c r="J128" i="5"/>
  <c r="K147" i="5"/>
  <c r="Z147" i="5" s="1"/>
  <c r="Z96" i="5"/>
  <c r="D96" i="5"/>
  <c r="R96" i="5"/>
  <c r="T52" i="6"/>
  <c r="T34" i="6"/>
  <c r="T21" i="6"/>
  <c r="T50" i="6"/>
  <c r="T24" i="6"/>
  <c r="W63" i="5"/>
  <c r="X63" i="5"/>
  <c r="I46" i="5"/>
  <c r="Y119" i="5"/>
  <c r="AA88" i="5"/>
  <c r="K46" i="5"/>
  <c r="L172" i="5"/>
  <c r="Y63" i="5"/>
  <c r="L163" i="5"/>
  <c r="L10" i="6"/>
  <c r="Z128" i="5"/>
  <c r="AA7" i="6"/>
  <c r="L7" i="6"/>
  <c r="AB10" i="6"/>
  <c r="K172" i="5"/>
  <c r="Z87" i="5"/>
  <c r="Z84" i="5"/>
  <c r="Z80" i="5"/>
  <c r="Z77" i="5"/>
  <c r="Z73" i="5"/>
  <c r="Z71" i="5"/>
  <c r="Z68" i="5"/>
  <c r="Z59" i="5"/>
  <c r="Z57" i="5"/>
  <c r="Z54" i="5"/>
  <c r="Z45" i="5"/>
  <c r="Z43" i="5"/>
  <c r="Z39" i="5"/>
  <c r="Z37" i="5"/>
  <c r="Z31" i="5"/>
  <c r="Z27" i="5"/>
  <c r="Z22" i="5"/>
  <c r="Z20" i="5"/>
  <c r="Z17" i="5"/>
  <c r="Z11" i="5"/>
  <c r="Z88" i="5"/>
  <c r="Z86" i="5"/>
  <c r="Z83" i="5"/>
  <c r="Z78" i="5"/>
  <c r="Z76" i="5"/>
  <c r="Z72" i="5"/>
  <c r="Z70" i="5"/>
  <c r="Z66" i="5"/>
  <c r="Z58" i="5"/>
  <c r="Z56" i="5"/>
  <c r="Z53" i="5"/>
  <c r="Z44" i="5"/>
  <c r="Z42" i="5"/>
  <c r="Z38" i="5"/>
  <c r="Z34" i="5"/>
  <c r="Z29" i="5"/>
  <c r="Z21" i="5"/>
  <c r="Z14" i="5"/>
  <c r="Z10" i="5"/>
  <c r="Z24" i="5"/>
  <c r="K158" i="5"/>
  <c r="Z138" i="5"/>
  <c r="Z131" i="5"/>
  <c r="K165" i="5"/>
  <c r="K163" i="5"/>
  <c r="K190" i="5"/>
  <c r="K164" i="5"/>
  <c r="K162" i="5"/>
  <c r="K135" i="5"/>
  <c r="AC8" i="6"/>
  <c r="J88" i="5"/>
  <c r="Y88" i="5" s="1"/>
  <c r="Y77" i="5"/>
  <c r="X77" i="5"/>
  <c r="AA34" i="6"/>
  <c r="Z13" i="6"/>
  <c r="AA13" i="6"/>
  <c r="I155" i="5"/>
  <c r="O155" i="5" s="1"/>
  <c r="Y86" i="5"/>
  <c r="Y83" i="5"/>
  <c r="Y78" i="5"/>
  <c r="Y72" i="5"/>
  <c r="Y70" i="5"/>
  <c r="Y66" i="5"/>
  <c r="Y58" i="5"/>
  <c r="Y56" i="5"/>
  <c r="Y53" i="5"/>
  <c r="Y44" i="5"/>
  <c r="Y42" i="5"/>
  <c r="Y39" i="5"/>
  <c r="Y37" i="5"/>
  <c r="Y31" i="5"/>
  <c r="Y21" i="5"/>
  <c r="Y14" i="5"/>
  <c r="Y11" i="5"/>
  <c r="Y87" i="5"/>
  <c r="Y84" i="5"/>
  <c r="Y80" i="5"/>
  <c r="Y76" i="5"/>
  <c r="Y73" i="5"/>
  <c r="Y71" i="5"/>
  <c r="Y68" i="5"/>
  <c r="Y59" i="5"/>
  <c r="Y57" i="5"/>
  <c r="Y54" i="5"/>
  <c r="Y45" i="5"/>
  <c r="Y43" i="5"/>
  <c r="Y38" i="5"/>
  <c r="Y34" i="5"/>
  <c r="Y29" i="5"/>
  <c r="Y27" i="5"/>
  <c r="Y22" i="5"/>
  <c r="Y20" i="5"/>
  <c r="Y17" i="5"/>
  <c r="Y10" i="5"/>
  <c r="Y24" i="5"/>
  <c r="AA51" i="6"/>
  <c r="AA45" i="6"/>
  <c r="AA17" i="6"/>
  <c r="AA53" i="6"/>
  <c r="AA48" i="6"/>
  <c r="AA40" i="6"/>
  <c r="AA29" i="6"/>
  <c r="AA55" i="6"/>
  <c r="AA50" i="6"/>
  <c r="AA42" i="6"/>
  <c r="AA25" i="6"/>
  <c r="AA20" i="6"/>
  <c r="AA52" i="6"/>
  <c r="AA46" i="6"/>
  <c r="AA39" i="6"/>
  <c r="AA23" i="6"/>
  <c r="AA14" i="6"/>
  <c r="Z34" i="6"/>
  <c r="D164" i="5"/>
  <c r="Z51" i="6"/>
  <c r="Z55" i="6"/>
  <c r="Z45" i="6"/>
  <c r="Z17" i="6"/>
  <c r="X44" i="5"/>
  <c r="Z53" i="6"/>
  <c r="Z48" i="6"/>
  <c r="Z40" i="6"/>
  <c r="Z29" i="6"/>
  <c r="Z50" i="6"/>
  <c r="Z42" i="6"/>
  <c r="Z20" i="6"/>
  <c r="Z52" i="6"/>
  <c r="Z39" i="6"/>
  <c r="Z14" i="6"/>
  <c r="I172" i="5"/>
  <c r="X80" i="5"/>
  <c r="X87" i="5"/>
  <c r="X88" i="5"/>
  <c r="X29" i="5"/>
  <c r="X43" i="5"/>
  <c r="X34" i="5"/>
  <c r="X119" i="5"/>
  <c r="I128" i="5"/>
  <c r="I158" i="5" s="1"/>
  <c r="X86" i="5"/>
  <c r="X83" i="5"/>
  <c r="X78" i="5"/>
  <c r="X72" i="5"/>
  <c r="X70" i="5"/>
  <c r="X66" i="5"/>
  <c r="X58" i="5"/>
  <c r="X56" i="5"/>
  <c r="X53" i="5"/>
  <c r="X42" i="5"/>
  <c r="X39" i="5"/>
  <c r="X37" i="5"/>
  <c r="X31" i="5"/>
  <c r="X24" i="5"/>
  <c r="X21" i="5"/>
  <c r="X14" i="5"/>
  <c r="X11" i="5"/>
  <c r="X84" i="5"/>
  <c r="X76" i="5"/>
  <c r="X73" i="5"/>
  <c r="X71" i="5"/>
  <c r="X68" i="5"/>
  <c r="X59" i="5"/>
  <c r="X57" i="5"/>
  <c r="X54" i="5"/>
  <c r="X45" i="5"/>
  <c r="X38" i="5"/>
  <c r="X27" i="5"/>
  <c r="X22" i="5"/>
  <c r="X17" i="5"/>
  <c r="X10" i="5"/>
  <c r="V126" i="5"/>
  <c r="H155" i="5"/>
  <c r="H88" i="5"/>
  <c r="O88" i="5" s="1"/>
  <c r="G183" i="5"/>
  <c r="G155" i="5"/>
  <c r="G128" i="5"/>
  <c r="W80" i="5"/>
  <c r="W71" i="5"/>
  <c r="W11" i="5"/>
  <c r="W72" i="5"/>
  <c r="W22" i="5"/>
  <c r="W17" i="5"/>
  <c r="H128" i="5"/>
  <c r="O128" i="5" s="1"/>
  <c r="W119" i="5"/>
  <c r="G171" i="5"/>
  <c r="G188" i="5"/>
  <c r="S86" i="5"/>
  <c r="S74" i="5"/>
  <c r="S72" i="5"/>
  <c r="S40" i="5"/>
  <c r="S20" i="5"/>
  <c r="S17" i="5"/>
  <c r="S15" i="5"/>
  <c r="S13" i="5"/>
  <c r="S73" i="5"/>
  <c r="S71" i="5"/>
  <c r="S39" i="5"/>
  <c r="S65" i="5"/>
  <c r="S62" i="5"/>
  <c r="S61" i="5"/>
  <c r="S60" i="5"/>
  <c r="S59" i="5"/>
  <c r="S58" i="5"/>
  <c r="S57" i="5"/>
  <c r="S56" i="5"/>
  <c r="S54" i="5"/>
  <c r="S53" i="5"/>
  <c r="S21" i="5"/>
  <c r="S19" i="5"/>
  <c r="S16" i="5"/>
  <c r="S14" i="5"/>
  <c r="F188" i="5"/>
  <c r="E183" i="5"/>
  <c r="F171" i="5"/>
  <c r="E171" i="5"/>
  <c r="U16" i="5"/>
  <c r="G157" i="5"/>
  <c r="G44" i="5"/>
  <c r="C170" i="5"/>
  <c r="D170" i="5"/>
  <c r="S80" i="5"/>
  <c r="C45" i="5"/>
  <c r="R88" i="5" s="1"/>
  <c r="E150" i="5"/>
  <c r="D155" i="5"/>
  <c r="S88" i="5"/>
  <c r="C150" i="5"/>
  <c r="S28" i="5"/>
  <c r="S38" i="5"/>
  <c r="S87" i="5"/>
  <c r="S83" i="5"/>
  <c r="S78" i="5"/>
  <c r="S70" i="5"/>
  <c r="S66" i="5"/>
  <c r="S42" i="5"/>
  <c r="S29" i="5"/>
  <c r="S24" i="5"/>
  <c r="S10" i="5"/>
  <c r="S84" i="5"/>
  <c r="S76" i="5"/>
  <c r="S68" i="5"/>
  <c r="S45" i="5"/>
  <c r="S43" i="5"/>
  <c r="S37" i="5"/>
  <c r="S31" i="5"/>
  <c r="S27" i="5"/>
  <c r="S22" i="5"/>
  <c r="S11" i="5"/>
  <c r="S44" i="5"/>
  <c r="C128" i="5"/>
  <c r="R119" i="5"/>
  <c r="E44" i="5"/>
  <c r="E157" i="5"/>
  <c r="F157" i="5"/>
  <c r="F44" i="5"/>
  <c r="E131" i="5"/>
  <c r="E162" i="5" s="1"/>
  <c r="E158" i="5"/>
  <c r="T128" i="5"/>
  <c r="E45" i="5"/>
  <c r="F128" i="5"/>
  <c r="U119" i="5"/>
  <c r="F155" i="5"/>
  <c r="S131" i="5"/>
  <c r="S138" i="5"/>
  <c r="F7" i="6"/>
  <c r="V7" i="6" s="1"/>
  <c r="F7" i="5"/>
  <c r="D183" i="5"/>
  <c r="D188" i="5"/>
  <c r="B34" i="5"/>
  <c r="B157" i="5" s="1"/>
  <c r="U66" i="5"/>
  <c r="U24" i="5"/>
  <c r="B181" i="5"/>
  <c r="B155" i="5"/>
  <c r="B156" i="5"/>
  <c r="B182" i="5"/>
  <c r="B119" i="5"/>
  <c r="Q118" i="5"/>
  <c r="T7" i="5"/>
  <c r="D147" i="5"/>
  <c r="V42" i="5" l="1"/>
  <c r="V86" i="5"/>
  <c r="U78" i="5"/>
  <c r="U76" i="5"/>
  <c r="U72" i="5"/>
  <c r="V38" i="5"/>
  <c r="W53" i="5"/>
  <c r="W34" i="5"/>
  <c r="W83" i="5"/>
  <c r="AD34" i="5"/>
  <c r="AD10" i="5"/>
  <c r="AD27" i="5"/>
  <c r="U56" i="5"/>
  <c r="U20" i="5"/>
  <c r="U37" i="5"/>
  <c r="V10" i="5"/>
  <c r="W56" i="5"/>
  <c r="W45" i="5"/>
  <c r="AD83" i="5"/>
  <c r="U10" i="5"/>
  <c r="U31" i="5"/>
  <c r="U80" i="5"/>
  <c r="V27" i="5"/>
  <c r="W39" i="5"/>
  <c r="W87" i="5"/>
  <c r="W54" i="5"/>
  <c r="AD15" i="5"/>
  <c r="AD39" i="5"/>
  <c r="AD58" i="5"/>
  <c r="AD59" i="5"/>
  <c r="J131" i="5"/>
  <c r="J165" i="5" s="1"/>
  <c r="Y128" i="5"/>
  <c r="V77" i="5"/>
  <c r="V71" i="5"/>
  <c r="V21" i="5"/>
  <c r="V68" i="5"/>
  <c r="V22" i="5"/>
  <c r="V29" i="5"/>
  <c r="V43" i="5"/>
  <c r="V66" i="5"/>
  <c r="V63" i="5"/>
  <c r="V70" i="5"/>
  <c r="V11" i="5"/>
  <c r="V56" i="5"/>
  <c r="V13" i="5"/>
  <c r="V78" i="5"/>
  <c r="V53" i="5"/>
  <c r="O45" i="5"/>
  <c r="AD44" i="5"/>
  <c r="AD53" i="5"/>
  <c r="AD20" i="5"/>
  <c r="AD72" i="5"/>
  <c r="AD17" i="5"/>
  <c r="AD63" i="5"/>
  <c r="AD22" i="5"/>
  <c r="AD76" i="5"/>
  <c r="AD38" i="5"/>
  <c r="AD80" i="5"/>
  <c r="AD29" i="5"/>
  <c r="AD66" i="5"/>
  <c r="W76" i="5"/>
  <c r="W59" i="5"/>
  <c r="W43" i="5"/>
  <c r="W21" i="5"/>
  <c r="W84" i="5"/>
  <c r="W66" i="5"/>
  <c r="W44" i="5"/>
  <c r="W31" i="5"/>
  <c r="W10" i="5"/>
  <c r="AD73" i="5"/>
  <c r="AD42" i="5"/>
  <c r="AD14" i="5"/>
  <c r="AD57" i="5"/>
  <c r="AD13" i="5"/>
  <c r="AD56" i="5"/>
  <c r="AD16" i="5"/>
  <c r="AD70" i="5"/>
  <c r="AD21" i="5"/>
  <c r="AD87" i="5"/>
  <c r="AD24" i="5"/>
  <c r="AD43" i="5"/>
  <c r="AD78" i="5"/>
  <c r="J172" i="5"/>
  <c r="O172" i="5" s="1"/>
  <c r="W24" i="5"/>
  <c r="W86" i="5"/>
  <c r="W73" i="5"/>
  <c r="W57" i="5"/>
  <c r="W38" i="5"/>
  <c r="W14" i="5"/>
  <c r="W78" i="5"/>
  <c r="W58" i="5"/>
  <c r="W42" i="5"/>
  <c r="W27" i="5"/>
  <c r="AD68" i="5"/>
  <c r="AD37" i="5"/>
  <c r="AD86" i="5"/>
  <c r="AD45" i="5"/>
  <c r="AD84" i="5"/>
  <c r="V76" i="5"/>
  <c r="V73" i="5"/>
  <c r="W37" i="5"/>
  <c r="W70" i="5"/>
  <c r="W29" i="5"/>
  <c r="W68" i="5"/>
  <c r="H172" i="5"/>
  <c r="U61" i="5"/>
  <c r="U57" i="5"/>
  <c r="U11" i="5"/>
  <c r="U43" i="5"/>
  <c r="U86" i="5"/>
  <c r="U59" i="5"/>
  <c r="U42" i="5"/>
  <c r="U87" i="5"/>
  <c r="U38" i="5"/>
  <c r="AD54" i="5"/>
  <c r="AD31" i="5"/>
  <c r="AD77" i="5"/>
  <c r="D165" i="5"/>
  <c r="D190" i="5"/>
  <c r="D158" i="5"/>
  <c r="R38" i="5"/>
  <c r="S137" i="5"/>
  <c r="S128" i="5"/>
  <c r="AC28" i="6"/>
  <c r="AC21" i="6"/>
  <c r="AC15" i="6"/>
  <c r="V87" i="5"/>
  <c r="V17" i="5"/>
  <c r="V31" i="5"/>
  <c r="V57" i="5"/>
  <c r="V83" i="5"/>
  <c r="V14" i="5"/>
  <c r="V45" i="5"/>
  <c r="V84" i="5"/>
  <c r="V23" i="5"/>
  <c r="U34" i="5"/>
  <c r="U68" i="5"/>
  <c r="U22" i="5"/>
  <c r="U54" i="5"/>
  <c r="U84" i="5"/>
  <c r="U39" i="5"/>
  <c r="U15" i="5"/>
  <c r="V24" i="5"/>
  <c r="V34" i="5"/>
  <c r="V20" i="5"/>
  <c r="V37" i="5"/>
  <c r="V59" i="5"/>
  <c r="V72" i="5"/>
  <c r="V16" i="5"/>
  <c r="V54" i="5"/>
  <c r="V39" i="5"/>
  <c r="H46" i="5"/>
  <c r="AD88" i="5"/>
  <c r="G88" i="5"/>
  <c r="U29" i="5"/>
  <c r="U53" i="5"/>
  <c r="U83" i="5"/>
  <c r="U27" i="5"/>
  <c r="U45" i="5"/>
  <c r="U70" i="5"/>
  <c r="V80" i="5"/>
  <c r="U21" i="5"/>
  <c r="U58" i="5"/>
  <c r="U13" i="5"/>
  <c r="U40" i="5"/>
  <c r="F46" i="5"/>
  <c r="U44" i="5"/>
  <c r="U14" i="5"/>
  <c r="U71" i="5"/>
  <c r="U60" i="5"/>
  <c r="U17" i="5"/>
  <c r="U74" i="5"/>
  <c r="Y131" i="5"/>
  <c r="AC27" i="6"/>
  <c r="J135" i="5"/>
  <c r="S27" i="6"/>
  <c r="S16" i="6"/>
  <c r="W128" i="5"/>
  <c r="AD128" i="5"/>
  <c r="J163" i="5"/>
  <c r="Y138" i="5"/>
  <c r="V128" i="5"/>
  <c r="AC46" i="6"/>
  <c r="S14" i="6"/>
  <c r="S45" i="6"/>
  <c r="S51" i="6"/>
  <c r="S29" i="6"/>
  <c r="AC25" i="6"/>
  <c r="AC23" i="6"/>
  <c r="R10" i="5"/>
  <c r="S50" i="6"/>
  <c r="S18" i="6"/>
  <c r="AC45" i="6"/>
  <c r="R43" i="5"/>
  <c r="R78" i="5"/>
  <c r="S61" i="6"/>
  <c r="S42" i="6"/>
  <c r="S24" i="6"/>
  <c r="S52" i="6"/>
  <c r="S34" i="6"/>
  <c r="S21" i="6"/>
  <c r="S19" i="6"/>
  <c r="R34" i="5"/>
  <c r="S25" i="6"/>
  <c r="S53" i="6"/>
  <c r="S39" i="6"/>
  <c r="S23" i="6"/>
  <c r="AC42" i="6"/>
  <c r="R80" i="5"/>
  <c r="S55" i="6"/>
  <c r="S40" i="6"/>
  <c r="S15" i="6"/>
  <c r="S48" i="6"/>
  <c r="S28" i="6"/>
  <c r="AC51" i="6"/>
  <c r="R37" i="5"/>
  <c r="R76" i="5"/>
  <c r="R31" i="5"/>
  <c r="R27" i="5"/>
  <c r="R70" i="5"/>
  <c r="D163" i="5"/>
  <c r="G131" i="5"/>
  <c r="H158" i="5"/>
  <c r="J164" i="5"/>
  <c r="J190" i="5"/>
  <c r="R44" i="5"/>
  <c r="R24" i="5"/>
  <c r="R45" i="5"/>
  <c r="R83" i="5"/>
  <c r="R11" i="5"/>
  <c r="R42" i="5"/>
  <c r="R84" i="5"/>
  <c r="R29" i="5"/>
  <c r="R68" i="5"/>
  <c r="R87" i="5"/>
  <c r="R22" i="5"/>
  <c r="R66" i="5"/>
  <c r="R28" i="5"/>
  <c r="J162" i="5"/>
  <c r="L31" i="6"/>
  <c r="AB31" i="6" s="1"/>
  <c r="S96" i="5"/>
  <c r="E96" i="5"/>
  <c r="J158" i="5"/>
  <c r="O158" i="5" s="1"/>
  <c r="L147" i="5"/>
  <c r="AA147" i="5" s="1"/>
  <c r="AA96" i="5"/>
  <c r="J46" i="5"/>
  <c r="AB7" i="6"/>
  <c r="M7" i="6"/>
  <c r="AC20" i="6"/>
  <c r="AC40" i="6"/>
  <c r="AC53" i="6"/>
  <c r="AC55" i="6"/>
  <c r="AC14" i="6"/>
  <c r="AC52" i="6"/>
  <c r="AC29" i="6"/>
  <c r="AC48" i="6"/>
  <c r="AC39" i="6"/>
  <c r="AC50" i="6"/>
  <c r="AC17" i="6"/>
  <c r="AC34" i="6"/>
  <c r="AC13" i="6"/>
  <c r="W88" i="5"/>
  <c r="E190" i="5"/>
  <c r="E164" i="5"/>
  <c r="G135" i="5"/>
  <c r="I131" i="5"/>
  <c r="X128" i="5"/>
  <c r="G158" i="5"/>
  <c r="V44" i="5"/>
  <c r="H131" i="5"/>
  <c r="O131" i="5" s="1"/>
  <c r="C171" i="5"/>
  <c r="T88" i="5"/>
  <c r="T73" i="5"/>
  <c r="T71" i="5"/>
  <c r="T39" i="5"/>
  <c r="T21" i="5"/>
  <c r="T16" i="5"/>
  <c r="T14" i="5"/>
  <c r="T86" i="5"/>
  <c r="T74" i="5"/>
  <c r="T72" i="5"/>
  <c r="T40" i="5"/>
  <c r="T20" i="5"/>
  <c r="T17" i="5"/>
  <c r="T15" i="5"/>
  <c r="T13" i="5"/>
  <c r="T62" i="5"/>
  <c r="T61" i="5"/>
  <c r="T60" i="5"/>
  <c r="T59" i="5"/>
  <c r="T58" i="5"/>
  <c r="F172" i="5"/>
  <c r="G172" i="5"/>
  <c r="E172" i="5"/>
  <c r="R86" i="5"/>
  <c r="R74" i="5"/>
  <c r="R72" i="5"/>
  <c r="R40" i="5"/>
  <c r="R65" i="5"/>
  <c r="R61" i="5"/>
  <c r="R59" i="5"/>
  <c r="R57" i="5"/>
  <c r="R56" i="5"/>
  <c r="R53" i="5"/>
  <c r="R21" i="5"/>
  <c r="R19" i="5"/>
  <c r="R16" i="5"/>
  <c r="R13" i="5"/>
  <c r="R73" i="5"/>
  <c r="R71" i="5"/>
  <c r="R39" i="5"/>
  <c r="R62" i="5"/>
  <c r="R60" i="5"/>
  <c r="R58" i="5"/>
  <c r="R54" i="5"/>
  <c r="R20" i="5"/>
  <c r="R17" i="5"/>
  <c r="R15" i="5"/>
  <c r="R14" i="5"/>
  <c r="D172" i="5"/>
  <c r="C158" i="5"/>
  <c r="C131" i="5"/>
  <c r="R128" i="5"/>
  <c r="T44" i="5"/>
  <c r="T84" i="5"/>
  <c r="T78" i="5"/>
  <c r="T66" i="5"/>
  <c r="T53" i="5"/>
  <c r="T42" i="5"/>
  <c r="T31" i="5"/>
  <c r="T27" i="5"/>
  <c r="T11" i="5"/>
  <c r="T54" i="5"/>
  <c r="T70" i="5"/>
  <c r="T37" i="5"/>
  <c r="T22" i="5"/>
  <c r="T57" i="5"/>
  <c r="T83" i="5"/>
  <c r="T68" i="5"/>
  <c r="T56" i="5"/>
  <c r="T43" i="5"/>
  <c r="T34" i="5"/>
  <c r="T80" i="5"/>
  <c r="T87" i="5"/>
  <c r="T76" i="5"/>
  <c r="T45" i="5"/>
  <c r="T38" i="5"/>
  <c r="T29" i="5"/>
  <c r="T24" i="5"/>
  <c r="T10" i="5"/>
  <c r="T138" i="5"/>
  <c r="E165" i="5"/>
  <c r="F10" i="6"/>
  <c r="T131" i="5"/>
  <c r="E163" i="5"/>
  <c r="G7" i="6"/>
  <c r="W7" i="6" s="1"/>
  <c r="G7" i="5"/>
  <c r="U10" i="6"/>
  <c r="E31" i="6"/>
  <c r="U128" i="5"/>
  <c r="F131" i="5"/>
  <c r="F158" i="5"/>
  <c r="U7" i="5"/>
  <c r="E147" i="5"/>
  <c r="T147" i="5" s="1"/>
  <c r="B128" i="5"/>
  <c r="Q119" i="5"/>
  <c r="B183" i="5"/>
  <c r="B188" i="5"/>
  <c r="B44" i="5"/>
  <c r="B45" i="5"/>
  <c r="U88" i="5"/>
  <c r="K10" i="6" l="1"/>
  <c r="K31" i="6" s="1"/>
  <c r="AA31" i="6" s="1"/>
  <c r="N7" i="6"/>
  <c r="G163" i="5"/>
  <c r="V131" i="5"/>
  <c r="G165" i="5"/>
  <c r="G164" i="5"/>
  <c r="G46" i="5"/>
  <c r="V88" i="5"/>
  <c r="AD131" i="5"/>
  <c r="L57" i="6"/>
  <c r="AB57" i="6" s="1"/>
  <c r="H190" i="5"/>
  <c r="H162" i="5"/>
  <c r="F96" i="5"/>
  <c r="T96" i="5"/>
  <c r="G190" i="5"/>
  <c r="G162" i="5"/>
  <c r="F164" i="5"/>
  <c r="F162" i="5"/>
  <c r="F190" i="5"/>
  <c r="V138" i="5"/>
  <c r="I162" i="5"/>
  <c r="O162" i="5" s="1"/>
  <c r="I190" i="5"/>
  <c r="X138" i="5"/>
  <c r="J10" i="6"/>
  <c r="Z10" i="6" s="1"/>
  <c r="I135" i="5"/>
  <c r="C190" i="5"/>
  <c r="C164" i="5"/>
  <c r="I164" i="5"/>
  <c r="O164" i="5" s="1"/>
  <c r="I165" i="5"/>
  <c r="O165" i="5" s="1"/>
  <c r="I163" i="5"/>
  <c r="O163" i="5" s="1"/>
  <c r="X131" i="5"/>
  <c r="H164" i="5"/>
  <c r="I31" i="6"/>
  <c r="H7" i="6"/>
  <c r="X7" i="6" s="1"/>
  <c r="H7" i="5"/>
  <c r="I7" i="6" s="1"/>
  <c r="Y7" i="6" s="1"/>
  <c r="H135" i="5"/>
  <c r="O135" i="5" s="1"/>
  <c r="H165" i="5"/>
  <c r="W138" i="5"/>
  <c r="H163" i="5"/>
  <c r="W131" i="5"/>
  <c r="G10" i="6"/>
  <c r="H31" i="6"/>
  <c r="C172" i="5"/>
  <c r="Q73" i="5"/>
  <c r="Q71" i="5"/>
  <c r="Q39" i="5"/>
  <c r="Q62" i="5"/>
  <c r="Q61" i="5"/>
  <c r="Q60" i="5"/>
  <c r="Q59" i="5"/>
  <c r="Q58" i="5"/>
  <c r="Q57" i="5"/>
  <c r="Q56" i="5"/>
  <c r="Q54" i="5"/>
  <c r="Q53" i="5"/>
  <c r="Q21" i="5"/>
  <c r="Q19" i="5"/>
  <c r="Q16" i="5"/>
  <c r="Q14" i="5"/>
  <c r="Q86" i="5"/>
  <c r="Q74" i="5"/>
  <c r="Q72" i="5"/>
  <c r="Q40" i="5"/>
  <c r="Q20" i="5"/>
  <c r="Q17" i="5"/>
  <c r="Q15" i="5"/>
  <c r="Q13" i="5"/>
  <c r="Q65" i="5"/>
  <c r="C165" i="5"/>
  <c r="D10" i="6"/>
  <c r="R137" i="5"/>
  <c r="R131" i="5"/>
  <c r="R138" i="5"/>
  <c r="F31" i="6"/>
  <c r="V10" i="6"/>
  <c r="Q31" i="5"/>
  <c r="Q42" i="5"/>
  <c r="Q84" i="5"/>
  <c r="Q78" i="5"/>
  <c r="Q70" i="5"/>
  <c r="Q66" i="5"/>
  <c r="Q45" i="5"/>
  <c r="Q37" i="5"/>
  <c r="Q28" i="5"/>
  <c r="Q22" i="5"/>
  <c r="Q11" i="5"/>
  <c r="Q43" i="5"/>
  <c r="Q27" i="5"/>
  <c r="Q83" i="5"/>
  <c r="Q80" i="5"/>
  <c r="Q76" i="5"/>
  <c r="Q68" i="5"/>
  <c r="Q38" i="5"/>
  <c r="Q24" i="5"/>
  <c r="Q10" i="5"/>
  <c r="C163" i="5"/>
  <c r="Q29" i="5"/>
  <c r="Q87" i="5"/>
  <c r="B158" i="5"/>
  <c r="Q128" i="5"/>
  <c r="B131" i="5"/>
  <c r="E57" i="6"/>
  <c r="U31" i="6"/>
  <c r="Q44" i="5"/>
  <c r="V7" i="5"/>
  <c r="F147" i="5"/>
  <c r="U147" i="5" s="1"/>
  <c r="F165" i="5"/>
  <c r="F163" i="5"/>
  <c r="U138" i="5"/>
  <c r="U131" i="5"/>
  <c r="Q34" i="5"/>
  <c r="Q88" i="5"/>
  <c r="K57" i="6" l="1"/>
  <c r="AA57" i="6" s="1"/>
  <c r="AA10" i="6"/>
  <c r="I57" i="6"/>
  <c r="Y57" i="6" s="1"/>
  <c r="Y31" i="6"/>
  <c r="U96" i="5"/>
  <c r="G96" i="5"/>
  <c r="J31" i="6"/>
  <c r="G147" i="5"/>
  <c r="V147" i="5" s="1"/>
  <c r="W7" i="5"/>
  <c r="H147" i="5" s="1"/>
  <c r="W147" i="5" s="1"/>
  <c r="B190" i="5"/>
  <c r="X31" i="6"/>
  <c r="H57" i="6"/>
  <c r="G31" i="6"/>
  <c r="W10" i="6"/>
  <c r="D31" i="6"/>
  <c r="T10" i="6"/>
  <c r="V31" i="6"/>
  <c r="F57" i="6"/>
  <c r="V57" i="6" s="1"/>
  <c r="C10" i="6"/>
  <c r="Q131" i="5"/>
  <c r="Q138" i="5"/>
  <c r="Q137" i="5"/>
  <c r="U57" i="6"/>
  <c r="AC10" i="6" l="1"/>
  <c r="V96" i="5"/>
  <c r="H96" i="5"/>
  <c r="W96" i="5" s="1"/>
  <c r="Z31" i="6"/>
  <c r="J57" i="6"/>
  <c r="Z57" i="6" s="1"/>
  <c r="X57" i="6"/>
  <c r="G57" i="6"/>
  <c r="W31" i="6"/>
  <c r="AC31" i="6" s="1"/>
  <c r="D57" i="6"/>
  <c r="T31" i="6"/>
  <c r="S10" i="6"/>
  <c r="C31" i="6"/>
  <c r="W57" i="6" l="1"/>
  <c r="AC57" i="6" s="1"/>
  <c r="G63" i="6"/>
  <c r="T57" i="6"/>
  <c r="C57" i="6"/>
  <c r="S31" i="6"/>
  <c r="S57" i="6" l="1"/>
  <c r="D61" i="6" l="1"/>
  <c r="S63" i="6"/>
  <c r="T61" i="6" l="1"/>
  <c r="D63" i="6"/>
  <c r="E61" i="6" l="1"/>
  <c r="T63" i="6"/>
  <c r="U61" i="6" l="1"/>
  <c r="E63" i="6"/>
  <c r="F61" i="6" l="1"/>
  <c r="U63" i="6"/>
  <c r="V61" i="6" l="1"/>
  <c r="V63" i="6" l="1"/>
  <c r="W61" i="6" l="1"/>
  <c r="H61" i="6" l="1"/>
  <c r="H63" i="6" s="1"/>
  <c r="W63" i="6"/>
  <c r="I61" i="6" l="1"/>
  <c r="X61" i="6"/>
  <c r="I63" i="6" l="1"/>
  <c r="Y61" i="6"/>
  <c r="X63" i="6"/>
  <c r="J61" i="6" l="1"/>
  <c r="Y63" i="6"/>
  <c r="Z61" i="6" l="1"/>
  <c r="J63" i="6"/>
  <c r="K61" i="6" s="1"/>
  <c r="AA61" i="6" l="1"/>
  <c r="AC61" i="6" s="1"/>
  <c r="K63" i="6"/>
  <c r="Z63" i="6"/>
  <c r="AA63" i="6" l="1"/>
  <c r="AC63" i="6" s="1"/>
  <c r="L61" i="6"/>
  <c r="AB61" i="6" l="1"/>
  <c r="L63" i="6"/>
  <c r="AB63" i="6" l="1"/>
  <c r="M61" i="6"/>
  <c r="M63" i="6" s="1"/>
  <c r="N61" i="6" l="1"/>
  <c r="N63" i="6" s="1"/>
  <c r="O61" i="6" s="1"/>
  <c r="O63" i="6" s="1"/>
</calcChain>
</file>

<file path=xl/sharedStrings.xml><?xml version="1.0" encoding="utf-8"?>
<sst xmlns="http://schemas.openxmlformats.org/spreadsheetml/2006/main" count="287" uniqueCount="220">
  <si>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</si>
  <si>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</si>
  <si>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</si>
  <si>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</si>
  <si>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</si>
  <si>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</si>
  <si>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</si>
  <si>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</si>
  <si>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</si>
  <si>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</si>
  <si>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</si>
  <si>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</si>
  <si>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</si>
  <si>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</si>
  <si>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</si>
  <si>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</si>
  <si>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</si>
  <si>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</si>
  <si>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</si>
  <si>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</si>
  <si>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</si>
  <si>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</si>
  <si>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</si>
  <si>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</si>
  <si>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</si>
  <si>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</si>
  <si>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</si>
  <si>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</si>
  <si>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</si>
  <si>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</si>
  <si>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</si>
  <si>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</si>
  <si>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</si>
  <si>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</si>
  <si>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</si>
  <si>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</si>
  <si>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</si>
  <si>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</si>
  <si>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</si>
  <si>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</si>
  <si>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</si>
  <si>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</si>
  <si>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</si>
  <si>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</si>
  <si>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</si>
  <si>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</si>
  <si>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</si>
  <si>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Interest expense (net)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</si>
  <si>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</si>
  <si>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</si>
  <si>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</si>
  <si>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</si>
  <si>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</si>
  <si>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</si>
  <si>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Net Plant &amp; Equipment</t>
  </si>
  <si>
    <t>Regulatory Assets</t>
  </si>
  <si>
    <t>Long-Term Debt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</si>
  <si>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</si>
  <si>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</si>
  <si>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</si>
  <si>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</si>
  <si>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</si>
  <si>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</si>
  <si>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</si>
  <si>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</si>
  <si>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Other Assets:</t>
  </si>
  <si>
    <t>Total Other Assets</t>
  </si>
  <si>
    <t>(Millions of dollars)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</si>
  <si>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</si>
  <si>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</si>
  <si>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</si>
  <si>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</si>
  <si>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</si>
  <si>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</si>
  <si>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</si>
  <si>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</si>
  <si>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</si>
  <si>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</si>
  <si>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</si>
  <si>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</si>
  <si>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</si>
  <si>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</si>
  <si>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</si>
  <si>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</si>
  <si>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</si>
  <si>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</si>
  <si>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</si>
  <si>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Material and Supplies</t>
  </si>
  <si>
    <t>Goodwill</t>
  </si>
  <si>
    <t>Other Non-Current Assets</t>
  </si>
  <si>
    <t>Acounts Payable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</si>
  <si>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</si>
  <si>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</si>
  <si>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</si>
  <si>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</si>
  <si>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</si>
  <si>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Proceeds from long-term debt</t>
  </si>
  <si>
    <t xml:space="preserve">     Long-term debt repaid</t>
  </si>
  <si>
    <t>Accounts Receivable, net</t>
  </si>
  <si>
    <t xml:space="preserve">     Issuance of Common Stock</t>
  </si>
  <si>
    <t>Years Ended December 31</t>
  </si>
  <si>
    <t>Cash Flow as a Percent of Revenues</t>
  </si>
  <si>
    <t>Exhibit 1</t>
  </si>
  <si>
    <t>Customer-credit Balances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</si>
  <si>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</si>
  <si>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</si>
  <si>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</si>
  <si>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</si>
  <si>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</si>
  <si>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</si>
  <si>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</si>
  <si>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>Construction Work in Progress</t>
  </si>
  <si>
    <t xml:space="preserve">       Cumulative Affect of Accounting Chng and Other</t>
  </si>
  <si>
    <t>Accumulated Dep &amp; Amort</t>
  </si>
  <si>
    <t>Questar Corporation</t>
  </si>
  <si>
    <t>Market Resources</t>
  </si>
  <si>
    <t>Questar Pipeline</t>
  </si>
  <si>
    <t>Questar Gas</t>
  </si>
  <si>
    <t xml:space="preserve">   General &amp; Administrative Exp</t>
  </si>
  <si>
    <t xml:space="preserve">   Production &amp; Other Taxes</t>
  </si>
  <si>
    <t xml:space="preserve">   Exploration</t>
  </si>
  <si>
    <t xml:space="preserve">   Abandonment &amp; Imparement</t>
  </si>
  <si>
    <t xml:space="preserve">   Other (Income) Expense</t>
  </si>
  <si>
    <t xml:space="preserve">   Mark-to-Market Loss on Swaps (Gain)</t>
  </si>
  <si>
    <t>Federal Income Tax Recoverable</t>
  </si>
  <si>
    <t>Unbilled Gas Accounts Receivable</t>
  </si>
  <si>
    <t>Fair Value of Derivative Contracts</t>
  </si>
  <si>
    <t>Gas &amp; Oil Storage</t>
  </si>
  <si>
    <t>Prepaid Expenses &amp; Other</t>
  </si>
  <si>
    <t>Investment in Unconsolidated Affiliates</t>
  </si>
  <si>
    <t>Short Term Debt</t>
  </si>
  <si>
    <t>Production and Other Taxes</t>
  </si>
  <si>
    <t>Purchased Gas Adjustment</t>
  </si>
  <si>
    <t>Deferred Income Taxes - Current</t>
  </si>
  <si>
    <t>Asset Retirement Obligation</t>
  </si>
  <si>
    <t>Pension Benefits</t>
  </si>
  <si>
    <t>Postretirement Benefits</t>
  </si>
  <si>
    <t>Other Long Term Liabilities</t>
  </si>
  <si>
    <t xml:space="preserve">     Change in Short Term Debt</t>
  </si>
  <si>
    <t xml:space="preserve">      Inventories</t>
  </si>
  <si>
    <t xml:space="preserve">      Federal Income Taxes</t>
  </si>
  <si>
    <t xml:space="preserve">       Abandonment and Imparement</t>
  </si>
  <si>
    <t xml:space="preserve">       Dry Exploratory Well Expense</t>
  </si>
  <si>
    <t xml:space="preserve">       Net Mark-to-Market (gain) loss on swaps</t>
  </si>
  <si>
    <t xml:space="preserve">      Purchased Gas Adjustments</t>
  </si>
  <si>
    <t>Purchased Gas Adjustments</t>
  </si>
  <si>
    <t>Noncontrolling Interest</t>
  </si>
  <si>
    <t>Gross Margin</t>
  </si>
  <si>
    <t>Dividend Payout Ratio</t>
  </si>
  <si>
    <t xml:space="preserve">      Regulatory Assets and Liabilities &amp; Other</t>
  </si>
  <si>
    <t xml:space="preserve">       Share-Based Compensation</t>
  </si>
  <si>
    <t xml:space="preserve">      Prepaid Expenses</t>
  </si>
  <si>
    <t xml:space="preserve">       Distribution (Income) from Unconsolidated affiliates</t>
  </si>
  <si>
    <t xml:space="preserve">    Common Stock Repurchase</t>
  </si>
  <si>
    <t>Total Revenues (Millions)</t>
  </si>
  <si>
    <t>Wexpro</t>
  </si>
  <si>
    <t xml:space="preserve">   Separation Costs</t>
  </si>
  <si>
    <t>Discontinued Operations, Noncontrolling Int</t>
  </si>
  <si>
    <t>Discontinued Operations Net of Tax</t>
  </si>
  <si>
    <t>Net Income Attributable to Questar</t>
  </si>
  <si>
    <t>Net Income From Continuing Operation</t>
  </si>
  <si>
    <t>RECAST</t>
  </si>
  <si>
    <t>Notes Receivable</t>
  </si>
  <si>
    <t>Current Assets From Discontinued Operations</t>
  </si>
  <si>
    <t>Net Property, Plant &amp; Equip of Discontinued Operations</t>
  </si>
  <si>
    <t>Noncurrent Assets from Discontinued Operations</t>
  </si>
  <si>
    <t>Notes Payable</t>
  </si>
  <si>
    <t>Regulatory Liabilities</t>
  </si>
  <si>
    <t>Current Liabilties of Discontinued Operations</t>
  </si>
  <si>
    <t>Noncurrent Liabilities</t>
  </si>
  <si>
    <t>Noncurrent Liabilities of Discontinued Operations</t>
  </si>
  <si>
    <t xml:space="preserve">     Equity Investment in QEP Resources, Inc.</t>
  </si>
  <si>
    <t xml:space="preserve">     Change in Notes Receivable</t>
  </si>
  <si>
    <t xml:space="preserve">     Long-term Debt Issuance Costs</t>
  </si>
  <si>
    <t xml:space="preserve">     Change in Notes Payable</t>
  </si>
  <si>
    <t>Inventories</t>
  </si>
  <si>
    <t xml:space="preserve">   Discontinued Operations, net of Income Tax</t>
  </si>
  <si>
    <t>Effect of change in cash and equivelants of discontinued operations</t>
  </si>
  <si>
    <t>Moody's Rating</t>
  </si>
  <si>
    <t>Moody's Outlook</t>
  </si>
  <si>
    <t>A3</t>
  </si>
  <si>
    <t>Stable</t>
  </si>
  <si>
    <t>S &amp; P Rating</t>
  </si>
  <si>
    <t>S &amp; P Outlook</t>
  </si>
  <si>
    <t>A</t>
  </si>
  <si>
    <t>Operations by Line of Business</t>
  </si>
  <si>
    <t>Line of Business Analysis</t>
  </si>
  <si>
    <t>page 6 of 8</t>
  </si>
  <si>
    <t>Intercompany Transactions</t>
  </si>
  <si>
    <t>Revenue - Dollars</t>
  </si>
  <si>
    <t>Revenue - Percent</t>
  </si>
  <si>
    <t xml:space="preserve">     Total</t>
  </si>
  <si>
    <t>Net Margin</t>
  </si>
  <si>
    <t>Accumulated Other Income (Loss)</t>
  </si>
  <si>
    <t xml:space="preserve">   Retirement Incentive</t>
  </si>
  <si>
    <t>Capital Lease Obligation</t>
  </si>
  <si>
    <t xml:space="preserve">     Wexpro acquisition of producing properties</t>
  </si>
  <si>
    <t xml:space="preserve">5 Year </t>
  </si>
  <si>
    <t>Page 6 of 6</t>
  </si>
  <si>
    <t>Page 5 of 6</t>
  </si>
  <si>
    <t>Page 3 of 6</t>
  </si>
  <si>
    <t>Page 2 of 6</t>
  </si>
  <si>
    <t>Page 1 of 6</t>
  </si>
  <si>
    <t>A2</t>
  </si>
  <si>
    <t>Other</t>
  </si>
  <si>
    <t>Noncurrent Regulatory Liabilities</t>
  </si>
  <si>
    <t>Net Income (Loss) - Dollars</t>
  </si>
  <si>
    <t>Net Income (Loss) - Percent</t>
  </si>
  <si>
    <t>Interest Payable</t>
  </si>
  <si>
    <t>Corp and Other</t>
  </si>
  <si>
    <t xml:space="preserve">     Questar Gas acquisition of distribution system</t>
  </si>
  <si>
    <t>1st Qrtr</t>
  </si>
  <si>
    <t xml:space="preserve">   Pension Settlement Cost</t>
  </si>
  <si>
    <t>2010 to 2015</t>
  </si>
  <si>
    <t>Dividend (Millions)</t>
  </si>
  <si>
    <t xml:space="preserve">   Merger and Restructuring Cost</t>
  </si>
  <si>
    <t>Exclude 2013</t>
  </si>
  <si>
    <t>5  Year Avg</t>
  </si>
  <si>
    <t>Page 4 of 6</t>
  </si>
  <si>
    <t>DPU Exhibit 1.1 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</si>
</sst>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_);\(#,##0.0\)"/>
    <numFmt numFmtId="165" formatCode="#,##0.0"/>
    <numFmt numFmtId="166" formatCode="0_);\(0\)"/>
    <numFmt numFmtId="167" formatCode="[$-409]mmmm\ d\,\ yyyy;@"/>
    <numFmt numFmtId="168" formatCode="_(* #,##0_);_(* \(#,##0\);_(* &quot;-&quot;??_);_(@_)"/>
    <numFmt numFmtId="169" formatCode="_(* #,##0.0_);_(* \(#,##0.0\);_(* &quot;-&quot;??_);_(@_)"/>
    <numFmt numFmtId="170" formatCode="0.0%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3" fontId="6" fillId="2" borderId="0"/>
    <xf numFmtId="7" fontId="6" fillId="2" borderId="0"/>
    <xf numFmtId="5" fontId="6" fillId="2" borderId="0"/>
    <xf numFmtId="0" fontId="6" fillId="2" borderId="0"/>
    <xf numFmtId="2" fontId="6" fillId="2" borderId="0"/>
    <xf numFmtId="0" fontId="1" fillId="2" borderId="0"/>
    <xf numFmtId="0" fontId="2" fillId="2" borderId="0"/>
    <xf numFmtId="0" fontId="6" fillId="0" borderId="0" applyFill="0" applyBorder="0"/>
    <xf numFmtId="10" fontId="5" fillId="2" borderId="0"/>
    <xf numFmtId="0" fontId="6" fillId="2" borderId="1"/>
    <xf numFmtId="43" fontId="14" fillId="0" borderId="0" applyFont="0" applyFill="0" applyBorder="0" applyAlignment="0" applyProtection="0"/>
  </cellStyleXfs>
  <cellXfs count="191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6" fillId="2" borderId="0" xfId="8" applyFill="1"/>
    <xf numFmtId="0" fontId="6" fillId="2" borderId="0" xfId="8" applyFont="1" applyFill="1"/>
    <xf numFmtId="165" fontId="6" fillId="2" borderId="0" xfId="8" applyNumberFormat="1" applyFill="1"/>
    <xf numFmtId="0" fontId="5" fillId="2" borderId="0" xfId="8" applyFont="1" applyFill="1"/>
    <xf numFmtId="0" fontId="5" fillId="2" borderId="0" xfId="8" applyFont="1" applyFill="1" applyAlignment="1">
      <alignment horizontal="centerContinuous"/>
    </xf>
    <xf numFmtId="0" fontId="5" fillId="2" borderId="0" xfId="8" applyFont="1" applyFill="1" applyBorder="1"/>
    <xf numFmtId="37" fontId="5" fillId="2" borderId="0" xfId="8" applyNumberFormat="1" applyFont="1" applyFill="1"/>
    <xf numFmtId="166" fontId="5" fillId="2" borderId="0" xfId="8" applyNumberFormat="1" applyFont="1" applyFill="1"/>
    <xf numFmtId="10" fontId="2" fillId="2" borderId="0" xfId="0" applyNumberFormat="1" applyFont="1" applyFill="1"/>
    <xf numFmtId="10" fontId="2" fillId="2" borderId="0" xfId="0" quotePrefix="1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9" fillId="2" borderId="0" xfId="8" applyFont="1" applyFill="1" applyAlignment="1">
      <alignment horizontal="center"/>
    </xf>
    <xf numFmtId="0" fontId="9" fillId="2" borderId="0" xfId="8" applyFont="1" applyFill="1"/>
    <xf numFmtId="37" fontId="9" fillId="0" borderId="0" xfId="8" applyNumberFormat="1" applyFont="1" applyBorder="1" applyAlignment="1"/>
    <xf numFmtId="5" fontId="9" fillId="2" borderId="0" xfId="0" applyNumberFormat="1" applyFont="1" applyFill="1" applyAlignment="1">
      <alignment horizontal="right"/>
    </xf>
    <xf numFmtId="0" fontId="9" fillId="0" borderId="3" xfId="8" applyFont="1" applyFill="1" applyBorder="1" applyAlignment="1">
      <alignment horizontal="right"/>
    </xf>
    <xf numFmtId="37" fontId="9" fillId="0" borderId="0" xfId="8" applyNumberFormat="1" applyFont="1" applyFill="1" applyBorder="1" applyAlignment="1">
      <alignment horizontal="right"/>
    </xf>
    <xf numFmtId="37" fontId="9" fillId="2" borderId="0" xfId="0" applyNumberFormat="1" applyFont="1" applyFill="1" applyBorder="1" applyAlignment="1">
      <alignment horizontal="right"/>
    </xf>
    <xf numFmtId="10" fontId="9" fillId="2" borderId="0" xfId="8" applyNumberFormat="1" applyFont="1" applyFill="1"/>
    <xf numFmtId="37" fontId="9" fillId="0" borderId="0" xfId="8" applyNumberFormat="1" applyFont="1" applyFill="1" applyBorder="1" applyAlignment="1">
      <alignment vertical="center"/>
    </xf>
    <xf numFmtId="37" fontId="9" fillId="0" borderId="0" xfId="8" applyNumberFormat="1" applyFont="1" applyBorder="1" applyAlignment="1">
      <alignment horizontal="right"/>
    </xf>
    <xf numFmtId="37" fontId="9" fillId="2" borderId="0" xfId="8" applyNumberFormat="1" applyFont="1" applyFill="1" applyBorder="1" applyAlignment="1">
      <alignment horizontal="right"/>
    </xf>
    <xf numFmtId="10" fontId="9" fillId="2" borderId="0" xfId="8" applyNumberFormat="1" applyFont="1" applyFill="1" applyBorder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/>
    <xf numFmtId="37" fontId="9" fillId="0" borderId="0" xfId="8" applyNumberFormat="1" applyFont="1" applyBorder="1" applyAlignment="1">
      <alignment vertical="center"/>
    </xf>
    <xf numFmtId="10" fontId="9" fillId="2" borderId="0" xfId="0" applyNumberFormat="1" applyFont="1" applyFill="1"/>
    <xf numFmtId="0" fontId="9" fillId="0" borderId="0" xfId="8" applyFont="1" applyBorder="1" applyAlignment="1">
      <alignment vertical="center"/>
    </xf>
    <xf numFmtId="10" fontId="9" fillId="2" borderId="0" xfId="9" applyFont="1"/>
    <xf numFmtId="37" fontId="9" fillId="3" borderId="0" xfId="8" quotePrefix="1" applyNumberFormat="1" applyFont="1" applyFill="1" applyBorder="1" applyAlignment="1">
      <alignment horizontal="left"/>
    </xf>
    <xf numFmtId="37" fontId="9" fillId="2" borderId="0" xfId="8" applyNumberFormat="1" applyFont="1" applyFill="1"/>
    <xf numFmtId="37" fontId="9" fillId="0" borderId="0" xfId="8" quotePrefix="1" applyNumberFormat="1" applyFont="1" applyBorder="1" applyAlignment="1">
      <alignment horizontal="left" vertical="center"/>
    </xf>
    <xf numFmtId="10" fontId="9" fillId="2" borderId="3" xfId="0" applyNumberFormat="1" applyFont="1" applyFill="1" applyBorder="1"/>
    <xf numFmtId="37" fontId="9" fillId="0" borderId="4" xfId="8" applyNumberFormat="1" applyFont="1" applyBorder="1" applyAlignment="1">
      <alignment horizontal="right"/>
    </xf>
    <xf numFmtId="10" fontId="9" fillId="2" borderId="4" xfId="9" applyFont="1" applyBorder="1"/>
    <xf numFmtId="37" fontId="9" fillId="3" borderId="4" xfId="8" applyNumberFormat="1" applyFont="1" applyFill="1" applyBorder="1" applyAlignment="1">
      <alignment horizontal="right"/>
    </xf>
    <xf numFmtId="37" fontId="9" fillId="2" borderId="4" xfId="8" applyNumberFormat="1" applyFont="1" applyFill="1" applyBorder="1" applyAlignment="1">
      <alignment horizontal="right"/>
    </xf>
    <xf numFmtId="2" fontId="9" fillId="2" borderId="0" xfId="8" applyNumberFormat="1" applyFont="1" applyFill="1" applyBorder="1"/>
    <xf numFmtId="2" fontId="9" fillId="2" borderId="5" xfId="8" applyNumberFormat="1" applyFont="1" applyFill="1" applyBorder="1"/>
    <xf numFmtId="0" fontId="9" fillId="2" borderId="0" xfId="8" applyFont="1" applyFill="1" applyBorder="1"/>
    <xf numFmtId="10" fontId="9" fillId="2" borderId="5" xfId="9" applyFont="1" applyBorder="1"/>
    <xf numFmtId="0" fontId="9" fillId="2" borderId="5" xfId="8" applyFont="1" applyFill="1" applyBorder="1"/>
    <xf numFmtId="5" fontId="8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centerContinuous"/>
    </xf>
    <xf numFmtId="167" fontId="8" fillId="2" borderId="0" xfId="0" quotePrefix="1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5" fontId="9" fillId="2" borderId="0" xfId="0" applyNumberFormat="1" applyFont="1" applyFill="1"/>
    <xf numFmtId="5" fontId="9" fillId="2" borderId="0" xfId="0" applyNumberFormat="1" applyFont="1" applyFill="1" applyBorder="1"/>
    <xf numFmtId="0" fontId="9" fillId="2" borderId="0" xfId="0" applyFont="1" applyFill="1" applyBorder="1"/>
    <xf numFmtId="10" fontId="9" fillId="2" borderId="0" xfId="0" applyNumberFormat="1" applyFont="1" applyFill="1" applyBorder="1" applyAlignment="1">
      <alignment horizontal="right"/>
    </xf>
    <xf numFmtId="5" fontId="9" fillId="2" borderId="0" xfId="0" quotePrefix="1" applyNumberFormat="1" applyFont="1" applyFill="1" applyAlignment="1">
      <alignment horizontal="left"/>
    </xf>
    <xf numFmtId="10" fontId="9" fillId="2" borderId="2" xfId="0" applyNumberFormat="1" applyFont="1" applyFill="1" applyBorder="1"/>
    <xf numFmtId="10" fontId="9" fillId="2" borderId="0" xfId="0" applyNumberFormat="1" applyFont="1" applyFill="1" applyBorder="1"/>
    <xf numFmtId="10" fontId="9" fillId="2" borderId="4" xfId="0" applyNumberFormat="1" applyFont="1" applyFill="1" applyBorder="1"/>
    <xf numFmtId="10" fontId="9" fillId="2" borderId="6" xfId="0" applyNumberFormat="1" applyFont="1" applyFill="1" applyBorder="1"/>
    <xf numFmtId="5" fontId="9" fillId="2" borderId="0" xfId="0" applyNumberFormat="1" applyFont="1" applyFill="1" applyAlignment="1">
      <alignment horizontal="left"/>
    </xf>
    <xf numFmtId="10" fontId="9" fillId="2" borderId="7" xfId="0" applyNumberFormat="1" applyFont="1" applyFill="1" applyBorder="1"/>
    <xf numFmtId="10" fontId="8" fillId="2" borderId="0" xfId="0" applyNumberFormat="1" applyFont="1" applyFill="1" applyAlignment="1">
      <alignment horizontal="centerContinuous"/>
    </xf>
    <xf numFmtId="5" fontId="8" fillId="2" borderId="0" xfId="0" applyNumberFormat="1" applyFont="1" applyFill="1"/>
    <xf numFmtId="10" fontId="8" fillId="2" borderId="0" xfId="0" applyNumberFormat="1" applyFont="1" applyFill="1"/>
    <xf numFmtId="5" fontId="8" fillId="2" borderId="0" xfId="0" applyNumberFormat="1" applyFont="1" applyFill="1" applyAlignment="1">
      <alignment horizontal="right"/>
    </xf>
    <xf numFmtId="16" fontId="8" fillId="2" borderId="0" xfId="0" applyNumberFormat="1" applyFont="1" applyFill="1" applyAlignment="1">
      <alignment horizontal="right"/>
    </xf>
    <xf numFmtId="10" fontId="8" fillId="2" borderId="0" xfId="0" applyNumberFormat="1" applyFont="1" applyFill="1" applyAlignment="1">
      <alignment horizontal="right"/>
    </xf>
    <xf numFmtId="16" fontId="8" fillId="2" borderId="0" xfId="0" applyNumberFormat="1" applyFont="1" applyFill="1"/>
    <xf numFmtId="0" fontId="8" fillId="2" borderId="2" xfId="0" applyFont="1" applyFill="1" applyBorder="1"/>
    <xf numFmtId="5" fontId="8" fillId="2" borderId="2" xfId="0" applyNumberFormat="1" applyFont="1" applyFill="1" applyBorder="1"/>
    <xf numFmtId="5" fontId="9" fillId="3" borderId="0" xfId="2" applyNumberFormat="1" applyFont="1" applyFill="1" applyBorder="1"/>
    <xf numFmtId="5" fontId="9" fillId="0" borderId="0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/>
    <xf numFmtId="2" fontId="9" fillId="2" borderId="0" xfId="0" applyNumberFormat="1" applyFont="1" applyFill="1"/>
    <xf numFmtId="5" fontId="12" fillId="2" borderId="0" xfId="0" applyNumberFormat="1" applyFont="1" applyFill="1"/>
    <xf numFmtId="0" fontId="9" fillId="3" borderId="0" xfId="0" applyFont="1" applyFill="1"/>
    <xf numFmtId="10" fontId="11" fillId="2" borderId="0" xfId="0" quotePrefix="1" applyNumberFormat="1" applyFont="1" applyFill="1" applyAlignment="1">
      <alignment horizontal="right"/>
    </xf>
    <xf numFmtId="10" fontId="11" fillId="2" borderId="2" xfId="0" applyNumberFormat="1" applyFont="1" applyFill="1" applyBorder="1" applyAlignment="1">
      <alignment horizontal="right"/>
    </xf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0" fontId="8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164" fontId="9" fillId="2" borderId="0" xfId="0" applyNumberFormat="1" applyFont="1" applyFill="1"/>
    <xf numFmtId="164" fontId="9" fillId="0" borderId="0" xfId="2" applyNumberFormat="1" applyFont="1" applyFill="1" applyBorder="1"/>
    <xf numFmtId="164" fontId="9" fillId="0" borderId="0" xfId="0" applyNumberFormat="1" applyFont="1" applyFill="1" applyBorder="1"/>
    <xf numFmtId="164" fontId="9" fillId="3" borderId="0" xfId="2" applyNumberFormat="1" applyFont="1" applyFill="1" applyBorder="1"/>
    <xf numFmtId="164" fontId="9" fillId="3" borderId="4" xfId="2" applyNumberFormat="1" applyFont="1" applyFill="1" applyBorder="1"/>
    <xf numFmtId="164" fontId="9" fillId="0" borderId="4" xfId="2" applyNumberFormat="1" applyFont="1" applyFill="1" applyBorder="1"/>
    <xf numFmtId="164" fontId="9" fillId="3" borderId="5" xfId="2" applyNumberFormat="1" applyFont="1" applyFill="1" applyBorder="1"/>
    <xf numFmtId="164" fontId="9" fillId="0" borderId="5" xfId="2" applyNumberFormat="1" applyFont="1" applyFill="1" applyBorder="1"/>
    <xf numFmtId="0" fontId="9" fillId="3" borderId="0" xfId="0" applyFont="1" applyFill="1" applyBorder="1" applyAlignment="1">
      <alignment horizontal="left"/>
    </xf>
    <xf numFmtId="164" fontId="9" fillId="2" borderId="4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Alignment="1">
      <alignment horizontal="right"/>
    </xf>
    <xf numFmtId="164" fontId="9" fillId="2" borderId="5" xfId="0" applyNumberFormat="1" applyFont="1" applyFill="1" applyBorder="1"/>
    <xf numFmtId="164" fontId="9" fillId="2" borderId="0" xfId="9" applyNumberFormat="1" applyFont="1"/>
    <xf numFmtId="164" fontId="9" fillId="2" borderId="6" xfId="0" applyNumberFormat="1" applyFont="1" applyFill="1" applyBorder="1"/>
    <xf numFmtId="164" fontId="9" fillId="0" borderId="0" xfId="8" applyNumberFormat="1" applyFont="1" applyBorder="1" applyAlignment="1">
      <alignment horizontal="right"/>
    </xf>
    <xf numFmtId="164" fontId="9" fillId="0" borderId="0" xfId="8" applyNumberFormat="1" applyFont="1" applyFill="1" applyBorder="1" applyAlignment="1">
      <alignment horizontal="right"/>
    </xf>
    <xf numFmtId="164" fontId="9" fillId="2" borderId="0" xfId="8" applyNumberFormat="1" applyFont="1" applyFill="1" applyBorder="1" applyAlignment="1">
      <alignment horizontal="right"/>
    </xf>
    <xf numFmtId="164" fontId="9" fillId="2" borderId="0" xfId="8" applyNumberFormat="1" applyFont="1" applyFill="1" applyBorder="1" applyAlignment="1"/>
    <xf numFmtId="164" fontId="9" fillId="0" borderId="4" xfId="8" applyNumberFormat="1" applyFont="1" applyBorder="1" applyAlignment="1">
      <alignment horizontal="right"/>
    </xf>
    <xf numFmtId="164" fontId="9" fillId="3" borderId="4" xfId="8" applyNumberFormat="1" applyFont="1" applyFill="1" applyBorder="1" applyAlignment="1">
      <alignment horizontal="right"/>
    </xf>
    <xf numFmtId="164" fontId="9" fillId="2" borderId="4" xfId="8" applyNumberFormat="1" applyFont="1" applyFill="1" applyBorder="1" applyAlignment="1">
      <alignment horizontal="right"/>
    </xf>
    <xf numFmtId="37" fontId="9" fillId="3" borderId="0" xfId="8" applyNumberFormat="1" applyFont="1" applyFill="1" applyBorder="1" applyAlignment="1">
      <alignment horizontal="left"/>
    </xf>
    <xf numFmtId="37" fontId="8" fillId="2" borderId="0" xfId="8" applyNumberFormat="1" applyFont="1" applyFill="1" applyBorder="1" applyAlignment="1">
      <alignment horizontal="right"/>
    </xf>
    <xf numFmtId="164" fontId="8" fillId="2" borderId="0" xfId="8" applyNumberFormat="1" applyFont="1" applyFill="1" applyBorder="1" applyAlignment="1">
      <alignment horizontal="right"/>
    </xf>
    <xf numFmtId="164" fontId="8" fillId="2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0" borderId="0" xfId="0" applyNumberFormat="1" applyFont="1" applyFill="1" applyBorder="1"/>
    <xf numFmtId="10" fontId="9" fillId="2" borderId="9" xfId="0" applyNumberFormat="1" applyFont="1" applyFill="1" applyBorder="1"/>
    <xf numFmtId="10" fontId="8" fillId="2" borderId="0" xfId="0" applyNumberFormat="1" applyFont="1" applyFill="1" applyBorder="1"/>
    <xf numFmtId="10" fontId="9" fillId="2" borderId="3" xfId="9" applyFont="1" applyBorder="1"/>
    <xf numFmtId="10" fontId="13" fillId="2" borderId="0" xfId="0" applyNumberFormat="1" applyFont="1" applyFill="1" applyAlignment="1">
      <alignment horizontal="right"/>
    </xf>
    <xf numFmtId="37" fontId="8" fillId="0" borderId="0" xfId="8" applyNumberFormat="1" applyFont="1" applyBorder="1" applyAlignment="1"/>
    <xf numFmtId="37" fontId="8" fillId="2" borderId="0" xfId="0" quotePrefix="1" applyNumberFormat="1" applyFont="1" applyFill="1" applyAlignment="1">
      <alignment horizontal="right"/>
    </xf>
    <xf numFmtId="37" fontId="8" fillId="2" borderId="0" xfId="0" applyNumberFormat="1" applyFont="1" applyFill="1" applyAlignment="1">
      <alignment horizontal="right"/>
    </xf>
    <xf numFmtId="0" fontId="8" fillId="0" borderId="3" xfId="8" applyNumberFormat="1" applyFont="1" applyFill="1" applyBorder="1" applyAlignment="1">
      <alignment horizontal="right"/>
    </xf>
    <xf numFmtId="37" fontId="9" fillId="0" borderId="0" xfId="8" applyNumberFormat="1" applyFont="1" applyBorder="1" applyAlignment="1">
      <alignment horizontal="left" vertical="center"/>
    </xf>
    <xf numFmtId="16" fontId="2" fillId="2" borderId="0" xfId="0" applyNumberFormat="1" applyFont="1" applyFill="1" applyAlignment="1">
      <alignment horizontal="right"/>
    </xf>
    <xf numFmtId="164" fontId="9" fillId="3" borderId="3" xfId="2" applyNumberFormat="1" applyFont="1" applyFill="1" applyBorder="1"/>
    <xf numFmtId="164" fontId="9" fillId="0" borderId="3" xfId="2" applyNumberFormat="1" applyFont="1" applyFill="1" applyBorder="1"/>
    <xf numFmtId="5" fontId="2" fillId="2" borderId="0" xfId="0" applyNumberFormat="1" applyFont="1" applyFill="1"/>
    <xf numFmtId="5" fontId="9" fillId="2" borderId="3" xfId="0" applyNumberFormat="1" applyFont="1" applyFill="1" applyBorder="1"/>
    <xf numFmtId="5" fontId="9" fillId="2" borderId="3" xfId="0" quotePrefix="1" applyNumberFormat="1" applyFont="1" applyFill="1" applyBorder="1" applyAlignment="1">
      <alignment horizontal="left"/>
    </xf>
    <xf numFmtId="164" fontId="9" fillId="2" borderId="3" xfId="0" applyNumberFormat="1" applyFont="1" applyFill="1" applyBorder="1"/>
    <xf numFmtId="37" fontId="13" fillId="2" borderId="0" xfId="0" applyNumberFormat="1" applyFont="1" applyFill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10" fontId="9" fillId="2" borderId="0" xfId="9" applyFont="1" applyBorder="1"/>
    <xf numFmtId="164" fontId="9" fillId="2" borderId="3" xfId="8" applyNumberFormat="1" applyFont="1" applyFill="1" applyBorder="1" applyAlignment="1">
      <alignment horizontal="right"/>
    </xf>
    <xf numFmtId="10" fontId="9" fillId="0" borderId="0" xfId="0" applyNumberFormat="1" applyFont="1" applyFill="1"/>
    <xf numFmtId="37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/>
    <xf numFmtId="5" fontId="0" fillId="2" borderId="3" xfId="0" applyNumberFormat="1" applyFill="1" applyBorder="1"/>
    <xf numFmtId="169" fontId="9" fillId="2" borderId="0" xfId="11" applyNumberFormat="1" applyFont="1" applyFill="1"/>
    <xf numFmtId="169" fontId="9" fillId="2" borderId="3" xfId="11" applyNumberFormat="1" applyFont="1" applyFill="1" applyBorder="1"/>
    <xf numFmtId="170" fontId="9" fillId="2" borderId="0" xfId="9" applyNumberFormat="1" applyFont="1"/>
    <xf numFmtId="170" fontId="9" fillId="2" borderId="3" xfId="9" applyNumberFormat="1" applyFont="1" applyBorder="1"/>
    <xf numFmtId="5" fontId="2" fillId="2" borderId="3" xfId="0" applyNumberFormat="1" applyFont="1" applyFill="1" applyBorder="1"/>
    <xf numFmtId="0" fontId="2" fillId="2" borderId="3" xfId="0" applyNumberFormat="1" applyFont="1" applyFill="1" applyBorder="1"/>
    <xf numFmtId="169" fontId="9" fillId="2" borderId="0" xfId="0" applyNumberFormat="1" applyFont="1" applyFill="1"/>
    <xf numFmtId="10" fontId="11" fillId="2" borderId="0" xfId="0" applyNumberFormat="1" applyFont="1" applyFill="1"/>
    <xf numFmtId="10" fontId="11" fillId="2" borderId="3" xfId="0" applyNumberFormat="1" applyFont="1" applyFill="1" applyBorder="1" applyAlignment="1">
      <alignment horizontal="right"/>
    </xf>
    <xf numFmtId="5" fontId="10" fillId="2" borderId="0" xfId="8" applyNumberFormat="1" applyFont="1" applyFill="1" applyAlignment="1"/>
    <xf numFmtId="0" fontId="8" fillId="2" borderId="0" xfId="8" applyFont="1" applyFill="1" applyAlignment="1"/>
    <xf numFmtId="164" fontId="9" fillId="4" borderId="0" xfId="0" applyNumberFormat="1" applyFont="1" applyFill="1"/>
    <xf numFmtId="5" fontId="2" fillId="2" borderId="0" xfId="0" applyNumberFormat="1" applyFont="1" applyFill="1" applyAlignment="1">
      <alignment horizontal="right"/>
    </xf>
    <xf numFmtId="10" fontId="13" fillId="2" borderId="0" xfId="8" applyNumberFormat="1" applyFont="1" applyFill="1" applyAlignment="1">
      <alignment horizontal="right"/>
    </xf>
    <xf numFmtId="0" fontId="2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3" fontId="9" fillId="0" borderId="0" xfId="8" applyNumberFormat="1" applyFont="1" applyFill="1" applyBorder="1" applyAlignment="1">
      <alignment horizontal="right"/>
    </xf>
    <xf numFmtId="168" fontId="9" fillId="2" borderId="0" xfId="11" applyNumberFormat="1" applyFont="1" applyFill="1"/>
    <xf numFmtId="10" fontId="15" fillId="2" borderId="0" xfId="0" applyNumberFormat="1" applyFont="1" applyFill="1" applyAlignment="1">
      <alignment horizontal="right"/>
    </xf>
    <xf numFmtId="10" fontId="9" fillId="0" borderId="3" xfId="0" applyNumberFormat="1" applyFont="1" applyFill="1" applyBorder="1"/>
    <xf numFmtId="43" fontId="9" fillId="2" borderId="0" xfId="11" applyFont="1" applyFill="1" applyBorder="1"/>
    <xf numFmtId="169" fontId="9" fillId="2" borderId="0" xfId="11" applyNumberFormat="1" applyFont="1" applyFill="1" applyBorder="1"/>
    <xf numFmtId="5" fontId="8" fillId="2" borderId="0" xfId="0" applyNumberFormat="1" applyFont="1" applyFill="1" applyAlignment="1">
      <alignment horizontal="center"/>
    </xf>
    <xf numFmtId="5" fontId="10" fillId="2" borderId="0" xfId="0" applyNumberFormat="1" applyFont="1" applyFill="1" applyAlignment="1">
      <alignment horizontal="center"/>
    </xf>
    <xf numFmtId="37" fontId="8" fillId="0" borderId="0" xfId="8" applyNumberFormat="1" applyFont="1" applyBorder="1" applyAlignment="1">
      <alignment horizontal="center"/>
    </xf>
    <xf numFmtId="37" fontId="2" fillId="0" borderId="0" xfId="8" applyNumberFormat="1" applyFont="1" applyBorder="1" applyAlignment="1">
      <alignment horizontal="center"/>
    </xf>
    <xf numFmtId="167" fontId="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0" fontId="9" fillId="0" borderId="8" xfId="0" applyNumberFormat="1" applyFont="1" applyFill="1" applyBorder="1"/>
    <xf numFmtId="10" fontId="9" fillId="0" borderId="6" xfId="0" applyNumberFormat="1" applyFont="1" applyFill="1" applyBorder="1"/>
    <xf numFmtId="170" fontId="9" fillId="2" borderId="0" xfId="0" applyNumberFormat="1" applyFont="1" applyFill="1"/>
    <xf numFmtId="170" fontId="9" fillId="2" borderId="0" xfId="0" applyNumberFormat="1" applyFont="1" applyFill="1" applyBorder="1"/>
    <xf numFmtId="170" fontId="9" fillId="2" borderId="0" xfId="9" applyNumberFormat="1" applyFont="1" applyBorder="1"/>
    <xf numFmtId="9" fontId="5" fillId="2" borderId="0" xfId="9" applyNumberFormat="1"/>
    <xf numFmtId="5" fontId="10" fillId="2" borderId="0" xfId="0" applyNumberFormat="1" applyFont="1" applyFill="1" applyAlignment="1"/>
    <xf numFmtId="5" fontId="6" fillId="2" borderId="3" xfId="0" applyNumberFormat="1" applyFont="1" applyFill="1" applyBorder="1"/>
    <xf numFmtId="10" fontId="5" fillId="2" borderId="0" xfId="9"/>
    <xf numFmtId="5" fontId="8" fillId="2" borderId="0" xfId="0" applyNumberFormat="1" applyFont="1" applyFill="1" applyAlignment="1"/>
    <xf numFmtId="167" fontId="8" fillId="2" borderId="0" xfId="0" applyNumberFormat="1" applyFont="1" applyFill="1" applyAlignment="1"/>
    <xf numFmtId="10" fontId="2" fillId="2" borderId="0" xfId="8" applyNumberFormat="1" applyFont="1" applyFill="1" applyAlignment="1">
      <alignment horizontal="right"/>
    </xf>
    <xf numFmtId="164" fontId="9" fillId="0" borderId="0" xfId="0" applyNumberFormat="1" applyFont="1" applyFill="1"/>
    <xf numFmtId="164" fontId="8" fillId="0" borderId="0" xfId="0" applyNumberFormat="1" applyFont="1" applyFill="1"/>
    <xf numFmtId="164" fontId="9" fillId="0" borderId="4" xfId="0" applyNumberFormat="1" applyFont="1" applyFill="1" applyBorder="1"/>
    <xf numFmtId="0" fontId="2" fillId="2" borderId="3" xfId="9" applyNumberFormat="1" applyFont="1" applyBorder="1"/>
    <xf numFmtId="167" fontId="8" fillId="2" borderId="0" xfId="0" applyNumberFormat="1" applyFont="1" applyFill="1" applyAlignment="1">
      <alignment horizontal="center"/>
    </xf>
    <xf numFmtId="5" fontId="10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5" fontId="8" fillId="2" borderId="0" xfId="0" applyNumberFormat="1" applyFont="1" applyFill="1" applyAlignment="1">
      <alignment horizontal="center"/>
    </xf>
    <xf numFmtId="37" fontId="2" fillId="0" borderId="0" xfId="8" applyNumberFormat="1" applyFont="1" applyBorder="1" applyAlignment="1">
      <alignment horizontal="center"/>
    </xf>
    <xf numFmtId="167" fontId="2" fillId="2" borderId="0" xfId="0" applyNumberFormat="1" applyFont="1" applyFill="1" applyAlignment="1">
      <alignment horizontal="center"/>
    </xf>
    <xf numFmtId="37" fontId="8" fillId="0" borderId="0" xfId="8" applyNumberFormat="1" applyFont="1" applyBorder="1" applyAlignment="1">
      <alignment horizontal="center"/>
    </xf>
    <xf numFmtId="5" fontId="10" fillId="2" borderId="0" xfId="8" applyNumberFormat="1" applyFont="1" applyFill="1" applyAlignment="1">
      <alignment horizontal="center"/>
    </xf>
    <xf numFmtId="0" fontId="8" fillId="2" borderId="0" xfId="8" applyFont="1" applyFill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showGridLines="0" tabSelected="1" view="pageBreakPreview" topLeftCell="O1" zoomScaleNormal="100" zoomScaleSheetLayoutView="100" workbookViewId="0">
      <selection activeCell="AD2" sqref="AD2"/>
    </sheetView>
  </sheetViews>
  <sheetFormatPr defaultColWidth="13.7109375" defaultRowHeight="12.75" x14ac:dyDescent="0.2"/>
  <cols>
    <col min="1" max="1" width="43.140625" customWidth="1"/>
    <col min="2" max="2" width="11.5703125" hidden="1" customWidth="1"/>
    <col min="3" max="7" width="11.85546875" hidden="1" customWidth="1"/>
    <col min="8" max="14" width="11.85546875" customWidth="1"/>
    <col min="15" max="15" width="11.140625" style="1" customWidth="1"/>
    <col min="16" max="16" width="42.85546875" customWidth="1"/>
    <col min="17" max="22" width="10.7109375" hidden="1" customWidth="1"/>
    <col min="23" max="29" width="10.7109375" customWidth="1"/>
    <col min="30" max="30" width="11.42578125" customWidth="1"/>
    <col min="31" max="31" width="12.7109375" hidden="1" customWidth="1"/>
    <col min="32" max="32" width="12.7109375" customWidth="1"/>
  </cols>
  <sheetData>
    <row r="1" spans="1:31" ht="20.25" x14ac:dyDescent="0.3">
      <c r="A1" s="183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2"/>
      <c r="O1" s="15" t="s">
        <v>219</v>
      </c>
      <c r="P1" s="183" t="str">
        <f>A1</f>
        <v>Questar Corporation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61"/>
      <c r="AD1" s="68" t="str">
        <f>+O1</f>
        <v>DPU Exhibit 1.1 DIR</v>
      </c>
      <c r="AE1" s="2"/>
    </row>
    <row r="2" spans="1:31" ht="15.75" x14ac:dyDescent="0.25">
      <c r="A2" s="185" t="s">
        <v>44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75"/>
      <c r="O2" s="79" t="s">
        <v>201</v>
      </c>
      <c r="P2" s="185" t="s">
        <v>43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60"/>
      <c r="AD2" s="79"/>
      <c r="AE2" s="2"/>
    </row>
    <row r="3" spans="1:31" ht="15.75" x14ac:dyDescent="0.25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76"/>
      <c r="O3" s="63"/>
      <c r="P3" s="185" t="s">
        <v>44</v>
      </c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60"/>
      <c r="AD3" s="63"/>
      <c r="AE3" s="3"/>
    </row>
    <row r="4" spans="1:31" ht="15.75" x14ac:dyDescent="0.2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6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63"/>
      <c r="AE4" s="2"/>
    </row>
    <row r="5" spans="1:31" ht="15.75" x14ac:dyDescent="0.25">
      <c r="A5" s="118" t="s">
        <v>67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62"/>
      <c r="O5" s="84" t="s">
        <v>213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  <c r="AE5" s="2"/>
    </row>
    <row r="6" spans="1:31" ht="15.75" x14ac:dyDescent="0.25">
      <c r="A6" s="64"/>
      <c r="B6" s="64"/>
      <c r="C6" s="66"/>
      <c r="D6" s="66"/>
      <c r="E6" s="66"/>
      <c r="F6" s="67"/>
      <c r="G6" s="123" t="s">
        <v>161</v>
      </c>
      <c r="H6" s="123"/>
      <c r="I6" s="123"/>
      <c r="J6" s="123"/>
      <c r="K6" s="123"/>
      <c r="L6" s="123"/>
      <c r="M6" s="123"/>
      <c r="N6" s="123" t="s">
        <v>211</v>
      </c>
      <c r="O6" s="117" t="s">
        <v>3</v>
      </c>
      <c r="P6" s="64"/>
      <c r="Q6" s="64"/>
      <c r="R6" s="66"/>
      <c r="S6" s="66"/>
      <c r="T6" s="66"/>
      <c r="U6" s="69"/>
      <c r="V6" s="67" t="str">
        <f>+G6</f>
        <v>RECAST</v>
      </c>
      <c r="W6" s="67"/>
      <c r="X6" s="67"/>
      <c r="Y6" s="67"/>
      <c r="Z6" s="67"/>
      <c r="AA6" s="67"/>
      <c r="AB6" s="67"/>
      <c r="AC6" s="67" t="str">
        <f>+N6</f>
        <v>1st Qrtr</v>
      </c>
      <c r="AD6" s="84" t="str">
        <f>O5</f>
        <v>2010 to 2015</v>
      </c>
      <c r="AE6" s="2"/>
    </row>
    <row r="7" spans="1:31" ht="15.75" x14ac:dyDescent="0.25">
      <c r="A7" s="70" t="s">
        <v>0</v>
      </c>
      <c r="B7" s="70">
        <v>2004</v>
      </c>
      <c r="C7" s="70">
        <f t="shared" ref="C7:H7" si="0">B7+1</f>
        <v>2005</v>
      </c>
      <c r="D7" s="70">
        <f t="shared" si="0"/>
        <v>2006</v>
      </c>
      <c r="E7" s="70">
        <f t="shared" si="0"/>
        <v>2007</v>
      </c>
      <c r="F7" s="70">
        <f t="shared" si="0"/>
        <v>2008</v>
      </c>
      <c r="G7" s="70">
        <f t="shared" si="0"/>
        <v>2009</v>
      </c>
      <c r="H7" s="70">
        <f t="shared" si="0"/>
        <v>2010</v>
      </c>
      <c r="I7" s="70">
        <v>2011</v>
      </c>
      <c r="J7" s="70">
        <f>+I7+1</f>
        <v>2012</v>
      </c>
      <c r="K7" s="70">
        <f>+J7+1</f>
        <v>2013</v>
      </c>
      <c r="L7" s="70">
        <f>+K7+1</f>
        <v>2014</v>
      </c>
      <c r="M7" s="70">
        <f>+L7+1</f>
        <v>2015</v>
      </c>
      <c r="N7" s="70">
        <v>2016</v>
      </c>
      <c r="O7" s="85" t="s">
        <v>22</v>
      </c>
      <c r="P7" s="71" t="s">
        <v>0</v>
      </c>
      <c r="Q7" s="70">
        <f>+B7</f>
        <v>2004</v>
      </c>
      <c r="R7" s="70">
        <f t="shared" ref="R7:T7" si="1">Q7+1</f>
        <v>2005</v>
      </c>
      <c r="S7" s="70">
        <f t="shared" si="1"/>
        <v>2006</v>
      </c>
      <c r="T7" s="70">
        <f t="shared" si="1"/>
        <v>2007</v>
      </c>
      <c r="U7" s="70">
        <f>T7+1</f>
        <v>2008</v>
      </c>
      <c r="V7" s="70">
        <f>U7+1</f>
        <v>2009</v>
      </c>
      <c r="W7" s="70">
        <f>V7+1</f>
        <v>2010</v>
      </c>
      <c r="X7" s="70">
        <f>+I7</f>
        <v>2011</v>
      </c>
      <c r="Y7" s="70">
        <f>+J7</f>
        <v>2012</v>
      </c>
      <c r="Z7" s="70">
        <f>+K7</f>
        <v>2013</v>
      </c>
      <c r="AA7" s="70">
        <f>+L7</f>
        <v>2014</v>
      </c>
      <c r="AB7" s="70">
        <f>+M7</f>
        <v>2015</v>
      </c>
      <c r="AC7" s="70">
        <f>+N7</f>
        <v>2016</v>
      </c>
      <c r="AD7" s="85" t="s">
        <v>42</v>
      </c>
      <c r="AE7" s="2"/>
    </row>
    <row r="8" spans="1:31" ht="12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3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/>
      <c r="AE8" s="2"/>
    </row>
    <row r="9" spans="1:31" ht="15.75" x14ac:dyDescent="0.25">
      <c r="A9" s="77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1"/>
      <c r="P9" s="64" t="s">
        <v>7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31"/>
      <c r="AE9" s="2"/>
    </row>
    <row r="10" spans="1:31" ht="15" x14ac:dyDescent="0.2">
      <c r="A10" s="52" t="s">
        <v>4</v>
      </c>
      <c r="B10" s="86">
        <v>3.681</v>
      </c>
      <c r="C10" s="86">
        <v>13.36</v>
      </c>
      <c r="D10" s="86">
        <v>24.6</v>
      </c>
      <c r="E10" s="86">
        <v>14.2</v>
      </c>
      <c r="F10" s="86">
        <v>23.9</v>
      </c>
      <c r="G10" s="86">
        <v>11.5</v>
      </c>
      <c r="H10" s="86">
        <v>21.8</v>
      </c>
      <c r="I10" s="86">
        <v>11.6</v>
      </c>
      <c r="J10" s="86">
        <v>16.8</v>
      </c>
      <c r="K10" s="86">
        <v>16</v>
      </c>
      <c r="L10" s="86">
        <v>32</v>
      </c>
      <c r="M10" s="86">
        <v>25</v>
      </c>
      <c r="N10" s="86">
        <v>0.4</v>
      </c>
      <c r="O10" s="134">
        <f>RATE(5,,-H10,M10)</f>
        <v>2.777181342422793E-2</v>
      </c>
      <c r="P10" s="52" t="str">
        <f>A10</f>
        <v>Cash &amp; Equivalents</v>
      </c>
      <c r="Q10" s="31">
        <f t="shared" ref="Q10:AB11" si="2">B10/B$45</f>
        <v>1.0017724923234183E-3</v>
      </c>
      <c r="R10" s="31">
        <f t="shared" si="2"/>
        <v>3.066278669189155E-3</v>
      </c>
      <c r="S10" s="31">
        <f t="shared" si="2"/>
        <v>4.8571484984303113E-3</v>
      </c>
      <c r="T10" s="31">
        <f t="shared" si="2"/>
        <v>2.3888832811816566E-3</v>
      </c>
      <c r="U10" s="31">
        <f t="shared" si="2"/>
        <v>2.7691844230479565E-3</v>
      </c>
      <c r="V10" s="31">
        <f t="shared" si="2"/>
        <v>1.2751424833122658E-3</v>
      </c>
      <c r="W10" s="31">
        <f t="shared" si="2"/>
        <v>6.4619397676073031E-3</v>
      </c>
      <c r="X10" s="31">
        <f t="shared" si="2"/>
        <v>3.2835144927536226E-3</v>
      </c>
      <c r="Y10" s="31">
        <f t="shared" si="2"/>
        <v>4.4172166276654481E-3</v>
      </c>
      <c r="Z10" s="31">
        <f t="shared" si="2"/>
        <v>3.9464272500801621E-3</v>
      </c>
      <c r="AA10" s="31">
        <f t="shared" si="2"/>
        <v>7.5299432901145963E-3</v>
      </c>
      <c r="AB10" s="31">
        <f t="shared" si="2"/>
        <v>5.710630910502992E-3</v>
      </c>
      <c r="AC10" s="31">
        <f t="shared" ref="AC10:AC11" si="3">N10/N$45</f>
        <v>9.5712098009188365E-5</v>
      </c>
      <c r="AD10" s="31">
        <f>SUM(H10:L10)/SUM(H$45:L$45)</f>
        <v>5.1646970342437296E-3</v>
      </c>
      <c r="AE10" s="2"/>
    </row>
    <row r="11" spans="1:31" ht="15" x14ac:dyDescent="0.2">
      <c r="A11" s="56" t="s">
        <v>98</v>
      </c>
      <c r="B11" s="86">
        <v>253.36500000000001</v>
      </c>
      <c r="C11" s="86">
        <v>355.81</v>
      </c>
      <c r="D11" s="86">
        <v>333.3</v>
      </c>
      <c r="E11" s="86">
        <v>333</v>
      </c>
      <c r="F11" s="86">
        <v>362.4</v>
      </c>
      <c r="G11" s="86">
        <v>119.5</v>
      </c>
      <c r="H11" s="86">
        <v>159.19999999999999</v>
      </c>
      <c r="I11" s="86">
        <v>123.9</v>
      </c>
      <c r="J11" s="86">
        <f>103.6</f>
        <v>103.6</v>
      </c>
      <c r="K11" s="86">
        <f>119.3</f>
        <v>119.3</v>
      </c>
      <c r="L11" s="86">
        <v>89.6</v>
      </c>
      <c r="M11" s="86">
        <v>106.7</v>
      </c>
      <c r="N11" s="86">
        <v>107.1</v>
      </c>
      <c r="O11" s="134">
        <f>RATE(5,,-H11,M11)</f>
        <v>-7.6909521759223165E-2</v>
      </c>
      <c r="P11" s="52" t="str">
        <f>A11</f>
        <v>Accounts Receivable, net</v>
      </c>
      <c r="Q11" s="31">
        <f t="shared" si="2"/>
        <v>6.8952482346515326E-2</v>
      </c>
      <c r="R11" s="31">
        <f t="shared" si="2"/>
        <v>8.1662620754804877E-2</v>
      </c>
      <c r="S11" s="31">
        <f t="shared" si="2"/>
        <v>6.580843880190336E-2</v>
      </c>
      <c r="T11" s="31">
        <f t="shared" si="2"/>
        <v>5.6020995255879689E-2</v>
      </c>
      <c r="U11" s="31">
        <f t="shared" si="2"/>
        <v>4.1989641628141394E-2</v>
      </c>
      <c r="V11" s="31">
        <f t="shared" si="2"/>
        <v>1.32503936309405E-2</v>
      </c>
      <c r="W11" s="31">
        <f t="shared" si="2"/>
        <v>4.7189945458856998E-2</v>
      </c>
      <c r="X11" s="31">
        <f t="shared" si="2"/>
        <v>3.5071331521739128E-2</v>
      </c>
      <c r="Y11" s="31">
        <f t="shared" si="2"/>
        <v>2.7239502537270262E-2</v>
      </c>
      <c r="Z11" s="31">
        <f t="shared" si="2"/>
        <v>2.9425548183410203E-2</v>
      </c>
      <c r="AA11" s="31">
        <f t="shared" si="2"/>
        <v>2.1083841212320868E-2</v>
      </c>
      <c r="AB11" s="31">
        <f t="shared" si="2"/>
        <v>2.437297272602677E-2</v>
      </c>
      <c r="AC11" s="31">
        <f t="shared" si="3"/>
        <v>2.5626914241960185E-2</v>
      </c>
      <c r="AD11" s="31">
        <f>SUM(H11:L11)/SUM(H$45:L$45)</f>
        <v>3.1324781604842825E-2</v>
      </c>
      <c r="AE11" s="2"/>
    </row>
    <row r="12" spans="1:31" ht="15" x14ac:dyDescent="0.2">
      <c r="A12" s="61" t="s">
        <v>162</v>
      </c>
      <c r="B12" s="86"/>
      <c r="C12" s="86"/>
      <c r="D12" s="86"/>
      <c r="E12" s="86"/>
      <c r="F12" s="86"/>
      <c r="G12" s="86">
        <v>39.299999999999997</v>
      </c>
      <c r="H12" s="86"/>
      <c r="I12" s="86"/>
      <c r="J12" s="86"/>
      <c r="K12" s="86"/>
      <c r="L12" s="86"/>
      <c r="M12" s="86"/>
      <c r="N12" s="86"/>
      <c r="O12" s="31"/>
      <c r="P12" s="52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2"/>
    </row>
    <row r="13" spans="1:31" ht="15" x14ac:dyDescent="0.2">
      <c r="A13" s="61" t="s">
        <v>124</v>
      </c>
      <c r="B13" s="86"/>
      <c r="C13" s="86">
        <v>11.273999999999999</v>
      </c>
      <c r="D13" s="86">
        <v>10</v>
      </c>
      <c r="E13" s="86">
        <v>6.6</v>
      </c>
      <c r="F13" s="86">
        <v>24.2</v>
      </c>
      <c r="G13" s="86">
        <v>3.3</v>
      </c>
      <c r="H13" s="86"/>
      <c r="I13" s="86"/>
      <c r="J13" s="86">
        <v>10.7</v>
      </c>
      <c r="K13" s="86">
        <v>4.5</v>
      </c>
      <c r="L13" s="86">
        <v>28.5</v>
      </c>
      <c r="M13" s="86">
        <v>61.3</v>
      </c>
      <c r="N13" s="86"/>
      <c r="O13" s="134"/>
      <c r="P13" s="52" t="str">
        <f t="shared" ref="P13:P19" si="4">A13</f>
        <v>Federal Income Tax Recoverable</v>
      </c>
      <c r="Q13" s="31">
        <f t="shared" ref="Q13:Q22" si="5">B13/B$45</f>
        <v>0</v>
      </c>
      <c r="R13" s="31">
        <f t="shared" ref="R13:R22" si="6">C13/C$45</f>
        <v>2.5875168949430036E-3</v>
      </c>
      <c r="S13" s="31">
        <f t="shared" ref="S13:S22" si="7">D13/D$45</f>
        <v>1.9744506091180125E-3</v>
      </c>
      <c r="T13" s="31">
        <f t="shared" ref="T13:T22" si="8">E13/E$45</f>
        <v>1.1103260320985164E-3</v>
      </c>
      <c r="U13" s="31">
        <f t="shared" ref="U13:U22" si="9">F13/F$45</f>
        <v>2.8039440601573449E-3</v>
      </c>
      <c r="V13" s="31">
        <f t="shared" ref="V13:V22" si="10">G13/G$45</f>
        <v>3.6591045173308491E-4</v>
      </c>
      <c r="W13" s="31"/>
      <c r="X13" s="31"/>
      <c r="Y13" s="31"/>
      <c r="Z13" s="31"/>
      <c r="AA13" s="31"/>
      <c r="AB13" s="31"/>
      <c r="AC13" s="31"/>
      <c r="AD13" s="31">
        <f t="shared" ref="AD13:AD17" si="11">SUM(H13:L13)/SUM(H$45:L$45)</f>
        <v>2.298342773894613E-3</v>
      </c>
      <c r="AE13" s="2"/>
    </row>
    <row r="14" spans="1:31" ht="15" x14ac:dyDescent="0.2">
      <c r="A14" s="61" t="s">
        <v>125</v>
      </c>
      <c r="B14" s="86">
        <v>59.16</v>
      </c>
      <c r="C14" s="86">
        <v>86.161000000000001</v>
      </c>
      <c r="D14" s="86">
        <v>67.5</v>
      </c>
      <c r="E14" s="86">
        <v>78.2</v>
      </c>
      <c r="F14" s="86">
        <v>95.8</v>
      </c>
      <c r="G14" s="86">
        <v>86.9</v>
      </c>
      <c r="H14" s="86">
        <v>81.599999999999994</v>
      </c>
      <c r="I14" s="86">
        <v>75.400000000000006</v>
      </c>
      <c r="J14" s="86">
        <v>78.3</v>
      </c>
      <c r="K14" s="86">
        <v>93.4</v>
      </c>
      <c r="L14" s="86">
        <v>93.7</v>
      </c>
      <c r="M14" s="86">
        <v>91.3</v>
      </c>
      <c r="N14" s="86">
        <v>58.7</v>
      </c>
      <c r="O14" s="134">
        <f t="shared" ref="O14" si="12">RATE(5,,-H14,M14)</f>
        <v>2.2718527708568415E-2</v>
      </c>
      <c r="P14" s="52" t="str">
        <f t="shared" si="4"/>
        <v>Unbilled Gas Accounts Receivable</v>
      </c>
      <c r="Q14" s="31">
        <f t="shared" si="5"/>
        <v>1.6100206641090308E-2</v>
      </c>
      <c r="R14" s="31">
        <f t="shared" si="6"/>
        <v>1.9774972785629251E-2</v>
      </c>
      <c r="S14" s="31">
        <f t="shared" si="7"/>
        <v>1.3327541611546586E-2</v>
      </c>
      <c r="T14" s="31">
        <f t="shared" si="8"/>
        <v>1.3155681168197573E-2</v>
      </c>
      <c r="U14" s="31">
        <f t="shared" si="9"/>
        <v>1.1099910783598085E-2</v>
      </c>
      <c r="V14" s="31">
        <f t="shared" si="10"/>
        <v>9.6356418956379045E-3</v>
      </c>
      <c r="W14" s="31">
        <f t="shared" ref="W14:AB14" si="13">H14/H$45</f>
        <v>2.4187811240218161E-2</v>
      </c>
      <c r="X14" s="31">
        <f t="shared" si="13"/>
        <v>2.1342844202898548E-2</v>
      </c>
      <c r="Y14" s="31">
        <f t="shared" si="13"/>
        <v>2.0587384639655034E-2</v>
      </c>
      <c r="Z14" s="31">
        <f t="shared" si="13"/>
        <v>2.3037269072342943E-2</v>
      </c>
      <c r="AA14" s="31">
        <f t="shared" si="13"/>
        <v>2.2048615196366805E-2</v>
      </c>
      <c r="AB14" s="31">
        <f t="shared" si="13"/>
        <v>2.0855224085156925E-2</v>
      </c>
      <c r="AC14" s="31">
        <f t="shared" ref="AC14" si="14">N14/N$45</f>
        <v>1.4045750382848393E-2</v>
      </c>
      <c r="AD14" s="31">
        <f t="shared" si="11"/>
        <v>2.2215560359109484E-2</v>
      </c>
      <c r="AE14" s="2"/>
    </row>
    <row r="15" spans="1:31" ht="15.75" x14ac:dyDescent="0.25">
      <c r="A15" s="61" t="s">
        <v>126</v>
      </c>
      <c r="B15" s="86">
        <v>9.3339999999999996</v>
      </c>
      <c r="C15" s="86">
        <v>7.1219999999999999</v>
      </c>
      <c r="D15" s="86">
        <v>155.5</v>
      </c>
      <c r="E15" s="86">
        <v>78.099999999999994</v>
      </c>
      <c r="F15" s="86">
        <v>431.3</v>
      </c>
      <c r="G15" s="111"/>
      <c r="H15" s="111"/>
      <c r="I15" s="111"/>
      <c r="J15" s="111"/>
      <c r="K15" s="111"/>
      <c r="L15" s="111"/>
      <c r="M15" s="111"/>
      <c r="N15" s="111"/>
      <c r="O15" s="65"/>
      <c r="P15" s="52" t="str">
        <f t="shared" si="4"/>
        <v>Fair Value of Derivative Contracts</v>
      </c>
      <c r="Q15" s="31">
        <f t="shared" si="5"/>
        <v>2.5402185393498468E-3</v>
      </c>
      <c r="R15" s="31">
        <f t="shared" si="6"/>
        <v>1.6345835839794282E-3</v>
      </c>
      <c r="S15" s="31">
        <f t="shared" si="7"/>
        <v>3.0702706971785097E-2</v>
      </c>
      <c r="T15" s="31">
        <f t="shared" si="8"/>
        <v>1.313885804649911E-2</v>
      </c>
      <c r="U15" s="31">
        <f t="shared" si="9"/>
        <v>4.9972771617597646E-2</v>
      </c>
      <c r="V15" s="31"/>
      <c r="W15" s="31"/>
      <c r="X15" s="31"/>
      <c r="Y15" s="31"/>
      <c r="Z15" s="31"/>
      <c r="AA15" s="31"/>
      <c r="AB15" s="31"/>
      <c r="AC15" s="31"/>
      <c r="AD15" s="31">
        <f t="shared" si="11"/>
        <v>0</v>
      </c>
      <c r="AE15" s="2"/>
    </row>
    <row r="16" spans="1:31" ht="15" x14ac:dyDescent="0.2">
      <c r="A16" s="61" t="s">
        <v>127</v>
      </c>
      <c r="B16" s="86">
        <v>66.944000000000003</v>
      </c>
      <c r="C16" s="86">
        <v>90.718000000000004</v>
      </c>
      <c r="D16" s="86">
        <v>77.900000000000006</v>
      </c>
      <c r="E16" s="86">
        <v>66.099999999999994</v>
      </c>
      <c r="F16" s="86">
        <v>85.5</v>
      </c>
      <c r="G16" s="86">
        <v>42.9</v>
      </c>
      <c r="H16" s="86">
        <v>43.7</v>
      </c>
      <c r="I16" s="86">
        <v>40.299999999999997</v>
      </c>
      <c r="J16" s="86">
        <v>39</v>
      </c>
      <c r="K16" s="86">
        <v>40</v>
      </c>
      <c r="L16" s="86">
        <v>43.7</v>
      </c>
      <c r="M16" s="86">
        <v>45.1</v>
      </c>
      <c r="N16" s="86">
        <v>39.700000000000003</v>
      </c>
      <c r="O16" s="134">
        <f t="shared" ref="O16:O17" si="15">RATE(5,,-H16,M16)</f>
        <v>6.3267588028589989E-3</v>
      </c>
      <c r="P16" s="52" t="str">
        <f t="shared" si="4"/>
        <v>Gas &amp; Oil Storage</v>
      </c>
      <c r="Q16" s="31">
        <f t="shared" si="5"/>
        <v>1.8218597589268925E-2</v>
      </c>
      <c r="R16" s="31">
        <f t="shared" si="6"/>
        <v>2.0820858406549535E-2</v>
      </c>
      <c r="S16" s="31">
        <f t="shared" si="7"/>
        <v>1.5380970245029319E-2</v>
      </c>
      <c r="T16" s="31">
        <f t="shared" si="8"/>
        <v>1.1120083442683625E-2</v>
      </c>
      <c r="U16" s="31">
        <f t="shared" si="9"/>
        <v>9.9064965761757433E-3</v>
      </c>
      <c r="V16" s="31">
        <f t="shared" si="10"/>
        <v>4.7568358725301038E-3</v>
      </c>
      <c r="W16" s="31"/>
      <c r="X16" s="31"/>
      <c r="Y16" s="31"/>
      <c r="Z16" s="31"/>
      <c r="AA16" s="31"/>
      <c r="AB16" s="31"/>
      <c r="AC16" s="31"/>
      <c r="AD16" s="31">
        <f t="shared" si="11"/>
        <v>1.0871108726865364E-2</v>
      </c>
      <c r="AE16" s="2"/>
    </row>
    <row r="17" spans="1:33" ht="15" x14ac:dyDescent="0.2">
      <c r="A17" s="61" t="s">
        <v>55</v>
      </c>
      <c r="B17" s="86"/>
      <c r="C17" s="86"/>
      <c r="D17" s="86"/>
      <c r="E17" s="86">
        <v>9.4</v>
      </c>
      <c r="F17" s="86">
        <v>20.6</v>
      </c>
      <c r="G17" s="86">
        <v>43.4</v>
      </c>
      <c r="H17" s="86">
        <v>53.5</v>
      </c>
      <c r="I17" s="86">
        <v>31.7</v>
      </c>
      <c r="J17" s="86">
        <v>46.7</v>
      </c>
      <c r="K17" s="86">
        <v>35.799999999999997</v>
      </c>
      <c r="L17" s="86">
        <v>79.599999999999994</v>
      </c>
      <c r="M17" s="86">
        <v>70</v>
      </c>
      <c r="N17" s="86">
        <v>20.3</v>
      </c>
      <c r="O17" s="134">
        <f t="shared" si="15"/>
        <v>5.5234183977721431E-2</v>
      </c>
      <c r="P17" s="52" t="str">
        <f t="shared" si="4"/>
        <v>Regulatory Assets</v>
      </c>
      <c r="Q17" s="31">
        <f t="shared" si="5"/>
        <v>0</v>
      </c>
      <c r="R17" s="31">
        <f t="shared" si="6"/>
        <v>0</v>
      </c>
      <c r="S17" s="31">
        <f t="shared" si="7"/>
        <v>0</v>
      </c>
      <c r="T17" s="31">
        <f t="shared" si="8"/>
        <v>1.5813734396554627E-3</v>
      </c>
      <c r="U17" s="31">
        <f t="shared" si="9"/>
        <v>2.3868284148446822E-3</v>
      </c>
      <c r="V17" s="31">
        <f t="shared" si="10"/>
        <v>4.8122768500654198E-3</v>
      </c>
      <c r="W17" s="31">
        <f t="shared" ref="W17:AB17" si="16">H17/H$45</f>
        <v>1.5858430163623427E-2</v>
      </c>
      <c r="X17" s="31">
        <f t="shared" si="16"/>
        <v>8.9730525362318823E-3</v>
      </c>
      <c r="Y17" s="31">
        <f t="shared" si="16"/>
        <v>1.2278810506665265E-2</v>
      </c>
      <c r="Z17" s="31">
        <f t="shared" si="16"/>
        <v>8.8301309720543609E-3</v>
      </c>
      <c r="AA17" s="31">
        <f t="shared" si="16"/>
        <v>1.8730733934160058E-2</v>
      </c>
      <c r="AB17" s="31">
        <f t="shared" si="16"/>
        <v>1.5989766549408379E-2</v>
      </c>
      <c r="AC17" s="31">
        <f t="shared" ref="AC17" si="17">N17/N$45</f>
        <v>4.8573889739663093E-3</v>
      </c>
      <c r="AD17" s="31">
        <f t="shared" si="11"/>
        <v>1.3006411166685073E-2</v>
      </c>
      <c r="AE17" s="2"/>
    </row>
    <row r="18" spans="1:33" ht="15" x14ac:dyDescent="0.2">
      <c r="A18" s="61" t="s">
        <v>175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31"/>
      <c r="P18" s="52" t="str">
        <f t="shared" si="4"/>
        <v>Inventories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2"/>
    </row>
    <row r="19" spans="1:33" ht="15" hidden="1" x14ac:dyDescent="0.2">
      <c r="A19" s="61" t="s">
        <v>145</v>
      </c>
      <c r="B19" s="86">
        <v>35.853000000000002</v>
      </c>
      <c r="C19" s="86">
        <v>39.851999999999997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31"/>
      <c r="P19" s="52" t="str">
        <f t="shared" si="4"/>
        <v>Purchased Gas Adjustments</v>
      </c>
      <c r="Q19" s="31">
        <f t="shared" si="5"/>
        <v>9.7572804040400758E-3</v>
      </c>
      <c r="R19" s="31">
        <f t="shared" si="6"/>
        <v>9.1465072997399845E-3</v>
      </c>
      <c r="S19" s="31">
        <f t="shared" si="7"/>
        <v>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2"/>
    </row>
    <row r="20" spans="1:33" ht="15" x14ac:dyDescent="0.2">
      <c r="A20" s="56" t="s">
        <v>87</v>
      </c>
      <c r="B20" s="86">
        <v>18.486999999999998</v>
      </c>
      <c r="C20" s="86">
        <v>34.698999999999998</v>
      </c>
      <c r="D20" s="86">
        <v>56.9</v>
      </c>
      <c r="E20" s="86">
        <v>48.9</v>
      </c>
      <c r="F20" s="86">
        <v>106.9</v>
      </c>
      <c r="G20" s="86">
        <v>19.899999999999999</v>
      </c>
      <c r="H20" s="86">
        <v>19</v>
      </c>
      <c r="I20" s="86">
        <v>25.7</v>
      </c>
      <c r="J20" s="86">
        <v>24.5</v>
      </c>
      <c r="K20" s="86">
        <v>23.7</v>
      </c>
      <c r="L20" s="86">
        <v>30.4</v>
      </c>
      <c r="M20" s="86">
        <v>28.4</v>
      </c>
      <c r="N20" s="86"/>
      <c r="O20" s="134">
        <f t="shared" ref="O20:O22" si="18">RATE(5,,-H20,M20)</f>
        <v>8.3709668005790369E-2</v>
      </c>
      <c r="P20" s="52" t="str">
        <f>A20</f>
        <v>Material and Supplies</v>
      </c>
      <c r="Q20" s="31">
        <f t="shared" si="5"/>
        <v>5.0311785019242139E-3</v>
      </c>
      <c r="R20" s="31">
        <f t="shared" si="6"/>
        <v>7.9638326004636585E-3</v>
      </c>
      <c r="S20" s="31">
        <f t="shared" si="7"/>
        <v>1.1234623965881492E-2</v>
      </c>
      <c r="T20" s="31">
        <f t="shared" si="8"/>
        <v>8.2265065105480983E-3</v>
      </c>
      <c r="U20" s="31">
        <f t="shared" si="9"/>
        <v>1.2386017356645462E-2</v>
      </c>
      <c r="V20" s="31">
        <f t="shared" si="10"/>
        <v>2.2065509059055726E-3</v>
      </c>
      <c r="W20" s="31"/>
      <c r="X20" s="31"/>
      <c r="Y20" s="31">
        <f t="shared" ref="Y20:AB22" si="19">J20/J$45</f>
        <v>6.4417742486787789E-3</v>
      </c>
      <c r="Z20" s="31">
        <f t="shared" si="19"/>
        <v>5.845645364181239E-3</v>
      </c>
      <c r="AA20" s="31">
        <f t="shared" si="19"/>
        <v>7.1534461256088661E-3</v>
      </c>
      <c r="AB20" s="31">
        <f t="shared" si="19"/>
        <v>6.4872767143313989E-3</v>
      </c>
      <c r="AC20" s="31">
        <f t="shared" ref="AC20:AC22" si="20">N20/N$45</f>
        <v>0</v>
      </c>
      <c r="AD20" s="31">
        <f t="shared" ref="AD20:AD22" si="21">SUM(H20:L20)/SUM(H$45:L$45)</f>
        <v>6.4847978036889197E-3</v>
      </c>
      <c r="AE20" s="2"/>
    </row>
    <row r="21" spans="1:33" ht="15" x14ac:dyDescent="0.2">
      <c r="A21" s="61" t="s">
        <v>10</v>
      </c>
      <c r="B21" s="86">
        <v>26.013000000000002</v>
      </c>
      <c r="C21" s="86">
        <v>86.733999999999995</v>
      </c>
      <c r="D21" s="86"/>
      <c r="E21" s="86"/>
      <c r="F21" s="86"/>
      <c r="G21" s="86">
        <v>14.3</v>
      </c>
      <c r="H21" s="86">
        <v>11.8</v>
      </c>
      <c r="I21" s="86">
        <v>16.100000000000001</v>
      </c>
      <c r="J21" s="86">
        <v>13</v>
      </c>
      <c r="K21" s="86">
        <v>9.6999999999999993</v>
      </c>
      <c r="L21" s="86">
        <v>5.8</v>
      </c>
      <c r="M21" s="86"/>
      <c r="N21" s="86"/>
      <c r="O21" s="134"/>
      <c r="P21" s="52" t="str">
        <f>A21</f>
        <v>Deferred Income Taxes</v>
      </c>
      <c r="Q21" s="31">
        <f t="shared" si="5"/>
        <v>7.0793555671852977E-3</v>
      </c>
      <c r="R21" s="31">
        <f t="shared" si="6"/>
        <v>1.9906483090827258E-2</v>
      </c>
      <c r="S21" s="31">
        <f t="shared" si="7"/>
        <v>0</v>
      </c>
      <c r="T21" s="31">
        <f t="shared" si="8"/>
        <v>0</v>
      </c>
      <c r="U21" s="31">
        <f t="shared" si="9"/>
        <v>0</v>
      </c>
      <c r="V21" s="31">
        <f t="shared" si="10"/>
        <v>1.5856119575100348E-3</v>
      </c>
      <c r="W21" s="31">
        <f>H21/H$45</f>
        <v>3.4977472136589992E-3</v>
      </c>
      <c r="X21" s="31">
        <f>I21/I$45</f>
        <v>4.5572916666666661E-3</v>
      </c>
      <c r="Y21" s="31">
        <f t="shared" si="19"/>
        <v>3.4180842952173112E-3</v>
      </c>
      <c r="Z21" s="31">
        <f t="shared" si="19"/>
        <v>2.3925215203610978E-3</v>
      </c>
      <c r="AA21" s="31">
        <f t="shared" si="19"/>
        <v>1.3648022213332705E-3</v>
      </c>
      <c r="AB21" s="31">
        <f t="shared" si="19"/>
        <v>0</v>
      </c>
      <c r="AC21" s="31">
        <f t="shared" si="20"/>
        <v>0</v>
      </c>
      <c r="AD21" s="31">
        <f t="shared" si="21"/>
        <v>2.9662822070401869E-3</v>
      </c>
      <c r="AE21" s="2"/>
    </row>
    <row r="22" spans="1:33" ht="15" x14ac:dyDescent="0.2">
      <c r="A22" s="52" t="s">
        <v>128</v>
      </c>
      <c r="B22" s="86">
        <v>23.69</v>
      </c>
      <c r="C22" s="86">
        <v>30.11</v>
      </c>
      <c r="D22" s="86">
        <v>27.7</v>
      </c>
      <c r="E22" s="86">
        <v>24.4</v>
      </c>
      <c r="F22" s="86">
        <v>34.4</v>
      </c>
      <c r="G22" s="86">
        <v>8.6</v>
      </c>
      <c r="H22" s="86">
        <v>9</v>
      </c>
      <c r="I22" s="86">
        <v>10.7</v>
      </c>
      <c r="J22" s="86">
        <v>13.1</v>
      </c>
      <c r="K22" s="86">
        <v>9.5</v>
      </c>
      <c r="L22" s="86">
        <v>11.2</v>
      </c>
      <c r="M22" s="86">
        <v>12.3</v>
      </c>
      <c r="N22" s="86">
        <v>8.4</v>
      </c>
      <c r="O22" s="134">
        <f t="shared" si="18"/>
        <v>6.4467779836540187E-2</v>
      </c>
      <c r="P22" s="52" t="str">
        <f>A22</f>
        <v>Prepaid Expenses &amp; Other</v>
      </c>
      <c r="Q22" s="57">
        <f t="shared" si="5"/>
        <v>6.4471584740944804E-3</v>
      </c>
      <c r="R22" s="57">
        <f t="shared" si="6"/>
        <v>6.9106025994974144E-3</v>
      </c>
      <c r="S22" s="57">
        <f t="shared" si="7"/>
        <v>5.4692281872568945E-3</v>
      </c>
      <c r="T22" s="57">
        <f t="shared" si="8"/>
        <v>4.1048416944248177E-3</v>
      </c>
      <c r="U22" s="57">
        <f t="shared" si="9"/>
        <v>3.9857717218765567E-3</v>
      </c>
      <c r="V22" s="57">
        <f t="shared" si="10"/>
        <v>9.5358481360743343E-4</v>
      </c>
      <c r="W22" s="57">
        <f>H22/H$45</f>
        <v>2.6677732985534736E-3</v>
      </c>
      <c r="X22" s="57">
        <f>I22/I$45</f>
        <v>3.0287590579710136E-3</v>
      </c>
      <c r="Y22" s="57">
        <f t="shared" si="19"/>
        <v>3.4443772513343671E-3</v>
      </c>
      <c r="Z22" s="57">
        <f t="shared" si="19"/>
        <v>2.3431911797350958E-3</v>
      </c>
      <c r="AA22" s="57">
        <f t="shared" si="19"/>
        <v>2.6354801515401085E-3</v>
      </c>
      <c r="AB22" s="57">
        <f t="shared" si="19"/>
        <v>2.8096304079674723E-3</v>
      </c>
      <c r="AC22" s="57">
        <f t="shared" si="20"/>
        <v>2.0099540581929557E-3</v>
      </c>
      <c r="AD22" s="31">
        <f t="shared" si="21"/>
        <v>2.8137606041959218E-3</v>
      </c>
      <c r="AE22" s="2"/>
    </row>
    <row r="23" spans="1:33" ht="15" x14ac:dyDescent="0.2">
      <c r="A23" s="127" t="s">
        <v>163</v>
      </c>
      <c r="B23" s="86"/>
      <c r="C23" s="86"/>
      <c r="D23" s="86"/>
      <c r="E23" s="86"/>
      <c r="F23" s="86"/>
      <c r="G23" s="86">
        <v>562.4</v>
      </c>
      <c r="H23" s="86"/>
      <c r="I23" s="86"/>
      <c r="J23" s="86"/>
      <c r="K23" s="86"/>
      <c r="L23" s="86"/>
      <c r="M23" s="86"/>
      <c r="N23" s="86"/>
      <c r="O23" s="37"/>
      <c r="P23" s="52" t="str">
        <f>A23</f>
        <v>Current Assets From Discontinued Operations</v>
      </c>
      <c r="Q23" s="58"/>
      <c r="R23" s="58"/>
      <c r="S23" s="58"/>
      <c r="T23" s="58"/>
      <c r="U23" s="58"/>
      <c r="V23" s="58">
        <f>G23/G$45</f>
        <v>6.2360011531723325E-2</v>
      </c>
      <c r="W23" s="58"/>
      <c r="X23" s="58"/>
      <c r="Y23" s="58"/>
      <c r="Z23" s="58"/>
      <c r="AA23" s="58"/>
      <c r="AB23" s="58"/>
      <c r="AC23" s="58"/>
      <c r="AD23" s="58"/>
      <c r="AE23" s="2"/>
    </row>
    <row r="24" spans="1:33" ht="15" x14ac:dyDescent="0.2">
      <c r="A24" s="52" t="s">
        <v>36</v>
      </c>
      <c r="B24" s="95">
        <f t="shared" ref="B24:F24" si="22">SUM(B9:B22)</f>
        <v>496.52700000000004</v>
      </c>
      <c r="C24" s="95">
        <f t="shared" si="22"/>
        <v>755.84</v>
      </c>
      <c r="D24" s="95">
        <f t="shared" si="22"/>
        <v>753.40000000000009</v>
      </c>
      <c r="E24" s="95">
        <f t="shared" si="22"/>
        <v>658.9</v>
      </c>
      <c r="F24" s="95">
        <f t="shared" si="22"/>
        <v>1185</v>
      </c>
      <c r="G24" s="95">
        <f>SUM(G9:G23)</f>
        <v>952</v>
      </c>
      <c r="H24" s="95">
        <f t="shared" ref="H24" si="23">SUM(H9:H22)</f>
        <v>399.6</v>
      </c>
      <c r="I24" s="95">
        <f t="shared" ref="I24" si="24">SUM(I9:I22)</f>
        <v>335.4</v>
      </c>
      <c r="J24" s="95">
        <f t="shared" ref="J24:K24" si="25">SUM(J9:J22)</f>
        <v>345.7</v>
      </c>
      <c r="K24" s="95">
        <f t="shared" si="25"/>
        <v>351.90000000000003</v>
      </c>
      <c r="L24" s="95">
        <f t="shared" ref="L24:N24" si="26">SUM(L9:L22)</f>
        <v>414.5</v>
      </c>
      <c r="M24" s="95">
        <f t="shared" ref="M24" si="27">SUM(M9:M22)</f>
        <v>440.1</v>
      </c>
      <c r="N24" s="95">
        <f t="shared" si="26"/>
        <v>234.6</v>
      </c>
      <c r="O24" s="134">
        <f>RATE(5,,-H24,M24)</f>
        <v>1.9495182237875216E-2</v>
      </c>
      <c r="P24" s="52" t="str">
        <f>A24</f>
        <v>Total Current Assets</v>
      </c>
      <c r="Q24" s="31">
        <f>B24/B$45</f>
        <v>0.13512825055579189</v>
      </c>
      <c r="R24" s="31">
        <f>C24/C$45</f>
        <v>0.17347425668562358</v>
      </c>
      <c r="S24" s="31">
        <f>D24/D$45</f>
        <v>0.14875510889095109</v>
      </c>
      <c r="T24" s="31">
        <f>E24/E$45</f>
        <v>0.11084754887116854</v>
      </c>
      <c r="U24" s="31">
        <f>F24/F$45</f>
        <v>0.13730056658208487</v>
      </c>
      <c r="V24" s="31">
        <f>G24/G$45</f>
        <v>0.10555962122724147</v>
      </c>
      <c r="W24" s="31">
        <f t="shared" ref="W24:AB24" si="28">H24/H$45</f>
        <v>0.11844913445577424</v>
      </c>
      <c r="X24" s="31">
        <f t="shared" si="28"/>
        <v>9.4938858695652148E-2</v>
      </c>
      <c r="Y24" s="31">
        <f t="shared" si="28"/>
        <v>9.0894749296663413E-2</v>
      </c>
      <c r="Z24" s="31">
        <f t="shared" si="28"/>
        <v>8.6796734331450562E-2</v>
      </c>
      <c r="AA24" s="31">
        <f t="shared" si="28"/>
        <v>9.7536296679765641E-2</v>
      </c>
      <c r="AB24" s="31">
        <f t="shared" si="28"/>
        <v>0.10052994654849468</v>
      </c>
      <c r="AC24" s="31">
        <f t="shared" ref="AC24" si="29">N24/N$45</f>
        <v>5.6135145482388973E-2</v>
      </c>
      <c r="AD24" s="31">
        <f>SUM(H24:L24)/SUM(H$45:L$45)</f>
        <v>9.7145742280566119E-2</v>
      </c>
      <c r="AE24" s="2"/>
    </row>
    <row r="25" spans="1:33" ht="15" x14ac:dyDescent="0.2">
      <c r="A25" s="52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31"/>
      <c r="P25" s="52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"/>
    </row>
    <row r="26" spans="1:33" ht="15" customHeight="1" x14ac:dyDescent="0.25">
      <c r="A26" s="77" t="s">
        <v>23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31"/>
      <c r="P26" s="64" t="s">
        <v>23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"/>
    </row>
    <row r="27" spans="1:33" ht="15" customHeight="1" x14ac:dyDescent="0.2">
      <c r="A27" s="52" t="s">
        <v>105</v>
      </c>
      <c r="B27" s="86">
        <v>4877.7709999999997</v>
      </c>
      <c r="C27" s="86">
        <v>5527.9970000000003</v>
      </c>
      <c r="D27" s="86">
        <v>6414.1</v>
      </c>
      <c r="E27" s="86">
        <v>7741.9</v>
      </c>
      <c r="F27" s="86">
        <v>10229.799999999999</v>
      </c>
      <c r="G27" s="86">
        <v>4338.8999999999996</v>
      </c>
      <c r="H27" s="86">
        <v>4642.8</v>
      </c>
      <c r="I27" s="86">
        <v>4984.1000000000004</v>
      </c>
      <c r="J27" s="86">
        <v>5333.3</v>
      </c>
      <c r="K27" s="86">
        <v>5674.7</v>
      </c>
      <c r="L27" s="86">
        <v>5961.5</v>
      </c>
      <c r="M27" s="86">
        <v>6182</v>
      </c>
      <c r="N27" s="86">
        <v>6240.9</v>
      </c>
      <c r="O27" s="134">
        <f>RATE(5,,-H27,M27)</f>
        <v>5.8936224302290799E-2</v>
      </c>
      <c r="P27" s="52" t="str">
        <f>A27</f>
        <v>Plant in Service</v>
      </c>
      <c r="Q27" s="31">
        <f t="shared" ref="Q27:AB27" si="30">B27/B$45</f>
        <v>1.3274699298160533</v>
      </c>
      <c r="R27" s="31">
        <f t="shared" si="30"/>
        <v>1.2687409644043146</v>
      </c>
      <c r="S27" s="31">
        <f t="shared" si="30"/>
        <v>1.2664323651943845</v>
      </c>
      <c r="T27" s="31">
        <f t="shared" si="30"/>
        <v>1.3024292587732582</v>
      </c>
      <c r="U27" s="31">
        <f t="shared" si="30"/>
        <v>1.1852804523387441</v>
      </c>
      <c r="V27" s="31">
        <f t="shared" si="30"/>
        <v>0.48110571485596426</v>
      </c>
      <c r="W27" s="31">
        <f t="shared" si="30"/>
        <v>1.3762153189471187</v>
      </c>
      <c r="X27" s="31">
        <f t="shared" si="30"/>
        <v>1.4108072916666665</v>
      </c>
      <c r="Y27" s="31">
        <f t="shared" si="30"/>
        <v>1.4022822285909604</v>
      </c>
      <c r="Z27" s="31">
        <f t="shared" si="30"/>
        <v>1.3996744197518682</v>
      </c>
      <c r="AA27" s="31">
        <f t="shared" si="30"/>
        <v>1.4028049038755677</v>
      </c>
      <c r="AB27" s="31">
        <f t="shared" si="30"/>
        <v>1.4121248115491798</v>
      </c>
      <c r="AC27" s="31">
        <f t="shared" ref="AC27" si="31">N27/N$45</f>
        <v>1.4933240811638591</v>
      </c>
      <c r="AD27" s="31">
        <f>SUM(H27:L27)/SUM(H$45:L$45)</f>
        <v>1.3988019165128303</v>
      </c>
      <c r="AE27" s="3"/>
      <c r="AG27" s="1"/>
    </row>
    <row r="28" spans="1:33" ht="15" customHeight="1" x14ac:dyDescent="0.2">
      <c r="A28" s="128" t="s">
        <v>111</v>
      </c>
      <c r="B28" s="8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37"/>
      <c r="P28" s="52" t="str">
        <f>A28</f>
        <v>Construction Work in Progress</v>
      </c>
      <c r="Q28" s="31">
        <f t="shared" ref="Q28:S29" si="32">B28/B$45</f>
        <v>0</v>
      </c>
      <c r="R28" s="31">
        <f t="shared" si="32"/>
        <v>0</v>
      </c>
      <c r="S28" s="31">
        <f t="shared" si="32"/>
        <v>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7"/>
      <c r="AE28" s="3"/>
      <c r="AG28" t="e">
        <f>AVERAGE(B28:E28)</f>
        <v>#DIV/0!</v>
      </c>
    </row>
    <row r="29" spans="1:33" ht="15" customHeight="1" x14ac:dyDescent="0.2">
      <c r="A29" s="52" t="s">
        <v>57</v>
      </c>
      <c r="B29" s="95">
        <f t="shared" ref="B29:H29" si="33">SUM(B27:B28)</f>
        <v>4877.7709999999997</v>
      </c>
      <c r="C29" s="95">
        <f t="shared" si="33"/>
        <v>5527.9970000000003</v>
      </c>
      <c r="D29" s="95">
        <f t="shared" si="33"/>
        <v>6414.1</v>
      </c>
      <c r="E29" s="95">
        <f t="shared" si="33"/>
        <v>7741.9</v>
      </c>
      <c r="F29" s="95">
        <f t="shared" si="33"/>
        <v>10229.799999999999</v>
      </c>
      <c r="G29" s="95">
        <f t="shared" si="33"/>
        <v>4338.8999999999996</v>
      </c>
      <c r="H29" s="95">
        <f t="shared" si="33"/>
        <v>4642.8</v>
      </c>
      <c r="I29" s="95">
        <f t="shared" ref="I29:J29" si="34">SUM(I27:I28)</f>
        <v>4984.1000000000004</v>
      </c>
      <c r="J29" s="95">
        <f t="shared" si="34"/>
        <v>5333.3</v>
      </c>
      <c r="K29" s="95">
        <f t="shared" ref="K29:L29" si="35">SUM(K27:K28)</f>
        <v>5674.7</v>
      </c>
      <c r="L29" s="95">
        <f t="shared" si="35"/>
        <v>5961.5</v>
      </c>
      <c r="M29" s="95">
        <f t="shared" ref="M29" si="36">SUM(M27:M28)</f>
        <v>6182</v>
      </c>
      <c r="N29" s="95">
        <f t="shared" ref="N29" si="37">SUM(N27:N28)</f>
        <v>6240.9</v>
      </c>
      <c r="O29" s="134">
        <f>RATE(5,,-H29,M29)</f>
        <v>5.8936224302290799E-2</v>
      </c>
      <c r="P29" s="52" t="str">
        <f>A29</f>
        <v>Total Plant &amp; Equipment:</v>
      </c>
      <c r="Q29" s="59">
        <f t="shared" si="32"/>
        <v>1.3274699298160533</v>
      </c>
      <c r="R29" s="59">
        <f t="shared" si="32"/>
        <v>1.2687409644043146</v>
      </c>
      <c r="S29" s="59">
        <f t="shared" si="32"/>
        <v>1.2664323651943845</v>
      </c>
      <c r="T29" s="59">
        <f t="shared" ref="T29:AB29" si="38">E29/E$45</f>
        <v>1.3024292587732582</v>
      </c>
      <c r="U29" s="59">
        <f t="shared" si="38"/>
        <v>1.1852804523387441</v>
      </c>
      <c r="V29" s="59">
        <f t="shared" si="38"/>
        <v>0.48110571485596426</v>
      </c>
      <c r="W29" s="59">
        <f t="shared" si="38"/>
        <v>1.3762153189471187</v>
      </c>
      <c r="X29" s="59">
        <f t="shared" si="38"/>
        <v>1.4108072916666665</v>
      </c>
      <c r="Y29" s="59">
        <f t="shared" si="38"/>
        <v>1.4022822285909604</v>
      </c>
      <c r="Z29" s="59">
        <f t="shared" si="38"/>
        <v>1.3996744197518682</v>
      </c>
      <c r="AA29" s="59">
        <f t="shared" si="38"/>
        <v>1.4028049038755677</v>
      </c>
      <c r="AB29" s="59">
        <f t="shared" si="38"/>
        <v>1.4121248115491798</v>
      </c>
      <c r="AC29" s="59">
        <f t="shared" ref="AC29" si="39">N29/N$45</f>
        <v>1.4933240811638591</v>
      </c>
      <c r="AD29" s="31">
        <f>SUM(H29:L29)/SUM(H$45:L$45)</f>
        <v>1.3988019165128303</v>
      </c>
      <c r="AE29" s="2"/>
    </row>
    <row r="30" spans="1:33" ht="15" customHeight="1" x14ac:dyDescent="0.2">
      <c r="A30" s="52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31"/>
      <c r="P30" s="53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31"/>
      <c r="AE30" s="2"/>
    </row>
    <row r="31" spans="1:33" ht="15" customHeight="1" x14ac:dyDescent="0.2">
      <c r="A31" s="52" t="s">
        <v>113</v>
      </c>
      <c r="B31" s="86">
        <v>1893.1790000000001</v>
      </c>
      <c r="C31" s="86">
        <v>2100.4549999999999</v>
      </c>
      <c r="D31" s="86">
        <v>2322.6999999999998</v>
      </c>
      <c r="E31" s="86">
        <v>2643.3</v>
      </c>
      <c r="F31" s="86">
        <v>3096.8</v>
      </c>
      <c r="G31" s="86">
        <v>1625.3</v>
      </c>
      <c r="H31" s="86">
        <v>1758.2</v>
      </c>
      <c r="I31" s="86">
        <v>1885.7</v>
      </c>
      <c r="J31" s="86">
        <v>1970.1</v>
      </c>
      <c r="K31" s="86">
        <v>2071.6999999999998</v>
      </c>
      <c r="L31" s="86">
        <v>2226</v>
      </c>
      <c r="M31" s="86">
        <v>2333.3000000000002</v>
      </c>
      <c r="N31" s="86">
        <v>2380.4</v>
      </c>
      <c r="O31" s="134">
        <f>RATE(5,,-H31,M31)</f>
        <v>5.8230954643257692E-2</v>
      </c>
      <c r="P31" s="52" t="str">
        <f>A31</f>
        <v>Accumulated Dep &amp; Amort</v>
      </c>
      <c r="Q31" s="31">
        <f t="shared" ref="Q31:AB31" si="40">B31/B$45</f>
        <v>0.51522266917803772</v>
      </c>
      <c r="R31" s="31">
        <f t="shared" si="40"/>
        <v>0.4820793684200379</v>
      </c>
      <c r="S31" s="31">
        <f t="shared" si="40"/>
        <v>0.45860564297984074</v>
      </c>
      <c r="T31" s="31">
        <f t="shared" si="40"/>
        <v>0.44468557585545587</v>
      </c>
      <c r="U31" s="31">
        <f t="shared" si="40"/>
        <v>0.35881214733451516</v>
      </c>
      <c r="V31" s="31">
        <f t="shared" si="40"/>
        <v>0.18021644157629785</v>
      </c>
      <c r="W31" s="31">
        <f t="shared" si="40"/>
        <v>0.52116433483519087</v>
      </c>
      <c r="X31" s="31">
        <f t="shared" si="40"/>
        <v>0.53376924818840576</v>
      </c>
      <c r="Y31" s="31">
        <f t="shared" si="40"/>
        <v>0.51799752846212499</v>
      </c>
      <c r="Z31" s="31">
        <f t="shared" si="40"/>
        <v>0.51098833337444183</v>
      </c>
      <c r="AA31" s="31">
        <f t="shared" si="40"/>
        <v>0.52380168011859662</v>
      </c>
      <c r="AB31" s="31">
        <f t="shared" si="40"/>
        <v>0.53298460413906534</v>
      </c>
      <c r="AC31" s="31">
        <f t="shared" ref="AC31" si="41">N31/N$45</f>
        <v>0.56958269525268002</v>
      </c>
      <c r="AD31" s="31">
        <f>SUM(H31:L31)/SUM(H$45:L$45)</f>
        <v>0.52129254169362094</v>
      </c>
      <c r="AE31" s="2"/>
    </row>
    <row r="32" spans="1:33" ht="15" hidden="1" customHeight="1" x14ac:dyDescent="0.2">
      <c r="A32" s="52" t="s">
        <v>164</v>
      </c>
      <c r="B32" s="86"/>
      <c r="C32" s="86"/>
      <c r="D32" s="86"/>
      <c r="E32" s="86"/>
      <c r="F32" s="86"/>
      <c r="G32" s="86">
        <v>5091.3</v>
      </c>
      <c r="H32" s="86"/>
      <c r="I32" s="86"/>
      <c r="J32" s="86"/>
      <c r="K32" s="86"/>
      <c r="L32" s="86"/>
      <c r="M32" s="86"/>
      <c r="N32" s="86"/>
      <c r="O32" s="31"/>
      <c r="P32" s="52" t="str">
        <f>A32</f>
        <v>Net Property, Plant &amp; Equip of Discontinued Operations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2"/>
    </row>
    <row r="33" spans="1:31" ht="15" customHeight="1" x14ac:dyDescent="0.2">
      <c r="A33" s="52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37"/>
      <c r="P33" s="52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31"/>
      <c r="AE33" s="2"/>
    </row>
    <row r="34" spans="1:31" ht="15.75" x14ac:dyDescent="0.25">
      <c r="A34" s="52" t="s">
        <v>54</v>
      </c>
      <c r="B34" s="86">
        <f t="shared" ref="B34:C34" si="42">B29-B31</f>
        <v>2984.5919999999996</v>
      </c>
      <c r="C34" s="86">
        <f t="shared" si="42"/>
        <v>3427.5420000000004</v>
      </c>
      <c r="D34" s="86">
        <f>D29-D31</f>
        <v>4091.4000000000005</v>
      </c>
      <c r="E34" s="86">
        <f>E29-E31</f>
        <v>5098.5999999999995</v>
      </c>
      <c r="F34" s="86">
        <f>F29-F31</f>
        <v>7132.9999999999991</v>
      </c>
      <c r="G34" s="86">
        <f>G29-G31+G32</f>
        <v>7804.9</v>
      </c>
      <c r="H34" s="86">
        <f t="shared" ref="H34:N34" si="43">H29-H31</f>
        <v>2884.6000000000004</v>
      </c>
      <c r="I34" s="86">
        <f t="shared" si="43"/>
        <v>3098.4000000000005</v>
      </c>
      <c r="J34" s="86">
        <f t="shared" si="43"/>
        <v>3363.2000000000003</v>
      </c>
      <c r="K34" s="86">
        <f t="shared" si="43"/>
        <v>3603</v>
      </c>
      <c r="L34" s="86">
        <f t="shared" si="43"/>
        <v>3735.5</v>
      </c>
      <c r="M34" s="86">
        <f t="shared" ref="M34" si="44">M29-M31</f>
        <v>3848.7</v>
      </c>
      <c r="N34" s="86">
        <f t="shared" si="43"/>
        <v>3860.4999999999995</v>
      </c>
      <c r="O34" s="134">
        <f>RATE(5,,-H34,M34)</f>
        <v>5.9365175156163283E-2</v>
      </c>
      <c r="P34" s="64" t="str">
        <f>A34</f>
        <v>Net Plant &amp; Equipment</v>
      </c>
      <c r="Q34" s="31">
        <f t="shared" ref="Q34:AB34" si="45">B34/B$45</f>
        <v>0.81224726063801556</v>
      </c>
      <c r="R34" s="31">
        <f t="shared" si="45"/>
        <v>0.78666159598427665</v>
      </c>
      <c r="S34" s="31">
        <f t="shared" si="45"/>
        <v>0.80782672221454377</v>
      </c>
      <c r="T34" s="31">
        <f t="shared" si="45"/>
        <v>0.85774368291780234</v>
      </c>
      <c r="U34" s="31">
        <f t="shared" si="45"/>
        <v>0.82646830500422896</v>
      </c>
      <c r="V34" s="31">
        <f t="shared" si="45"/>
        <v>0.86542257113077414</v>
      </c>
      <c r="W34" s="31">
        <f t="shared" si="45"/>
        <v>0.85505098411192793</v>
      </c>
      <c r="X34" s="31">
        <f t="shared" si="45"/>
        <v>0.87703804347826086</v>
      </c>
      <c r="Y34" s="31">
        <f t="shared" si="45"/>
        <v>0.88428470012883553</v>
      </c>
      <c r="Z34" s="31">
        <f t="shared" si="45"/>
        <v>0.88868608637742641</v>
      </c>
      <c r="AA34" s="31">
        <f t="shared" si="45"/>
        <v>0.87900322375697115</v>
      </c>
      <c r="AB34" s="31">
        <f t="shared" si="45"/>
        <v>0.87914020741011456</v>
      </c>
      <c r="AC34" s="31">
        <f t="shared" ref="AC34" si="46">N34/N$45</f>
        <v>0.92374138591117916</v>
      </c>
      <c r="AD34" s="31">
        <f>SUM(H34:L34)/SUM(H$45:L$45)</f>
        <v>0.87750937481920932</v>
      </c>
      <c r="AE34" s="2"/>
    </row>
    <row r="35" spans="1:31" ht="12" customHeight="1" x14ac:dyDescent="0.2">
      <c r="A35" s="52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31"/>
      <c r="P35" s="52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"/>
    </row>
    <row r="36" spans="1:31" ht="15.75" x14ac:dyDescent="0.25">
      <c r="A36" s="77" t="s">
        <v>65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31"/>
      <c r="P36" s="52" t="str">
        <f t="shared" ref="P36:P42" si="47">A36</f>
        <v>Other Assets: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2"/>
    </row>
    <row r="37" spans="1:31" ht="15" x14ac:dyDescent="0.2">
      <c r="A37" s="52" t="s">
        <v>55</v>
      </c>
      <c r="B37" s="86">
        <v>34.442</v>
      </c>
      <c r="C37" s="86">
        <v>32.767000000000003</v>
      </c>
      <c r="D37" s="86">
        <v>32.700000000000003</v>
      </c>
      <c r="E37" s="86">
        <v>28.4</v>
      </c>
      <c r="F37" s="86">
        <v>26.3</v>
      </c>
      <c r="G37" s="86">
        <v>23.5</v>
      </c>
      <c r="H37" s="86">
        <v>21.7</v>
      </c>
      <c r="I37" s="86">
        <v>21</v>
      </c>
      <c r="J37" s="86">
        <v>21.6</v>
      </c>
      <c r="K37" s="86">
        <v>20.5</v>
      </c>
      <c r="L37" s="86">
        <v>25</v>
      </c>
      <c r="M37" s="86">
        <v>14.9</v>
      </c>
      <c r="N37" s="86">
        <v>10.199999999999999</v>
      </c>
      <c r="O37" s="134">
        <f t="shared" ref="O37:O39" si="48">RATE(5,,-H37,M37)</f>
        <v>-7.2432962532078662E-2</v>
      </c>
      <c r="P37" s="52" t="str">
        <f t="shared" si="47"/>
        <v>Regulatory Assets</v>
      </c>
      <c r="Q37" s="31">
        <f t="shared" ref="Q37:AB38" si="49">B37/B$45</f>
        <v>9.3732812226577488E-3</v>
      </c>
      <c r="R37" s="31">
        <f t="shared" si="49"/>
        <v>7.5204156551887009E-3</v>
      </c>
      <c r="S37" s="31">
        <f t="shared" si="49"/>
        <v>6.4564534918159023E-3</v>
      </c>
      <c r="T37" s="31">
        <f t="shared" si="49"/>
        <v>4.7777665623633132E-3</v>
      </c>
      <c r="U37" s="31">
        <f t="shared" si="49"/>
        <v>3.047261519923065E-3</v>
      </c>
      <c r="V37" s="31">
        <f t="shared" si="49"/>
        <v>2.6057259441598472E-3</v>
      </c>
      <c r="W37" s="31">
        <f t="shared" si="49"/>
        <v>6.43229784206782E-3</v>
      </c>
      <c r="X37" s="31">
        <f t="shared" si="49"/>
        <v>5.9442934782608682E-3</v>
      </c>
      <c r="Y37" s="31">
        <f t="shared" si="49"/>
        <v>5.6792785212841481E-3</v>
      </c>
      <c r="Z37" s="31">
        <f t="shared" si="49"/>
        <v>5.0563599141652069E-3</v>
      </c>
      <c r="AA37" s="31">
        <f t="shared" si="49"/>
        <v>5.8827681954020288E-3</v>
      </c>
      <c r="AB37" s="31">
        <f t="shared" si="49"/>
        <v>3.4035360226597833E-3</v>
      </c>
      <c r="AC37" s="31">
        <f t="shared" ref="AC37:AC38" si="50">N37/N$45</f>
        <v>2.4406584992343033E-3</v>
      </c>
      <c r="AD37" s="31">
        <f t="shared" ref="AD37:AD40" si="51">SUM(H37:L37)/SUM(H$45:L$45)</f>
        <v>5.7747834456207897E-3</v>
      </c>
      <c r="AE37" s="2"/>
    </row>
    <row r="38" spans="1:31" ht="15" x14ac:dyDescent="0.2">
      <c r="A38" s="52" t="s">
        <v>88</v>
      </c>
      <c r="B38" s="86">
        <v>71.260000000000005</v>
      </c>
      <c r="C38" s="97">
        <v>71.260000000000005</v>
      </c>
      <c r="D38" s="97">
        <v>70.7</v>
      </c>
      <c r="E38" s="97">
        <v>70.7</v>
      </c>
      <c r="F38" s="97">
        <v>70</v>
      </c>
      <c r="G38" s="97">
        <v>9.8000000000000007</v>
      </c>
      <c r="H38" s="97">
        <v>9.8000000000000007</v>
      </c>
      <c r="I38" s="97">
        <v>9.8000000000000007</v>
      </c>
      <c r="J38" s="97">
        <v>9.8000000000000007</v>
      </c>
      <c r="K38" s="97">
        <v>9.8000000000000007</v>
      </c>
      <c r="L38" s="97">
        <v>9.8000000000000007</v>
      </c>
      <c r="M38" s="97">
        <v>9.8000000000000007</v>
      </c>
      <c r="N38" s="97">
        <v>9.8000000000000007</v>
      </c>
      <c r="O38" s="134">
        <f t="shared" si="48"/>
        <v>1.6577982729960777E-16</v>
      </c>
      <c r="P38" s="52" t="str">
        <f t="shared" si="47"/>
        <v>Goodwill</v>
      </c>
      <c r="Q38" s="31">
        <f t="shared" si="49"/>
        <v>1.9393183320556041E-2</v>
      </c>
      <c r="R38" s="31">
        <f t="shared" si="49"/>
        <v>1.6355016314851735E-2</v>
      </c>
      <c r="S38" s="31">
        <f t="shared" si="49"/>
        <v>1.395936580646435E-2</v>
      </c>
      <c r="T38" s="31">
        <f t="shared" si="49"/>
        <v>1.1893947040812897E-2</v>
      </c>
      <c r="U38" s="31">
        <f t="shared" si="49"/>
        <v>8.1105819921906668E-3</v>
      </c>
      <c r="V38" s="31">
        <f t="shared" si="49"/>
        <v>1.0866431596921917E-3</v>
      </c>
      <c r="W38" s="31">
        <f t="shared" si="49"/>
        <v>2.9049087028693381E-3</v>
      </c>
      <c r="X38" s="31">
        <f t="shared" si="49"/>
        <v>2.7740036231884055E-3</v>
      </c>
      <c r="Y38" s="31">
        <f t="shared" si="49"/>
        <v>2.5767096994715115E-3</v>
      </c>
      <c r="Z38" s="31">
        <f t="shared" si="49"/>
        <v>2.4171866906740991E-3</v>
      </c>
      <c r="AA38" s="31">
        <f t="shared" si="49"/>
        <v>2.3060451325975953E-3</v>
      </c>
      <c r="AB38" s="31">
        <f t="shared" si="49"/>
        <v>2.238567316917173E-3</v>
      </c>
      <c r="AC38" s="31">
        <f t="shared" si="50"/>
        <v>2.3449464012251153E-3</v>
      </c>
      <c r="AD38" s="31">
        <f t="shared" si="51"/>
        <v>2.577089151506545E-3</v>
      </c>
      <c r="AE38" s="2"/>
    </row>
    <row r="39" spans="1:31" ht="15" x14ac:dyDescent="0.2">
      <c r="A39" s="52" t="s">
        <v>129</v>
      </c>
      <c r="B39" s="86">
        <v>33.228999999999999</v>
      </c>
      <c r="C39" s="97">
        <v>30.681000000000001</v>
      </c>
      <c r="D39" s="97">
        <v>37.5</v>
      </c>
      <c r="E39" s="97">
        <v>52.8</v>
      </c>
      <c r="F39" s="97">
        <v>68.400000000000006</v>
      </c>
      <c r="G39" s="97">
        <v>28.1</v>
      </c>
      <c r="H39" s="97">
        <v>27.9</v>
      </c>
      <c r="I39" s="97">
        <v>27.3</v>
      </c>
      <c r="J39" s="97">
        <v>26.5</v>
      </c>
      <c r="K39" s="97">
        <v>25.6</v>
      </c>
      <c r="L39" s="97">
        <v>24.7</v>
      </c>
      <c r="M39" s="97">
        <v>23.9</v>
      </c>
      <c r="N39" s="97">
        <v>23.7</v>
      </c>
      <c r="O39" s="134">
        <f t="shared" si="48"/>
        <v>-3.0475608700491812E-2</v>
      </c>
      <c r="P39" s="52" t="str">
        <f t="shared" si="47"/>
        <v>Investment in Unconsolidated Affiliates</v>
      </c>
      <c r="Q39" s="31">
        <f t="shared" ref="Q39:Q40" si="52">B39/B$45</f>
        <v>9.0431671142121341E-3</v>
      </c>
      <c r="R39" s="31">
        <f t="shared" ref="R39:R40" si="53">C39/C$45</f>
        <v>7.04165388094255E-3</v>
      </c>
      <c r="S39" s="31">
        <f t="shared" ref="S39:S40" si="54">D39/D$45</f>
        <v>7.4041897841925471E-3</v>
      </c>
      <c r="T39" s="31">
        <f t="shared" ref="T39:T40" si="55">E39/E$45</f>
        <v>8.8826082567881309E-3</v>
      </c>
      <c r="U39" s="31">
        <f t="shared" ref="U39:U40" si="56">F39/F$45</f>
        <v>7.9251972609405957E-3</v>
      </c>
      <c r="V39" s="31">
        <f t="shared" ref="V39:AB39" si="57">G39/G$45</f>
        <v>3.1157829374847536E-3</v>
      </c>
      <c r="W39" s="31">
        <f t="shared" si="57"/>
        <v>8.2700972255157681E-3</v>
      </c>
      <c r="X39" s="31">
        <f t="shared" si="57"/>
        <v>7.7275815217391292E-3</v>
      </c>
      <c r="Y39" s="31">
        <f t="shared" si="57"/>
        <v>6.9676333710199032E-3</v>
      </c>
      <c r="Z39" s="31">
        <f t="shared" si="57"/>
        <v>6.3142836001282591E-3</v>
      </c>
      <c r="AA39" s="31">
        <f t="shared" si="57"/>
        <v>5.8121749770572041E-3</v>
      </c>
      <c r="AB39" s="31">
        <f t="shared" si="57"/>
        <v>5.4593631504408604E-3</v>
      </c>
      <c r="AC39" s="31">
        <f t="shared" ref="AC39" si="58">N39/N$45</f>
        <v>5.6709418070444101E-3</v>
      </c>
      <c r="AD39" s="31">
        <f t="shared" si="51"/>
        <v>6.942362612221714E-3</v>
      </c>
      <c r="AE39" s="2"/>
    </row>
    <row r="40" spans="1:31" ht="15.75" x14ac:dyDescent="0.25">
      <c r="A40" s="52" t="s">
        <v>126</v>
      </c>
      <c r="B40" s="86">
        <v>1.8149999999999999</v>
      </c>
      <c r="C40" s="97"/>
      <c r="D40" s="97">
        <v>49</v>
      </c>
      <c r="E40" s="97">
        <v>7.8</v>
      </c>
      <c r="F40" s="97">
        <v>106.3</v>
      </c>
      <c r="G40" s="112"/>
      <c r="H40" s="112"/>
      <c r="I40" s="112"/>
      <c r="J40" s="112"/>
      <c r="K40" s="112"/>
      <c r="L40" s="112"/>
      <c r="M40" s="112"/>
      <c r="N40" s="112"/>
      <c r="O40" s="65"/>
      <c r="P40" s="52" t="str">
        <f t="shared" si="47"/>
        <v>Fair Value of Derivative Contracts</v>
      </c>
      <c r="Q40" s="31">
        <f t="shared" si="52"/>
        <v>4.9394650191985983E-4</v>
      </c>
      <c r="R40" s="31">
        <f t="shared" si="53"/>
        <v>0</v>
      </c>
      <c r="S40" s="31">
        <f t="shared" si="54"/>
        <v>9.6748079846782613E-3</v>
      </c>
      <c r="T40" s="31">
        <f t="shared" si="55"/>
        <v>1.3122034924800648E-3</v>
      </c>
      <c r="U40" s="31">
        <f t="shared" si="56"/>
        <v>1.2316498082426684E-2</v>
      </c>
      <c r="V40" s="31"/>
      <c r="W40" s="31"/>
      <c r="X40" s="31"/>
      <c r="Y40" s="31"/>
      <c r="Z40" s="31"/>
      <c r="AA40" s="31"/>
      <c r="AB40" s="31"/>
      <c r="AC40" s="31"/>
      <c r="AD40" s="31">
        <f t="shared" si="51"/>
        <v>0</v>
      </c>
      <c r="AE40" s="2"/>
    </row>
    <row r="41" spans="1:31" ht="15" x14ac:dyDescent="0.2">
      <c r="A41" s="52" t="s">
        <v>165</v>
      </c>
      <c r="B41" s="86"/>
      <c r="C41" s="97"/>
      <c r="D41" s="97"/>
      <c r="E41" s="97"/>
      <c r="F41" s="97"/>
      <c r="G41" s="97">
        <v>175.2</v>
      </c>
      <c r="H41" s="97"/>
      <c r="I41" s="97"/>
      <c r="J41" s="97"/>
      <c r="K41" s="97"/>
      <c r="L41" s="97"/>
      <c r="M41" s="97"/>
      <c r="N41" s="97"/>
      <c r="O41" s="31"/>
      <c r="P41" s="52" t="str">
        <f t="shared" si="47"/>
        <v>Noncurrent Assets from Discontinued Operations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58"/>
      <c r="AE41" s="2"/>
    </row>
    <row r="42" spans="1:31" ht="15" x14ac:dyDescent="0.2">
      <c r="A42" s="127" t="s">
        <v>89</v>
      </c>
      <c r="B42" s="86">
        <f>12.394+40.228</f>
        <v>52.622</v>
      </c>
      <c r="C42" s="86">
        <f>28.203+10.78</f>
        <v>38.982999999999997</v>
      </c>
      <c r="D42" s="86">
        <v>30</v>
      </c>
      <c r="E42" s="86">
        <v>27</v>
      </c>
      <c r="F42" s="86">
        <v>41.7</v>
      </c>
      <c r="G42" s="86">
        <v>25.1</v>
      </c>
      <c r="H42" s="86">
        <v>30</v>
      </c>
      <c r="I42" s="86">
        <v>40.9</v>
      </c>
      <c r="J42" s="86">
        <v>36.5</v>
      </c>
      <c r="K42" s="86">
        <v>43.5</v>
      </c>
      <c r="L42" s="86">
        <v>40.200000000000003</v>
      </c>
      <c r="M42" s="86">
        <v>40.4</v>
      </c>
      <c r="N42" s="86">
        <v>40.4</v>
      </c>
      <c r="O42" s="157">
        <f>RATE(5,,-H42,M42)</f>
        <v>6.1333865429710616E-2</v>
      </c>
      <c r="P42" s="52" t="str">
        <f t="shared" si="47"/>
        <v>Other Non-Current Assets</v>
      </c>
      <c r="Q42" s="31">
        <f t="shared" ref="Q42:AB45" si="59">B42/B$45</f>
        <v>1.4320910646846759E-2</v>
      </c>
      <c r="R42" s="31">
        <f t="shared" si="59"/>
        <v>8.947061479116827E-3</v>
      </c>
      <c r="S42" s="31">
        <f t="shared" si="59"/>
        <v>5.923351827354038E-3</v>
      </c>
      <c r="T42" s="31">
        <f t="shared" si="59"/>
        <v>4.5422428585848397E-3</v>
      </c>
      <c r="U42" s="31">
        <f t="shared" si="59"/>
        <v>4.8315895582050124E-3</v>
      </c>
      <c r="V42" s="31">
        <f t="shared" si="59"/>
        <v>2.7831370722728585E-3</v>
      </c>
      <c r="W42" s="31">
        <f t="shared" si="59"/>
        <v>8.8925776618449127E-3</v>
      </c>
      <c r="X42" s="31">
        <f t="shared" si="59"/>
        <v>1.1577219202898548E-2</v>
      </c>
      <c r="Y42" s="31">
        <f t="shared" si="59"/>
        <v>9.5969289827255271E-3</v>
      </c>
      <c r="Z42" s="31">
        <f t="shared" si="59"/>
        <v>1.072934908615544E-2</v>
      </c>
      <c r="AA42" s="31">
        <f t="shared" si="59"/>
        <v>9.4594912582064618E-3</v>
      </c>
      <c r="AB42" s="31">
        <f t="shared" si="59"/>
        <v>9.2283795513728346E-3</v>
      </c>
      <c r="AC42" s="31">
        <f t="shared" ref="AC42:AC45" si="60">N42/N$45</f>
        <v>9.6669218989280242E-3</v>
      </c>
      <c r="AD42" s="31">
        <f t="shared" ref="AD42:AD45" si="61">SUM(H42:L42)/SUM(H$45:L$45)</f>
        <v>1.0050647690875528E-2</v>
      </c>
      <c r="AE42" s="2"/>
    </row>
    <row r="43" spans="1:31" ht="15" x14ac:dyDescent="0.2">
      <c r="A43" s="127" t="s">
        <v>66</v>
      </c>
      <c r="B43" s="95">
        <f t="shared" ref="B43:F43" si="62">SUM(B37:B42)</f>
        <v>193.36799999999999</v>
      </c>
      <c r="C43" s="95">
        <f t="shared" si="62"/>
        <v>173.69100000000003</v>
      </c>
      <c r="D43" s="95">
        <f t="shared" si="62"/>
        <v>219.9</v>
      </c>
      <c r="E43" s="95">
        <f t="shared" si="62"/>
        <v>186.7</v>
      </c>
      <c r="F43" s="95">
        <f t="shared" si="62"/>
        <v>312.7</v>
      </c>
      <c r="G43" s="95">
        <f t="shared" ref="G43:H43" si="63">SUM(G37:G42)</f>
        <v>261.7</v>
      </c>
      <c r="H43" s="95">
        <f t="shared" si="63"/>
        <v>89.4</v>
      </c>
      <c r="I43" s="95">
        <f t="shared" ref="I43:J43" si="64">SUM(I37:I42)</f>
        <v>99</v>
      </c>
      <c r="J43" s="95">
        <f t="shared" si="64"/>
        <v>94.4</v>
      </c>
      <c r="K43" s="95">
        <f t="shared" ref="K43:L43" si="65">SUM(K37:K42)</f>
        <v>99.4</v>
      </c>
      <c r="L43" s="95">
        <f t="shared" si="65"/>
        <v>99.7</v>
      </c>
      <c r="M43" s="95">
        <f t="shared" ref="M43" si="66">SUM(M37:M42)</f>
        <v>89</v>
      </c>
      <c r="N43" s="95">
        <f t="shared" ref="N43" si="67">SUM(N37:N42)</f>
        <v>84.1</v>
      </c>
      <c r="O43" s="157">
        <f t="shared" ref="O43:O45" si="68">RATE(5,,-H43,M43)</f>
        <v>-8.9646042850988661E-4</v>
      </c>
      <c r="P43" s="52" t="s">
        <v>66</v>
      </c>
      <c r="Q43" s="59">
        <f t="shared" si="59"/>
        <v>5.262448880619254E-2</v>
      </c>
      <c r="R43" s="59">
        <f t="shared" si="59"/>
        <v>3.9864147330099818E-2</v>
      </c>
      <c r="S43" s="59">
        <f t="shared" si="59"/>
        <v>4.3418168894505102E-2</v>
      </c>
      <c r="T43" s="59">
        <f t="shared" si="59"/>
        <v>3.1408768211029239E-2</v>
      </c>
      <c r="U43" s="59">
        <f t="shared" si="59"/>
        <v>3.6231128413686024E-2</v>
      </c>
      <c r="V43" s="59">
        <f t="shared" si="59"/>
        <v>2.901780764198434E-2</v>
      </c>
      <c r="W43" s="59">
        <f t="shared" si="59"/>
        <v>2.6499881432297839E-2</v>
      </c>
      <c r="X43" s="59">
        <f t="shared" si="59"/>
        <v>2.8023097826086953E-2</v>
      </c>
      <c r="Y43" s="59">
        <f t="shared" si="59"/>
        <v>2.4820550574501093E-2</v>
      </c>
      <c r="Z43" s="59">
        <f t="shared" si="59"/>
        <v>2.4517179291123004E-2</v>
      </c>
      <c r="AA43" s="59">
        <f t="shared" si="59"/>
        <v>2.346047956326329E-2</v>
      </c>
      <c r="AB43" s="59">
        <f t="shared" si="59"/>
        <v>2.0329846041390653E-2</v>
      </c>
      <c r="AC43" s="59">
        <f t="shared" si="60"/>
        <v>2.0123468606431851E-2</v>
      </c>
      <c r="AD43" s="31">
        <f t="shared" si="61"/>
        <v>2.5344882900224575E-2</v>
      </c>
      <c r="AE43" s="2"/>
    </row>
    <row r="44" spans="1:31" ht="15" x14ac:dyDescent="0.2">
      <c r="A44" s="127" t="s">
        <v>40</v>
      </c>
      <c r="B44" s="95">
        <f t="shared" ref="B44:F44" si="69">B34+B43</f>
        <v>3177.9599999999996</v>
      </c>
      <c r="C44" s="95">
        <f t="shared" si="69"/>
        <v>3601.2330000000002</v>
      </c>
      <c r="D44" s="95">
        <f t="shared" si="69"/>
        <v>4311.3</v>
      </c>
      <c r="E44" s="95">
        <f t="shared" si="69"/>
        <v>5285.2999999999993</v>
      </c>
      <c r="F44" s="95">
        <f t="shared" si="69"/>
        <v>7445.6999999999989</v>
      </c>
      <c r="G44" s="95">
        <f t="shared" ref="G44:H44" si="70">G34+G43</f>
        <v>8066.5999999999995</v>
      </c>
      <c r="H44" s="95">
        <f t="shared" si="70"/>
        <v>2974.0000000000005</v>
      </c>
      <c r="I44" s="95">
        <f t="shared" ref="I44:J44" si="71">I34+I43</f>
        <v>3197.4000000000005</v>
      </c>
      <c r="J44" s="95">
        <f t="shared" si="71"/>
        <v>3457.6000000000004</v>
      </c>
      <c r="K44" s="95">
        <f t="shared" ref="K44:L44" si="72">K34+K43</f>
        <v>3702.4</v>
      </c>
      <c r="L44" s="95">
        <f t="shared" si="72"/>
        <v>3835.2</v>
      </c>
      <c r="M44" s="95">
        <f t="shared" ref="M44" si="73">M34+M43</f>
        <v>3937.7</v>
      </c>
      <c r="N44" s="95">
        <f t="shared" ref="N44" si="74">N34+N43</f>
        <v>3944.5999999999995</v>
      </c>
      <c r="O44" s="166">
        <f t="shared" si="68"/>
        <v>5.7743419839045226E-2</v>
      </c>
      <c r="P44" s="52" t="s">
        <v>40</v>
      </c>
      <c r="Q44" s="59">
        <f t="shared" si="59"/>
        <v>0.86487174944420808</v>
      </c>
      <c r="R44" s="59">
        <f t="shared" si="59"/>
        <v>0.82652574331437645</v>
      </c>
      <c r="S44" s="59">
        <f t="shared" si="59"/>
        <v>0.85124489110904877</v>
      </c>
      <c r="T44" s="59">
        <f t="shared" si="59"/>
        <v>0.88915245112883146</v>
      </c>
      <c r="U44" s="59">
        <f t="shared" si="59"/>
        <v>0.86269943341791488</v>
      </c>
      <c r="V44" s="59">
        <f t="shared" si="59"/>
        <v>0.89444037877275839</v>
      </c>
      <c r="W44" s="59">
        <f t="shared" si="59"/>
        <v>0.88155086554422579</v>
      </c>
      <c r="X44" s="59">
        <f t="shared" si="59"/>
        <v>0.90506114130434778</v>
      </c>
      <c r="Y44" s="59">
        <f t="shared" si="59"/>
        <v>0.90910525070333659</v>
      </c>
      <c r="Z44" s="59">
        <f t="shared" si="59"/>
        <v>0.91320326566854937</v>
      </c>
      <c r="AA44" s="59">
        <f t="shared" si="59"/>
        <v>0.9024637033202344</v>
      </c>
      <c r="AB44" s="59">
        <f t="shared" si="59"/>
        <v>0.89947005345150521</v>
      </c>
      <c r="AC44" s="59">
        <f t="shared" si="60"/>
        <v>0.94386485451761093</v>
      </c>
      <c r="AD44" s="31">
        <f t="shared" si="61"/>
        <v>0.90285425771943395</v>
      </c>
      <c r="AE44" s="2"/>
    </row>
    <row r="45" spans="1:31" ht="15.75" thickBot="1" x14ac:dyDescent="0.25">
      <c r="A45" s="52" t="s">
        <v>35</v>
      </c>
      <c r="B45" s="95">
        <f t="shared" ref="B45:H45" si="75">B24+B34+B43</f>
        <v>3674.4869999999996</v>
      </c>
      <c r="C45" s="95">
        <f t="shared" si="75"/>
        <v>4357.0730000000003</v>
      </c>
      <c r="D45" s="95">
        <f t="shared" si="75"/>
        <v>5064.7000000000007</v>
      </c>
      <c r="E45" s="95">
        <f t="shared" si="75"/>
        <v>5944.1999999999989</v>
      </c>
      <c r="F45" s="95">
        <f t="shared" si="75"/>
        <v>8630.7000000000007</v>
      </c>
      <c r="G45" s="100">
        <f t="shared" si="75"/>
        <v>9018.6</v>
      </c>
      <c r="H45" s="100">
        <f t="shared" si="75"/>
        <v>3373.6000000000004</v>
      </c>
      <c r="I45" s="100">
        <f t="shared" ref="I45:J45" si="76">I24+I34+I43</f>
        <v>3532.8000000000006</v>
      </c>
      <c r="J45" s="100">
        <f t="shared" si="76"/>
        <v>3803.3</v>
      </c>
      <c r="K45" s="100">
        <f t="shared" ref="K45:L45" si="77">K24+K34+K43</f>
        <v>4054.3</v>
      </c>
      <c r="L45" s="100">
        <f t="shared" si="77"/>
        <v>4249.7</v>
      </c>
      <c r="M45" s="100">
        <f t="shared" ref="M45" si="78">M24+M34+M43</f>
        <v>4377.8</v>
      </c>
      <c r="N45" s="100">
        <f t="shared" ref="N45" si="79">N24+N34+N43</f>
        <v>4179.2</v>
      </c>
      <c r="O45" s="167">
        <f t="shared" si="68"/>
        <v>5.3494968566852902E-2</v>
      </c>
      <c r="P45" s="52" t="s">
        <v>35</v>
      </c>
      <c r="Q45" s="60">
        <f t="shared" si="59"/>
        <v>1</v>
      </c>
      <c r="R45" s="60">
        <f t="shared" si="59"/>
        <v>1</v>
      </c>
      <c r="S45" s="60">
        <f t="shared" si="59"/>
        <v>1</v>
      </c>
      <c r="T45" s="60">
        <f t="shared" si="59"/>
        <v>1</v>
      </c>
      <c r="U45" s="60">
        <f t="shared" si="59"/>
        <v>1</v>
      </c>
      <c r="V45" s="60">
        <f t="shared" si="59"/>
        <v>1</v>
      </c>
      <c r="W45" s="60">
        <f t="shared" si="59"/>
        <v>1</v>
      </c>
      <c r="X45" s="60">
        <f t="shared" si="59"/>
        <v>1</v>
      </c>
      <c r="Y45" s="60">
        <f t="shared" si="59"/>
        <v>1</v>
      </c>
      <c r="Z45" s="60">
        <f t="shared" si="59"/>
        <v>1</v>
      </c>
      <c r="AA45" s="60">
        <f t="shared" si="59"/>
        <v>1</v>
      </c>
      <c r="AB45" s="60">
        <f t="shared" si="59"/>
        <v>1</v>
      </c>
      <c r="AC45" s="60">
        <f t="shared" si="60"/>
        <v>1</v>
      </c>
      <c r="AD45" s="31">
        <f t="shared" si="61"/>
        <v>1</v>
      </c>
      <c r="AE45" s="2"/>
    </row>
    <row r="46" spans="1:31" ht="15.75" thickTop="1" x14ac:dyDescent="0.2">
      <c r="A46" s="52"/>
      <c r="B46" s="98"/>
      <c r="C46" s="98"/>
      <c r="D46" s="98"/>
      <c r="E46" s="98"/>
      <c r="F46" s="158">
        <f t="shared" ref="F46:I46" si="80">+F45-F88</f>
        <v>0</v>
      </c>
      <c r="G46" s="158">
        <f t="shared" si="80"/>
        <v>0</v>
      </c>
      <c r="H46" s="158">
        <f t="shared" si="80"/>
        <v>0</v>
      </c>
      <c r="I46" s="158">
        <f t="shared" si="80"/>
        <v>0</v>
      </c>
      <c r="J46" s="158">
        <f>+J45-J88</f>
        <v>0</v>
      </c>
      <c r="K46" s="158">
        <f>+K45-K88</f>
        <v>0</v>
      </c>
      <c r="L46" s="159">
        <f>+L45-L88</f>
        <v>0</v>
      </c>
      <c r="M46" s="159">
        <f>+M45-M88</f>
        <v>0</v>
      </c>
      <c r="N46" s="159">
        <f>+N45-N88</f>
        <v>0</v>
      </c>
      <c r="O46" s="31"/>
      <c r="P46" s="52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31"/>
      <c r="AE46" s="2"/>
    </row>
    <row r="47" spans="1:31" ht="15" x14ac:dyDescent="0.2">
      <c r="A47" s="52"/>
      <c r="B47" s="96"/>
      <c r="C47" s="96"/>
      <c r="D47" s="96"/>
      <c r="E47" s="96"/>
      <c r="F47" s="158"/>
      <c r="G47" s="158"/>
      <c r="H47" s="158"/>
      <c r="I47" s="158"/>
      <c r="J47" s="158"/>
      <c r="K47" s="158"/>
      <c r="L47" s="159"/>
      <c r="M47" s="159"/>
      <c r="N47" s="159"/>
      <c r="O47" s="31"/>
      <c r="P47" s="52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31"/>
      <c r="AE47" s="2"/>
    </row>
    <row r="48" spans="1:31" ht="15" x14ac:dyDescent="0.2">
      <c r="A48" s="52"/>
      <c r="B48" s="96"/>
      <c r="C48" s="96"/>
      <c r="D48" s="96"/>
      <c r="E48" s="96"/>
      <c r="F48" s="158"/>
      <c r="G48" s="158"/>
      <c r="H48" s="158"/>
      <c r="I48" s="158"/>
      <c r="J48" s="158"/>
      <c r="K48" s="158"/>
      <c r="L48" s="159"/>
      <c r="M48" s="159"/>
      <c r="N48" s="159"/>
      <c r="O48" s="31"/>
      <c r="P48" s="52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31"/>
      <c r="AE48" s="2"/>
    </row>
    <row r="49" spans="1:31" ht="15" customHeight="1" x14ac:dyDescent="0.25">
      <c r="A49" s="52"/>
      <c r="B49" s="96"/>
      <c r="C49" s="96"/>
      <c r="D49" s="96"/>
      <c r="E49" s="96"/>
      <c r="F49" s="158"/>
      <c r="G49" s="158"/>
      <c r="H49" s="158"/>
      <c r="I49" s="158"/>
      <c r="J49" s="158"/>
      <c r="K49" s="158"/>
      <c r="L49" s="159"/>
      <c r="M49" s="159"/>
      <c r="N49" s="159"/>
      <c r="O49" s="15" t="str">
        <f>+O1</f>
        <v>DPU Exhibit 1.1 DIR</v>
      </c>
      <c r="P49" s="52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31"/>
      <c r="AE49" s="2"/>
    </row>
    <row r="50" spans="1:31" ht="15" customHeight="1" x14ac:dyDescent="0.3">
      <c r="A50" s="183" t="str">
        <f>+A1</f>
        <v>Questar Corporation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72"/>
      <c r="O50" s="82" t="s">
        <v>200</v>
      </c>
      <c r="P50" s="183" t="str">
        <f>+A50</f>
        <v>Questar Corporation</v>
      </c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58"/>
      <c r="AD50" s="31"/>
      <c r="AE50" s="2"/>
    </row>
    <row r="51" spans="1:31" ht="15" customHeight="1" x14ac:dyDescent="0.25">
      <c r="A51" s="184" t="str">
        <f>+A2</f>
        <v>Historical Balance Sheets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23" t="str">
        <f>+N6</f>
        <v>1st Qrtr</v>
      </c>
      <c r="P51" s="52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31"/>
      <c r="AE51" s="2"/>
    </row>
    <row r="52" spans="1:31" ht="15.75" x14ac:dyDescent="0.25">
      <c r="A52" s="77" t="s">
        <v>8</v>
      </c>
      <c r="B52" s="86"/>
      <c r="C52" s="86"/>
      <c r="D52" s="86"/>
      <c r="E52" s="86"/>
      <c r="F52" s="99"/>
      <c r="G52" s="99"/>
      <c r="H52" s="181">
        <f>+H7</f>
        <v>2010</v>
      </c>
      <c r="I52" s="181">
        <f t="shared" ref="I52:N52" si="81">+I7</f>
        <v>2011</v>
      </c>
      <c r="J52" s="181">
        <f t="shared" si="81"/>
        <v>2012</v>
      </c>
      <c r="K52" s="181">
        <f t="shared" si="81"/>
        <v>2013</v>
      </c>
      <c r="L52" s="181">
        <f t="shared" si="81"/>
        <v>2014</v>
      </c>
      <c r="M52" s="181">
        <f t="shared" si="81"/>
        <v>2015</v>
      </c>
      <c r="N52" s="181">
        <f t="shared" si="81"/>
        <v>2016</v>
      </c>
      <c r="P52" s="64" t="s">
        <v>8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2"/>
    </row>
    <row r="53" spans="1:31" ht="15" x14ac:dyDescent="0.2">
      <c r="A53" s="56" t="s">
        <v>130</v>
      </c>
      <c r="B53" s="86">
        <v>68</v>
      </c>
      <c r="C53" s="86">
        <v>94.5</v>
      </c>
      <c r="D53" s="86">
        <v>40</v>
      </c>
      <c r="E53" s="86">
        <v>260.60000000000002</v>
      </c>
      <c r="F53" s="86">
        <v>231.1</v>
      </c>
      <c r="G53" s="86">
        <v>169</v>
      </c>
      <c r="H53" s="86">
        <v>242</v>
      </c>
      <c r="I53" s="86">
        <v>219</v>
      </c>
      <c r="J53" s="86">
        <v>263</v>
      </c>
      <c r="K53" s="86">
        <v>276</v>
      </c>
      <c r="L53" s="86">
        <v>347</v>
      </c>
      <c r="M53" s="86">
        <f>457.6</f>
        <v>457.6</v>
      </c>
      <c r="N53" s="86">
        <v>458.5</v>
      </c>
      <c r="O53" s="134">
        <f t="shared" ref="O53:O54" si="82">RATE(5,,-H53,M53)</f>
        <v>0.13588438662400515</v>
      </c>
      <c r="P53" s="52" t="str">
        <f t="shared" ref="P53:P65" si="83">A53</f>
        <v>Short Term Debt</v>
      </c>
      <c r="Q53" s="31">
        <f t="shared" ref="Q53:Q66" si="84">B53/B$45</f>
        <v>1.8505984644931389E-2</v>
      </c>
      <c r="R53" s="31">
        <f t="shared" ref="R53:R66" si="85">C53/C$45</f>
        <v>2.1688872323231672E-2</v>
      </c>
      <c r="S53" s="31">
        <f t="shared" ref="S53:S66" si="86">D53/D$45</f>
        <v>7.8978024364720501E-3</v>
      </c>
      <c r="T53" s="31">
        <f t="shared" ref="T53:T66" si="87">E53/E$45</f>
        <v>4.3841055146192937E-2</v>
      </c>
      <c r="U53" s="31">
        <f t="shared" ref="U53:U66" si="88">F53/F$45</f>
        <v>2.6776507119932333E-2</v>
      </c>
      <c r="V53" s="31">
        <f t="shared" ref="V53:AB54" si="89">G53/G$45</f>
        <v>1.8739050406936773E-2</v>
      </c>
      <c r="W53" s="31">
        <f t="shared" si="89"/>
        <v>7.173345980554896E-2</v>
      </c>
      <c r="X53" s="31">
        <f t="shared" si="89"/>
        <v>6.199048913043477E-2</v>
      </c>
      <c r="Y53" s="31">
        <f t="shared" si="89"/>
        <v>6.9150474587857905E-2</v>
      </c>
      <c r="Z53" s="31">
        <f t="shared" si="89"/>
        <v>6.8075870063882785E-2</v>
      </c>
      <c r="AA53" s="31">
        <f t="shared" si="89"/>
        <v>8.1652822552180163E-2</v>
      </c>
      <c r="AB53" s="31">
        <f t="shared" si="89"/>
        <v>0.10452738818584677</v>
      </c>
      <c r="AC53" s="31">
        <f t="shared" ref="AC53:AC54" si="90">N53/N$45</f>
        <v>0.10970999234303216</v>
      </c>
      <c r="AD53" s="31">
        <f>SUM(H53:L53)/SUM(H$45:L$45)</f>
        <v>7.0843654838353393E-2</v>
      </c>
      <c r="AE53" s="2"/>
    </row>
    <row r="54" spans="1:31" ht="15" x14ac:dyDescent="0.2">
      <c r="A54" s="61" t="s">
        <v>110</v>
      </c>
      <c r="B54" s="86"/>
      <c r="C54" s="86"/>
      <c r="D54" s="86">
        <v>10</v>
      </c>
      <c r="E54" s="86">
        <v>101.3</v>
      </c>
      <c r="F54" s="86">
        <v>42</v>
      </c>
      <c r="G54" s="86"/>
      <c r="H54" s="86">
        <v>182</v>
      </c>
      <c r="I54" s="86">
        <v>91.5</v>
      </c>
      <c r="J54" s="86">
        <v>42.7</v>
      </c>
      <c r="K54" s="86">
        <v>0.9</v>
      </c>
      <c r="L54" s="86">
        <v>26.1</v>
      </c>
      <c r="M54" s="86">
        <f>0.2+1.2</f>
        <v>1.4</v>
      </c>
      <c r="N54" s="86">
        <v>1.2</v>
      </c>
      <c r="O54" s="134">
        <f t="shared" si="82"/>
        <v>-0.62224403613482782</v>
      </c>
      <c r="P54" s="52" t="str">
        <f t="shared" si="83"/>
        <v>Current Portion, LTD</v>
      </c>
      <c r="Q54" s="31">
        <f t="shared" si="84"/>
        <v>0</v>
      </c>
      <c r="R54" s="31">
        <f t="shared" si="85"/>
        <v>0</v>
      </c>
      <c r="S54" s="31">
        <f t="shared" si="86"/>
        <v>1.9744506091180125E-3</v>
      </c>
      <c r="T54" s="31">
        <f t="shared" si="87"/>
        <v>1.7041822280542379E-2</v>
      </c>
      <c r="U54" s="31">
        <f t="shared" si="88"/>
        <v>4.8663491953144008E-3</v>
      </c>
      <c r="V54" s="31">
        <f t="shared" si="89"/>
        <v>0</v>
      </c>
      <c r="W54" s="31">
        <f t="shared" si="89"/>
        <v>5.3948304481859138E-2</v>
      </c>
      <c r="X54" s="31">
        <f t="shared" si="89"/>
        <v>2.5900135869565213E-2</v>
      </c>
      <c r="Y54" s="31">
        <f t="shared" si="89"/>
        <v>1.1227092261983014E-2</v>
      </c>
      <c r="Z54" s="31">
        <f t="shared" si="89"/>
        <v>2.219865328170091E-4</v>
      </c>
      <c r="AA54" s="31">
        <f t="shared" si="89"/>
        <v>6.1416099959997186E-3</v>
      </c>
      <c r="AB54" s="31">
        <f t="shared" si="89"/>
        <v>3.1979533098816753E-4</v>
      </c>
      <c r="AC54" s="31">
        <f t="shared" si="90"/>
        <v>2.8713629402756511E-4</v>
      </c>
      <c r="AD54" s="31">
        <f>SUM(H54:L54)/SUM(H$45:L$45)</f>
        <v>1.8050142791776455E-2</v>
      </c>
      <c r="AE54" s="2"/>
    </row>
    <row r="55" spans="1:31" ht="15" x14ac:dyDescent="0.2">
      <c r="A55" s="61" t="s">
        <v>166</v>
      </c>
      <c r="B55" s="86"/>
      <c r="C55" s="86"/>
      <c r="D55" s="86"/>
      <c r="E55" s="86"/>
      <c r="F55" s="86"/>
      <c r="G55" s="86">
        <v>52.9</v>
      </c>
      <c r="H55" s="86"/>
      <c r="I55" s="86"/>
      <c r="J55" s="86"/>
      <c r="K55" s="86"/>
      <c r="L55" s="86"/>
      <c r="M55" s="86"/>
      <c r="N55" s="86"/>
      <c r="O55" s="31"/>
      <c r="P55" s="5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2"/>
    </row>
    <row r="56" spans="1:31" ht="15" x14ac:dyDescent="0.2">
      <c r="A56" s="52" t="s">
        <v>90</v>
      </c>
      <c r="B56" s="86">
        <v>282.06799999999998</v>
      </c>
      <c r="C56" s="86">
        <v>444.38200000000001</v>
      </c>
      <c r="D56" s="86">
        <v>436.2</v>
      </c>
      <c r="E56" s="86">
        <v>463.1</v>
      </c>
      <c r="F56" s="86">
        <v>562.9</v>
      </c>
      <c r="G56" s="86">
        <v>169.6</v>
      </c>
      <c r="H56" s="86">
        <v>160.5</v>
      </c>
      <c r="I56" s="86">
        <v>175.7</v>
      </c>
      <c r="J56" s="86">
        <v>167.5</v>
      </c>
      <c r="K56" s="86">
        <v>158</v>
      </c>
      <c r="L56" s="86">
        <v>116</v>
      </c>
      <c r="M56" s="86">
        <v>113.7</v>
      </c>
      <c r="N56" s="86">
        <v>177.2</v>
      </c>
      <c r="O56" s="134">
        <f t="shared" ref="O56:O59" si="91">RATE(5,,-H56,M56)</f>
        <v>-6.6623020059006333E-2</v>
      </c>
      <c r="P56" s="52" t="str">
        <f t="shared" si="83"/>
        <v>Acounts Payable</v>
      </c>
      <c r="Q56" s="31">
        <f t="shared" si="84"/>
        <v>7.6763912894507458E-2</v>
      </c>
      <c r="R56" s="31">
        <f t="shared" si="85"/>
        <v>0.10199094667452209</v>
      </c>
      <c r="S56" s="31">
        <f t="shared" si="86"/>
        <v>8.6125535569727713E-2</v>
      </c>
      <c r="T56" s="31">
        <f t="shared" si="87"/>
        <v>7.7907876585579239E-2</v>
      </c>
      <c r="U56" s="31">
        <f t="shared" si="88"/>
        <v>6.5220665762916089E-2</v>
      </c>
      <c r="V56" s="31">
        <f t="shared" ref="V56:AB59" si="92">G56/G$45</f>
        <v>1.8805579579979154E-2</v>
      </c>
      <c r="W56" s="31">
        <f t="shared" si="92"/>
        <v>4.7575290490870281E-2</v>
      </c>
      <c r="X56" s="31">
        <f t="shared" si="92"/>
        <v>4.9733922101449266E-2</v>
      </c>
      <c r="Y56" s="31">
        <f t="shared" si="92"/>
        <v>4.4040701496069201E-2</v>
      </c>
      <c r="Z56" s="31">
        <f t="shared" si="92"/>
        <v>3.8970969094541598E-2</v>
      </c>
      <c r="AA56" s="31">
        <f t="shared" si="92"/>
        <v>2.7296044426665413E-2</v>
      </c>
      <c r="AB56" s="31">
        <f t="shared" si="92"/>
        <v>2.5971949380967609E-2</v>
      </c>
      <c r="AC56" s="31">
        <f t="shared" ref="AC56:AC59" si="93">N56/N$45</f>
        <v>4.2400459418070441E-2</v>
      </c>
      <c r="AD56" s="31">
        <f t="shared" ref="AD56:AD59" si="94">SUM(H56:L56)/SUM(H$45:L$45)</f>
        <v>4.0902086390339598E-2</v>
      </c>
      <c r="AE56" s="2"/>
    </row>
    <row r="57" spans="1:31" ht="15" x14ac:dyDescent="0.2">
      <c r="A57" s="56" t="s">
        <v>103</v>
      </c>
      <c r="B57" s="86">
        <v>24.771000000000001</v>
      </c>
      <c r="C57" s="86">
        <v>30.829000000000001</v>
      </c>
      <c r="D57" s="86">
        <v>31.4</v>
      </c>
      <c r="E57" s="86">
        <v>34.1</v>
      </c>
      <c r="F57" s="86">
        <v>34.9</v>
      </c>
      <c r="G57" s="86">
        <v>30.3</v>
      </c>
      <c r="H57" s="86">
        <v>26.2</v>
      </c>
      <c r="I57" s="86">
        <v>25</v>
      </c>
      <c r="J57" s="86">
        <v>30.2</v>
      </c>
      <c r="K57" s="86">
        <v>19.8</v>
      </c>
      <c r="L57" s="86">
        <v>29.4</v>
      </c>
      <c r="M57" s="86">
        <v>34.299999999999997</v>
      </c>
      <c r="N57" s="86"/>
      <c r="O57" s="134">
        <f t="shared" si="91"/>
        <v>5.5354984658286956E-2</v>
      </c>
      <c r="P57" s="52" t="str">
        <f t="shared" si="83"/>
        <v>Customer-credit Balances</v>
      </c>
      <c r="Q57" s="31">
        <f t="shared" si="84"/>
        <v>6.7413492005822867E-3</v>
      </c>
      <c r="R57" s="31">
        <f t="shared" si="85"/>
        <v>7.0756216386551243E-3</v>
      </c>
      <c r="S57" s="31">
        <f t="shared" si="86"/>
        <v>6.1997749126305596E-3</v>
      </c>
      <c r="T57" s="31">
        <f t="shared" si="87"/>
        <v>5.7366844991756684E-3</v>
      </c>
      <c r="U57" s="31">
        <f t="shared" si="88"/>
        <v>4.043704450392204E-3</v>
      </c>
      <c r="V57" s="31">
        <f t="shared" si="92"/>
        <v>3.3597232386401435E-3</v>
      </c>
      <c r="W57" s="31">
        <f t="shared" si="92"/>
        <v>7.7661844913445568E-3</v>
      </c>
      <c r="X57" s="31">
        <f t="shared" si="92"/>
        <v>7.0765398550724622E-3</v>
      </c>
      <c r="Y57" s="31">
        <f t="shared" si="92"/>
        <v>7.9404727473509837E-3</v>
      </c>
      <c r="Z57" s="31">
        <f t="shared" si="92"/>
        <v>4.8837037219742006E-3</v>
      </c>
      <c r="AA57" s="31">
        <f t="shared" si="92"/>
        <v>6.9181353977927854E-3</v>
      </c>
      <c r="AB57" s="31">
        <f t="shared" si="92"/>
        <v>7.8349856092101051E-3</v>
      </c>
      <c r="AC57" s="31">
        <f t="shared" si="93"/>
        <v>0</v>
      </c>
      <c r="AD57" s="31">
        <f t="shared" si="94"/>
        <v>6.8687314936072405E-3</v>
      </c>
      <c r="AE57" s="2"/>
    </row>
    <row r="58" spans="1:31" ht="15" x14ac:dyDescent="0.2">
      <c r="A58" s="61" t="s">
        <v>131</v>
      </c>
      <c r="B58" s="86">
        <v>43.368000000000002</v>
      </c>
      <c r="C58" s="86">
        <v>67.346000000000004</v>
      </c>
      <c r="D58" s="86">
        <v>68.900000000000006</v>
      </c>
      <c r="E58" s="86">
        <v>52.1</v>
      </c>
      <c r="F58" s="86">
        <v>57.2</v>
      </c>
      <c r="G58" s="86">
        <v>24.1</v>
      </c>
      <c r="H58" s="86">
        <v>29.9</v>
      </c>
      <c r="I58" s="86">
        <v>31.5</v>
      </c>
      <c r="J58" s="86">
        <v>28</v>
      </c>
      <c r="K58" s="86">
        <v>34.700000000000003</v>
      </c>
      <c r="L58" s="86">
        <v>35.5</v>
      </c>
      <c r="M58" s="86">
        <v>26.1</v>
      </c>
      <c r="N58" s="86"/>
      <c r="O58" s="134">
        <f t="shared" si="91"/>
        <v>-2.6818456700019158E-2</v>
      </c>
      <c r="P58" s="52" t="str">
        <f t="shared" si="83"/>
        <v>Production and Other Taxes</v>
      </c>
      <c r="Q58" s="31">
        <f t="shared" si="84"/>
        <v>1.1802463854138008E-2</v>
      </c>
      <c r="R58" s="31">
        <f t="shared" si="85"/>
        <v>1.5456706830480003E-2</v>
      </c>
      <c r="S58" s="31">
        <f t="shared" si="86"/>
        <v>1.3603964696823108E-2</v>
      </c>
      <c r="T58" s="31">
        <f t="shared" si="87"/>
        <v>8.7648464048988954E-3</v>
      </c>
      <c r="U58" s="31">
        <f t="shared" si="88"/>
        <v>6.6275041421900889E-3</v>
      </c>
      <c r="V58" s="31">
        <f t="shared" si="92"/>
        <v>2.6722551172022268E-3</v>
      </c>
      <c r="W58" s="31">
        <f t="shared" si="92"/>
        <v>8.8629357363054287E-3</v>
      </c>
      <c r="X58" s="31">
        <f t="shared" si="92"/>
        <v>8.9164402173913023E-3</v>
      </c>
      <c r="Y58" s="31">
        <f t="shared" si="92"/>
        <v>7.3620277127757474E-3</v>
      </c>
      <c r="Z58" s="31">
        <f t="shared" si="92"/>
        <v>8.5588140986113514E-3</v>
      </c>
      <c r="AA58" s="31">
        <f t="shared" si="92"/>
        <v>8.3535308374708805E-3</v>
      </c>
      <c r="AB58" s="31">
        <f t="shared" si="92"/>
        <v>5.9618986705651245E-3</v>
      </c>
      <c r="AC58" s="31">
        <f t="shared" si="93"/>
        <v>0</v>
      </c>
      <c r="AD58" s="31">
        <f t="shared" si="94"/>
        <v>8.3939475220498917E-3</v>
      </c>
      <c r="AE58" s="2"/>
    </row>
    <row r="59" spans="1:31" ht="15" x14ac:dyDescent="0.2">
      <c r="A59" s="61" t="s">
        <v>208</v>
      </c>
      <c r="B59" s="86">
        <v>14.464</v>
      </c>
      <c r="C59" s="86">
        <v>14.468</v>
      </c>
      <c r="D59" s="86">
        <v>14.9</v>
      </c>
      <c r="E59" s="86">
        <v>15.2</v>
      </c>
      <c r="F59" s="86">
        <v>27.9</v>
      </c>
      <c r="G59" s="86">
        <v>8.1999999999999993</v>
      </c>
      <c r="H59" s="86">
        <v>8.5</v>
      </c>
      <c r="I59" s="86">
        <v>10.7</v>
      </c>
      <c r="J59" s="86">
        <v>9.5</v>
      </c>
      <c r="K59" s="86">
        <v>10.199999999999999</v>
      </c>
      <c r="L59" s="86">
        <v>11.7</v>
      </c>
      <c r="M59" s="86">
        <v>11.6</v>
      </c>
      <c r="N59" s="86"/>
      <c r="O59" s="134">
        <f t="shared" si="91"/>
        <v>6.4162161704081594E-2</v>
      </c>
      <c r="P59" s="52" t="str">
        <f t="shared" si="83"/>
        <v>Interest Payable</v>
      </c>
      <c r="Q59" s="31">
        <f t="shared" si="84"/>
        <v>3.9363317927101123E-3</v>
      </c>
      <c r="R59" s="31">
        <f t="shared" si="85"/>
        <v>3.3205778282805907E-3</v>
      </c>
      <c r="S59" s="31">
        <f t="shared" si="86"/>
        <v>2.9419314075858388E-3</v>
      </c>
      <c r="T59" s="31">
        <f t="shared" si="87"/>
        <v>2.55711449816628E-3</v>
      </c>
      <c r="U59" s="31">
        <f t="shared" si="88"/>
        <v>3.2326462511731375E-3</v>
      </c>
      <c r="V59" s="31">
        <f t="shared" si="92"/>
        <v>9.0923203157918073E-4</v>
      </c>
      <c r="W59" s="31">
        <f t="shared" si="92"/>
        <v>2.5195636708560585E-3</v>
      </c>
      <c r="X59" s="31">
        <f t="shared" si="92"/>
        <v>3.0287590579710136E-3</v>
      </c>
      <c r="Y59" s="31">
        <f t="shared" si="92"/>
        <v>2.4978308311203426E-3</v>
      </c>
      <c r="Z59" s="31">
        <f t="shared" si="92"/>
        <v>2.5158473719261031E-3</v>
      </c>
      <c r="AA59" s="31">
        <f t="shared" si="92"/>
        <v>2.7531355154481493E-3</v>
      </c>
      <c r="AB59" s="31">
        <f t="shared" si="92"/>
        <v>2.6497327424733885E-3</v>
      </c>
      <c r="AC59" s="31">
        <f t="shared" si="93"/>
        <v>0</v>
      </c>
      <c r="AD59" s="31">
        <f t="shared" si="94"/>
        <v>2.6612390013516568E-3</v>
      </c>
      <c r="AE59" s="2"/>
    </row>
    <row r="60" spans="1:31" ht="15.75" x14ac:dyDescent="0.25">
      <c r="A60" s="61" t="s">
        <v>126</v>
      </c>
      <c r="B60" s="86">
        <v>64.179000000000002</v>
      </c>
      <c r="C60" s="86">
        <v>222.04900000000001</v>
      </c>
      <c r="D60" s="86">
        <v>8.1999999999999993</v>
      </c>
      <c r="E60" s="86">
        <v>9.3000000000000007</v>
      </c>
      <c r="F60" s="86">
        <v>0.5</v>
      </c>
      <c r="G60" s="111"/>
      <c r="H60" s="111"/>
      <c r="I60" s="111"/>
      <c r="J60" s="111"/>
      <c r="K60" s="111"/>
      <c r="L60" s="111"/>
      <c r="M60" s="111"/>
      <c r="N60" s="111"/>
      <c r="O60" s="65"/>
      <c r="P60" s="52" t="str">
        <f t="shared" si="83"/>
        <v>Fair Value of Derivative Contracts</v>
      </c>
      <c r="Q60" s="31">
        <f t="shared" si="84"/>
        <v>1.7466111595986055E-2</v>
      </c>
      <c r="R60" s="31">
        <f t="shared" si="85"/>
        <v>5.096288265080709E-2</v>
      </c>
      <c r="S60" s="31">
        <f t="shared" si="86"/>
        <v>1.6190494994767703E-3</v>
      </c>
      <c r="T60" s="31">
        <f t="shared" si="87"/>
        <v>1.5645503179570004E-3</v>
      </c>
      <c r="U60" s="31">
        <f t="shared" si="88"/>
        <v>5.7932728515647622E-5</v>
      </c>
      <c r="V60" s="31"/>
      <c r="W60" s="31"/>
      <c r="X60" s="31"/>
      <c r="Y60" s="31"/>
      <c r="Z60" s="31"/>
      <c r="AA60" s="31"/>
      <c r="AB60" s="31"/>
      <c r="AC60" s="31"/>
      <c r="AD60" s="31"/>
      <c r="AE60" s="2"/>
    </row>
    <row r="61" spans="1:31" ht="15" x14ac:dyDescent="0.2">
      <c r="A61" s="61" t="s">
        <v>132</v>
      </c>
      <c r="B61" s="86"/>
      <c r="C61" s="86"/>
      <c r="D61" s="86">
        <v>34.299999999999997</v>
      </c>
      <c r="E61" s="86">
        <v>58.1</v>
      </c>
      <c r="F61" s="86">
        <v>45.8</v>
      </c>
      <c r="G61" s="86"/>
      <c r="H61" s="86"/>
      <c r="I61" s="86"/>
      <c r="J61" s="86"/>
      <c r="K61" s="86"/>
      <c r="L61" s="86"/>
      <c r="M61" s="86"/>
      <c r="N61" s="86"/>
      <c r="O61" s="31"/>
      <c r="P61" s="52" t="str">
        <f t="shared" si="83"/>
        <v>Purchased Gas Adjustment</v>
      </c>
      <c r="Q61" s="31">
        <f t="shared" si="84"/>
        <v>0</v>
      </c>
      <c r="R61" s="31">
        <f t="shared" si="85"/>
        <v>0</v>
      </c>
      <c r="S61" s="31">
        <f t="shared" si="86"/>
        <v>6.7723655892747824E-3</v>
      </c>
      <c r="T61" s="31">
        <f t="shared" si="87"/>
        <v>9.7742337068066378E-3</v>
      </c>
      <c r="U61" s="31">
        <f t="shared" si="88"/>
        <v>5.3066379320333224E-3</v>
      </c>
      <c r="V61" s="31"/>
      <c r="W61" s="31"/>
      <c r="X61" s="31"/>
      <c r="Y61" s="31"/>
      <c r="Z61" s="31"/>
      <c r="AA61" s="31"/>
      <c r="AB61" s="31"/>
      <c r="AC61" s="31"/>
      <c r="AD61" s="31"/>
      <c r="AE61" s="2"/>
    </row>
    <row r="62" spans="1:31" ht="15" x14ac:dyDescent="0.2">
      <c r="A62" s="61" t="s">
        <v>133</v>
      </c>
      <c r="B62" s="86">
        <v>1.4470000000000001</v>
      </c>
      <c r="C62" s="86"/>
      <c r="D62" s="86">
        <v>35</v>
      </c>
      <c r="E62" s="86">
        <v>4.9000000000000004</v>
      </c>
      <c r="F62" s="86">
        <v>130.6</v>
      </c>
      <c r="G62" s="86"/>
      <c r="H62" s="86"/>
      <c r="I62" s="86"/>
      <c r="J62" s="86"/>
      <c r="K62" s="86"/>
      <c r="L62" s="86"/>
      <c r="M62" s="86"/>
      <c r="N62" s="86"/>
      <c r="O62" s="31"/>
      <c r="P62" s="52" t="str">
        <f t="shared" si="83"/>
        <v>Deferred Income Taxes - Current</v>
      </c>
      <c r="Q62" s="31">
        <f t="shared" si="84"/>
        <v>3.9379646737081942E-4</v>
      </c>
      <c r="R62" s="31">
        <f t="shared" si="85"/>
        <v>0</v>
      </c>
      <c r="S62" s="31">
        <f t="shared" si="86"/>
        <v>6.9105771319130441E-3</v>
      </c>
      <c r="T62" s="31">
        <f t="shared" si="87"/>
        <v>8.2433296322465617E-4</v>
      </c>
      <c r="U62" s="31">
        <f>F62/F$45</f>
        <v>1.5132028688287159E-2</v>
      </c>
      <c r="V62" s="31"/>
      <c r="W62" s="31"/>
      <c r="X62" s="31"/>
      <c r="Y62" s="31"/>
      <c r="Z62" s="31"/>
      <c r="AA62" s="31"/>
      <c r="AB62" s="31"/>
      <c r="AC62" s="31"/>
      <c r="AD62" s="31"/>
      <c r="AE62" s="2"/>
    </row>
    <row r="63" spans="1:31" ht="15" x14ac:dyDescent="0.2">
      <c r="A63" s="61" t="s">
        <v>167</v>
      </c>
      <c r="B63" s="86"/>
      <c r="C63" s="86"/>
      <c r="D63" s="86"/>
      <c r="E63" s="86"/>
      <c r="F63" s="86"/>
      <c r="G63" s="86">
        <v>30.7</v>
      </c>
      <c r="H63" s="86">
        <v>6</v>
      </c>
      <c r="I63" s="86">
        <v>15.4</v>
      </c>
      <c r="J63" s="86">
        <v>5.8</v>
      </c>
      <c r="K63" s="86">
        <v>14.1</v>
      </c>
      <c r="L63" s="86">
        <v>13.4</v>
      </c>
      <c r="M63" s="86">
        <v>6.4</v>
      </c>
      <c r="N63" s="86">
        <v>63.6</v>
      </c>
      <c r="O63" s="134">
        <f t="shared" ref="O63" si="95">RATE(5,,-H63,M63)</f>
        <v>1.299136822423639E-2</v>
      </c>
      <c r="P63" s="52" t="str">
        <f t="shared" si="83"/>
        <v>Regulatory Liabilities</v>
      </c>
      <c r="Q63" s="31"/>
      <c r="R63" s="31"/>
      <c r="S63" s="31"/>
      <c r="T63" s="31"/>
      <c r="U63" s="31"/>
      <c r="V63" s="31">
        <f>G63/G$45</f>
        <v>3.4040760206683961E-3</v>
      </c>
      <c r="W63" s="31">
        <f>H63/H$45</f>
        <v>1.7785155323689825E-3</v>
      </c>
      <c r="X63" s="31">
        <f>I63/I$45</f>
        <v>4.3591485507246371E-3</v>
      </c>
      <c r="Y63" s="31">
        <f>J63/J$45</f>
        <v>1.5249914547892619E-3</v>
      </c>
      <c r="Z63" s="31">
        <f>K63/K$45</f>
        <v>3.4777890141331424E-3</v>
      </c>
      <c r="AA63" s="31"/>
      <c r="AB63" s="31"/>
      <c r="AC63" s="31"/>
      <c r="AD63" s="31">
        <f>SUM(H63:L63)/SUM(H$45:L$45)</f>
        <v>2.8768729915797553E-3</v>
      </c>
      <c r="AE63" s="2"/>
    </row>
    <row r="64" spans="1:31" ht="15" x14ac:dyDescent="0.2">
      <c r="A64" s="61" t="s">
        <v>168</v>
      </c>
      <c r="B64" s="86"/>
      <c r="C64" s="86"/>
      <c r="D64" s="86"/>
      <c r="E64" s="86"/>
      <c r="F64" s="86"/>
      <c r="G64" s="86">
        <v>584.20000000000005</v>
      </c>
      <c r="H64" s="86"/>
      <c r="I64" s="86"/>
      <c r="J64" s="86"/>
      <c r="K64" s="86"/>
      <c r="L64" s="86"/>
      <c r="M64" s="86"/>
      <c r="N64" s="86"/>
      <c r="O64" s="31"/>
      <c r="P64" s="52" t="str">
        <f t="shared" si="83"/>
        <v>Current Liabilties of Discontinued Operations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2"/>
    </row>
    <row r="65" spans="1:31" ht="15" x14ac:dyDescent="0.2">
      <c r="A65" s="127" t="s">
        <v>58</v>
      </c>
      <c r="B65" s="86">
        <f>25.343</f>
        <v>25.343</v>
      </c>
      <c r="C65" s="96"/>
      <c r="D65" s="96"/>
      <c r="E65" s="96"/>
      <c r="F65" s="96"/>
      <c r="G65" s="96"/>
      <c r="H65" s="96"/>
      <c r="I65" s="96"/>
      <c r="J65" s="96"/>
      <c r="K65" s="96">
        <v>42.1</v>
      </c>
      <c r="L65" s="96">
        <v>42.3</v>
      </c>
      <c r="M65" s="96">
        <v>39.1</v>
      </c>
      <c r="N65" s="96"/>
      <c r="O65" s="37"/>
      <c r="P65" s="52" t="str">
        <f t="shared" si="83"/>
        <v xml:space="preserve">Other </v>
      </c>
      <c r="Q65" s="57">
        <f t="shared" si="84"/>
        <v>6.8970171890661205E-3</v>
      </c>
      <c r="R65" s="57">
        <f t="shared" si="85"/>
        <v>0</v>
      </c>
      <c r="S65" s="57">
        <f t="shared" si="86"/>
        <v>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37"/>
      <c r="AE65" s="2"/>
    </row>
    <row r="66" spans="1:31" ht="15" x14ac:dyDescent="0.2">
      <c r="A66" s="52" t="s">
        <v>37</v>
      </c>
      <c r="B66" s="95">
        <f t="shared" ref="B66:G66" si="96">SUM(B52:B65)</f>
        <v>523.64</v>
      </c>
      <c r="C66" s="95">
        <f t="shared" si="96"/>
        <v>873.57399999999996</v>
      </c>
      <c r="D66" s="95">
        <f t="shared" si="96"/>
        <v>678.9</v>
      </c>
      <c r="E66" s="95">
        <f t="shared" si="96"/>
        <v>998.7</v>
      </c>
      <c r="F66" s="95">
        <f t="shared" si="96"/>
        <v>1132.8999999999999</v>
      </c>
      <c r="G66" s="95">
        <f t="shared" si="96"/>
        <v>1069</v>
      </c>
      <c r="H66" s="95">
        <f>SUM(H53:H65)</f>
        <v>655.1</v>
      </c>
      <c r="I66" s="95">
        <f t="shared" ref="I66:N66" si="97">SUM(I53:I65)</f>
        <v>568.80000000000007</v>
      </c>
      <c r="J66" s="95">
        <f t="shared" si="97"/>
        <v>546.69999999999993</v>
      </c>
      <c r="K66" s="95">
        <f t="shared" si="97"/>
        <v>555.79999999999995</v>
      </c>
      <c r="L66" s="95">
        <f t="shared" si="97"/>
        <v>621.4</v>
      </c>
      <c r="M66" s="95">
        <f t="shared" si="97"/>
        <v>690.2</v>
      </c>
      <c r="N66" s="95">
        <f t="shared" si="97"/>
        <v>700.5</v>
      </c>
      <c r="O66" s="134">
        <f t="shared" ref="O66" si="98">RATE(5,,-H66,M66)</f>
        <v>1.0493376319183248E-2</v>
      </c>
      <c r="P66" s="52" t="s">
        <v>37</v>
      </c>
      <c r="Q66" s="31">
        <f t="shared" si="84"/>
        <v>0.14250696763929224</v>
      </c>
      <c r="R66" s="31">
        <f t="shared" si="85"/>
        <v>0.20049560794597654</v>
      </c>
      <c r="S66" s="31">
        <f t="shared" si="86"/>
        <v>0.13404545185302189</v>
      </c>
      <c r="T66" s="31">
        <f t="shared" si="87"/>
        <v>0.16801251640254369</v>
      </c>
      <c r="U66" s="31">
        <f t="shared" si="88"/>
        <v>0.13126397627075437</v>
      </c>
      <c r="V66" s="31">
        <f t="shared" ref="V66:AB66" si="99">G66/G$45</f>
        <v>0.1185328099705054</v>
      </c>
      <c r="W66" s="31">
        <f t="shared" si="99"/>
        <v>0.19418425420915342</v>
      </c>
      <c r="X66" s="31">
        <f t="shared" si="99"/>
        <v>0.16100543478260868</v>
      </c>
      <c r="Y66" s="31">
        <f t="shared" si="99"/>
        <v>0.14374359109194645</v>
      </c>
      <c r="Z66" s="31">
        <f t="shared" si="99"/>
        <v>0.13708901659965961</v>
      </c>
      <c r="AA66" s="31">
        <f t="shared" si="99"/>
        <v>0.14622208626491282</v>
      </c>
      <c r="AB66" s="31">
        <f t="shared" si="99"/>
        <v>0.15765909817716661</v>
      </c>
      <c r="AC66" s="31">
        <f t="shared" ref="AC66" si="100">N66/N$45</f>
        <v>0.16761581163859113</v>
      </c>
      <c r="AD66" s="31">
        <f>SUM(H66:L66)/SUM(H$45:L$45)</f>
        <v>0.15503557960838762</v>
      </c>
      <c r="AE66" s="2"/>
    </row>
    <row r="67" spans="1:31" ht="15" x14ac:dyDescent="0.2">
      <c r="A67" s="52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31"/>
      <c r="P67" s="52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2"/>
    </row>
    <row r="68" spans="1:31" ht="15" x14ac:dyDescent="0.2">
      <c r="A68" s="52" t="s">
        <v>56</v>
      </c>
      <c r="B68" s="86">
        <v>933.19500000000005</v>
      </c>
      <c r="C68" s="86">
        <v>983.2</v>
      </c>
      <c r="D68" s="86">
        <v>1022.4</v>
      </c>
      <c r="E68" s="86">
        <v>1021.2</v>
      </c>
      <c r="F68" s="86">
        <v>2078.9</v>
      </c>
      <c r="G68" s="86">
        <v>831.2</v>
      </c>
      <c r="H68" s="86">
        <v>898.5</v>
      </c>
      <c r="I68" s="86">
        <v>993</v>
      </c>
      <c r="J68" s="86">
        <v>1098.9000000000001</v>
      </c>
      <c r="K68" s="86">
        <v>1247.0999999999999</v>
      </c>
      <c r="L68" s="86">
        <v>1220.0999999999999</v>
      </c>
      <c r="M68" s="86">
        <f>968.1+250</f>
        <v>1218.0999999999999</v>
      </c>
      <c r="N68" s="86">
        <v>992.7</v>
      </c>
      <c r="O68" s="134">
        <f t="shared" ref="O68" si="101">RATE(5,,-H68,M68)</f>
        <v>6.2754548409372127E-2</v>
      </c>
      <c r="P68" s="52" t="str">
        <f>A68</f>
        <v>Long-Term Debt</v>
      </c>
      <c r="Q68" s="31">
        <f t="shared" ref="Q68:AB68" si="102">B68/B$45</f>
        <v>0.25396606383421688</v>
      </c>
      <c r="R68" s="31">
        <f t="shared" si="102"/>
        <v>0.22565607691218392</v>
      </c>
      <c r="S68" s="31">
        <f t="shared" si="102"/>
        <v>0.2018678302762256</v>
      </c>
      <c r="T68" s="31">
        <f t="shared" si="102"/>
        <v>0.17179771878469774</v>
      </c>
      <c r="U68" s="31">
        <f t="shared" si="102"/>
        <v>0.24087269862235972</v>
      </c>
      <c r="V68" s="31">
        <f t="shared" si="102"/>
        <v>9.2165081054709164E-2</v>
      </c>
      <c r="W68" s="31">
        <f t="shared" si="102"/>
        <v>0.26633270097225514</v>
      </c>
      <c r="X68" s="31">
        <f t="shared" si="102"/>
        <v>0.28108016304347822</v>
      </c>
      <c r="Y68" s="31">
        <f t="shared" si="102"/>
        <v>0.28893329477033103</v>
      </c>
      <c r="Z68" s="31">
        <f t="shared" si="102"/>
        <v>0.30759933897343555</v>
      </c>
      <c r="AA68" s="31">
        <f t="shared" si="102"/>
        <v>0.28710261900840056</v>
      </c>
      <c r="AB68" s="31">
        <f t="shared" si="102"/>
        <v>0.27824478048334778</v>
      </c>
      <c r="AC68" s="31">
        <f t="shared" ref="AC68" si="103">N68/N$45</f>
        <v>0.23753349923430322</v>
      </c>
      <c r="AD68" s="31">
        <f>SUM(H68:L68)/SUM(H$45:L$45)</f>
        <v>0.28703513782167595</v>
      </c>
      <c r="AE68" s="2"/>
    </row>
    <row r="69" spans="1:31" ht="15" x14ac:dyDescent="0.2">
      <c r="A69" s="52" t="s">
        <v>195</v>
      </c>
      <c r="B69" s="86"/>
      <c r="C69" s="86"/>
      <c r="D69" s="86"/>
      <c r="E69" s="86"/>
      <c r="F69" s="86"/>
      <c r="G69" s="86"/>
      <c r="H69" s="178"/>
      <c r="I69" s="178"/>
      <c r="J69" s="178">
        <v>39.299999999999997</v>
      </c>
      <c r="K69" s="178">
        <v>38.4</v>
      </c>
      <c r="L69" s="178">
        <v>37.4</v>
      </c>
      <c r="M69" s="178">
        <v>36</v>
      </c>
      <c r="N69" s="178"/>
      <c r="O69" s="134"/>
      <c r="P69" s="52" t="str">
        <f>+A69</f>
        <v>Capital Lease Obligation</v>
      </c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2"/>
    </row>
    <row r="70" spans="1:31" ht="15" x14ac:dyDescent="0.2">
      <c r="A70" s="52" t="s">
        <v>10</v>
      </c>
      <c r="B70" s="86">
        <v>572.44600000000003</v>
      </c>
      <c r="C70" s="86">
        <v>624.18700000000001</v>
      </c>
      <c r="D70" s="86">
        <v>763.9</v>
      </c>
      <c r="E70" s="86">
        <v>942.4</v>
      </c>
      <c r="F70" s="86">
        <v>1334.1</v>
      </c>
      <c r="G70" s="86">
        <v>377.7</v>
      </c>
      <c r="H70" s="178">
        <v>474.7</v>
      </c>
      <c r="I70" s="178">
        <v>500.2</v>
      </c>
      <c r="J70" s="178">
        <v>603.4</v>
      </c>
      <c r="K70" s="178">
        <v>707.2</v>
      </c>
      <c r="L70" s="178">
        <v>715.6</v>
      </c>
      <c r="M70" s="178">
        <v>779.5</v>
      </c>
      <c r="N70" s="178">
        <v>776</v>
      </c>
      <c r="O70" s="134">
        <f t="shared" ref="O70:O73" si="104">RATE(5,,-H70,M70)</f>
        <v>0.1042804347570279</v>
      </c>
      <c r="P70" s="52" t="str">
        <f>A70</f>
        <v>Deferred Income Taxes</v>
      </c>
      <c r="Q70" s="31">
        <f t="shared" ref="Q70:AB70" si="105">B70/B$45</f>
        <v>0.15578936597135876</v>
      </c>
      <c r="R70" s="31">
        <f t="shared" si="105"/>
        <v>0.14325832961715351</v>
      </c>
      <c r="S70" s="31">
        <f t="shared" si="105"/>
        <v>0.15082828203052498</v>
      </c>
      <c r="T70" s="31">
        <f t="shared" si="105"/>
        <v>0.15854109888630938</v>
      </c>
      <c r="U70" s="31">
        <f t="shared" si="105"/>
        <v>0.15457610622545098</v>
      </c>
      <c r="V70" s="31">
        <f t="shared" si="105"/>
        <v>4.1880114430177633E-2</v>
      </c>
      <c r="W70" s="31">
        <f t="shared" si="105"/>
        <v>0.14071022053592599</v>
      </c>
      <c r="X70" s="31">
        <f t="shared" si="105"/>
        <v>0.14158740942028983</v>
      </c>
      <c r="Y70" s="31">
        <f t="shared" si="105"/>
        <v>0.15865169721031736</v>
      </c>
      <c r="Z70" s="31">
        <f t="shared" si="105"/>
        <v>0.17443208445354316</v>
      </c>
      <c r="AA70" s="31">
        <f t="shared" si="105"/>
        <v>0.16838835682518768</v>
      </c>
      <c r="AB70" s="31">
        <f t="shared" si="105"/>
        <v>0.17805747178948331</v>
      </c>
      <c r="AC70" s="31">
        <f t="shared" ref="AC70" si="106">N70/N$45</f>
        <v>0.18568147013782543</v>
      </c>
      <c r="AD70" s="31">
        <f t="shared" ref="AD70:AD73" si="107">SUM(H70:L70)/SUM(H$45:L$45)</f>
        <v>0.15783882148135292</v>
      </c>
      <c r="AE70" s="2"/>
    </row>
    <row r="71" spans="1:31" ht="15" x14ac:dyDescent="0.2">
      <c r="A71" s="52" t="s">
        <v>134</v>
      </c>
      <c r="B71" s="86">
        <v>67.287999999999997</v>
      </c>
      <c r="C71" s="86">
        <v>78.123000000000005</v>
      </c>
      <c r="D71" s="86">
        <v>132.4</v>
      </c>
      <c r="E71" s="86">
        <v>149.1</v>
      </c>
      <c r="F71" s="86">
        <v>175.6</v>
      </c>
      <c r="G71" s="86">
        <v>65</v>
      </c>
      <c r="H71" s="178">
        <v>60.9</v>
      </c>
      <c r="I71" s="178">
        <v>63.8</v>
      </c>
      <c r="J71" s="178">
        <v>67.2</v>
      </c>
      <c r="K71" s="178">
        <v>67.7</v>
      </c>
      <c r="L71" s="178">
        <v>69.3</v>
      </c>
      <c r="M71" s="178">
        <v>67.599999999999994</v>
      </c>
      <c r="N71" s="178"/>
      <c r="O71" s="134">
        <f t="shared" si="104"/>
        <v>2.1094367722861513E-2</v>
      </c>
      <c r="P71" s="52" t="str">
        <f t="shared" ref="P71:P75" si="108">A71</f>
        <v>Asset Retirement Obligation</v>
      </c>
      <c r="Q71" s="31">
        <f t="shared" ref="Q71:Q74" si="109">B71/B$45</f>
        <v>1.8312216099825637E-2</v>
      </c>
      <c r="R71" s="31">
        <f t="shared" ref="R71:R74" si="110">C71/C$45</f>
        <v>1.7930156322834158E-2</v>
      </c>
      <c r="S71" s="31">
        <f t="shared" ref="S71:S74" si="111">D71/D$45</f>
        <v>2.6141726064722488E-2</v>
      </c>
      <c r="T71" s="31">
        <f t="shared" ref="T71:T74" si="112">E71/E$45</f>
        <v>2.5083274452407392E-2</v>
      </c>
      <c r="U71" s="31">
        <f t="shared" ref="U71:U74" si="113">F71/F$45</f>
        <v>2.0345974254695445E-2</v>
      </c>
      <c r="V71" s="31">
        <f t="shared" ref="V71:AB73" si="114">G71/G$45</f>
        <v>7.2073270795910667E-3</v>
      </c>
      <c r="W71" s="31">
        <f t="shared" si="114"/>
        <v>1.8051932653545173E-2</v>
      </c>
      <c r="X71" s="31">
        <f t="shared" si="114"/>
        <v>1.8059329710144924E-2</v>
      </c>
      <c r="Y71" s="31">
        <f t="shared" si="114"/>
        <v>1.7668866510661792E-2</v>
      </c>
      <c r="Z71" s="31">
        <f t="shared" si="114"/>
        <v>1.6698320301901683E-2</v>
      </c>
      <c r="AA71" s="31">
        <f t="shared" si="114"/>
        <v>1.6307033437654422E-2</v>
      </c>
      <c r="AB71" s="31">
        <f t="shared" si="114"/>
        <v>1.544154598200009E-2</v>
      </c>
      <c r="AC71" s="31">
        <f t="shared" ref="AC71:AC73" si="115">N71/N$45</f>
        <v>0</v>
      </c>
      <c r="AD71" s="31">
        <f t="shared" si="107"/>
        <v>1.7298053508785768E-2</v>
      </c>
      <c r="AE71" s="2"/>
    </row>
    <row r="72" spans="1:31" ht="15" x14ac:dyDescent="0.2">
      <c r="A72" s="52" t="s">
        <v>135</v>
      </c>
      <c r="B72" s="86">
        <v>32.64</v>
      </c>
      <c r="C72" s="86">
        <v>44.634</v>
      </c>
      <c r="D72" s="86">
        <v>106</v>
      </c>
      <c r="E72" s="86">
        <v>73.3</v>
      </c>
      <c r="F72" s="86">
        <v>205.2</v>
      </c>
      <c r="G72" s="86">
        <v>166.4</v>
      </c>
      <c r="H72" s="178">
        <v>130</v>
      </c>
      <c r="I72" s="178">
        <v>255</v>
      </c>
      <c r="J72" s="178">
        <v>246.9</v>
      </c>
      <c r="K72" s="178">
        <v>70.7</v>
      </c>
      <c r="L72" s="178">
        <v>141.9</v>
      </c>
      <c r="M72" s="178">
        <v>81.099999999999994</v>
      </c>
      <c r="N72" s="178"/>
      <c r="O72" s="134">
        <f t="shared" si="104"/>
        <v>-9.0054251122798981E-2</v>
      </c>
      <c r="P72" s="52" t="str">
        <f t="shared" si="108"/>
        <v>Pension Benefits</v>
      </c>
      <c r="Q72" s="31">
        <f t="shared" si="109"/>
        <v>8.8828726295670669E-3</v>
      </c>
      <c r="R72" s="31">
        <f t="shared" si="110"/>
        <v>1.0244033092858439E-2</v>
      </c>
      <c r="S72" s="31">
        <f t="shared" si="111"/>
        <v>2.0929176456650933E-2</v>
      </c>
      <c r="T72" s="31">
        <f t="shared" si="112"/>
        <v>1.2331348204972916E-2</v>
      </c>
      <c r="U72" s="31">
        <f t="shared" si="113"/>
        <v>2.3775591782821785E-2</v>
      </c>
      <c r="V72" s="31">
        <f t="shared" si="114"/>
        <v>1.8450757323753134E-2</v>
      </c>
      <c r="W72" s="31">
        <f t="shared" si="114"/>
        <v>3.8534503201327952E-2</v>
      </c>
      <c r="X72" s="31">
        <f t="shared" si="114"/>
        <v>7.2180706521739121E-2</v>
      </c>
      <c r="Y72" s="31">
        <f t="shared" si="114"/>
        <v>6.491730865301186E-2</v>
      </c>
      <c r="Z72" s="31">
        <f t="shared" si="114"/>
        <v>1.7438275411291716E-2</v>
      </c>
      <c r="AA72" s="31">
        <f t="shared" si="114"/>
        <v>3.3390592277101915E-2</v>
      </c>
      <c r="AB72" s="31">
        <f t="shared" si="114"/>
        <v>1.8525286673671704E-2</v>
      </c>
      <c r="AC72" s="31">
        <f t="shared" si="115"/>
        <v>0</v>
      </c>
      <c r="AD72" s="31">
        <f t="shared" si="107"/>
        <v>4.4415342621373005E-2</v>
      </c>
      <c r="AE72" s="2"/>
    </row>
    <row r="73" spans="1:31" ht="15" x14ac:dyDescent="0.2">
      <c r="A73" s="52" t="s">
        <v>136</v>
      </c>
      <c r="B73" s="86">
        <v>15.279</v>
      </c>
      <c r="C73" s="86">
        <v>16.414999999999999</v>
      </c>
      <c r="D73" s="86">
        <v>37.799999999999997</v>
      </c>
      <c r="E73" s="86">
        <v>30.2</v>
      </c>
      <c r="F73" s="86">
        <v>44.8</v>
      </c>
      <c r="G73" s="86">
        <v>40.5</v>
      </c>
      <c r="H73" s="178">
        <v>39.5</v>
      </c>
      <c r="I73" s="178">
        <v>54.7</v>
      </c>
      <c r="J73" s="178">
        <v>56.8</v>
      </c>
      <c r="K73" s="178">
        <v>42.5</v>
      </c>
      <c r="L73" s="178">
        <v>43.8</v>
      </c>
      <c r="M73" s="178">
        <v>41.9</v>
      </c>
      <c r="N73" s="178"/>
      <c r="O73" s="134">
        <f t="shared" si="104"/>
        <v>1.1866890415396738E-2</v>
      </c>
      <c r="P73" s="52" t="str">
        <f t="shared" si="108"/>
        <v>Postretirement Benefits</v>
      </c>
      <c r="Q73" s="31">
        <f t="shared" si="109"/>
        <v>4.1581314616162754E-3</v>
      </c>
      <c r="R73" s="31">
        <f t="shared" si="110"/>
        <v>3.7674374517020939E-3</v>
      </c>
      <c r="S73" s="31">
        <f t="shared" si="111"/>
        <v>7.4634233024660872E-3</v>
      </c>
      <c r="T73" s="31">
        <f t="shared" si="112"/>
        <v>5.0805827529356359E-3</v>
      </c>
      <c r="U73" s="31">
        <f t="shared" si="113"/>
        <v>5.190772475002027E-3</v>
      </c>
      <c r="V73" s="31">
        <f t="shared" si="114"/>
        <v>4.4907191803605882E-3</v>
      </c>
      <c r="W73" s="31">
        <f t="shared" si="114"/>
        <v>1.1708560588095801E-2</v>
      </c>
      <c r="X73" s="31">
        <f t="shared" si="114"/>
        <v>1.5483469202898548E-2</v>
      </c>
      <c r="Y73" s="31">
        <f t="shared" si="114"/>
        <v>1.4934399074487943E-2</v>
      </c>
      <c r="Z73" s="31">
        <f t="shared" si="114"/>
        <v>1.048269738302543E-2</v>
      </c>
      <c r="AA73" s="31">
        <f t="shared" si="114"/>
        <v>1.0306609878344353E-2</v>
      </c>
      <c r="AB73" s="31">
        <f t="shared" si="114"/>
        <v>9.5710174060030153E-3</v>
      </c>
      <c r="AC73" s="31">
        <f t="shared" si="115"/>
        <v>0</v>
      </c>
      <c r="AD73" s="31">
        <f t="shared" si="107"/>
        <v>1.2480474605153127E-2</v>
      </c>
      <c r="AE73" s="2"/>
    </row>
    <row r="74" spans="1:31" ht="15.75" x14ac:dyDescent="0.25">
      <c r="A74" s="52" t="s">
        <v>126</v>
      </c>
      <c r="B74" s="86">
        <v>14.471</v>
      </c>
      <c r="C74" s="86">
        <v>99.043999999999997</v>
      </c>
      <c r="D74" s="86">
        <v>0.2</v>
      </c>
      <c r="E74" s="86">
        <v>22.1</v>
      </c>
      <c r="F74" s="86">
        <v>69</v>
      </c>
      <c r="G74" s="111"/>
      <c r="H74" s="179"/>
      <c r="I74" s="179"/>
      <c r="J74" s="179"/>
      <c r="K74" s="179"/>
      <c r="L74" s="179"/>
      <c r="M74" s="179"/>
      <c r="N74" s="179"/>
      <c r="O74" s="65"/>
      <c r="P74" s="52" t="str">
        <f t="shared" si="108"/>
        <v>Fair Value of Derivative Contracts</v>
      </c>
      <c r="Q74" s="31">
        <f t="shared" si="109"/>
        <v>3.9382368205412082E-3</v>
      </c>
      <c r="R74" s="31">
        <f t="shared" si="110"/>
        <v>2.2731774289758283E-2</v>
      </c>
      <c r="S74" s="31">
        <f t="shared" si="111"/>
        <v>3.9489012182360258E-5</v>
      </c>
      <c r="T74" s="31">
        <f t="shared" si="112"/>
        <v>3.7179098953601841E-3</v>
      </c>
      <c r="U74" s="31">
        <f t="shared" si="113"/>
        <v>7.9947165351593723E-3</v>
      </c>
      <c r="V74" s="31"/>
      <c r="W74" s="31"/>
      <c r="X74" s="31"/>
      <c r="Y74" s="31"/>
      <c r="Z74" s="31"/>
      <c r="AA74" s="31"/>
      <c r="AB74" s="31"/>
      <c r="AC74" s="31"/>
      <c r="AD74" s="31"/>
      <c r="AE74" s="2"/>
    </row>
    <row r="75" spans="1:31" ht="15.75" x14ac:dyDescent="0.25">
      <c r="A75" s="52" t="s">
        <v>205</v>
      </c>
      <c r="B75" s="86"/>
      <c r="C75" s="86"/>
      <c r="D75" s="86"/>
      <c r="E75" s="86"/>
      <c r="F75" s="86"/>
      <c r="G75" s="111"/>
      <c r="H75" s="179"/>
      <c r="I75" s="179"/>
      <c r="J75" s="178">
        <v>54.4</v>
      </c>
      <c r="K75" s="178">
        <v>61.2</v>
      </c>
      <c r="L75" s="178">
        <v>69.900000000000006</v>
      </c>
      <c r="M75" s="178">
        <v>75.599999999999994</v>
      </c>
      <c r="N75" s="178">
        <v>349.3</v>
      </c>
      <c r="O75" s="134"/>
      <c r="P75" s="52" t="str">
        <f t="shared" si="108"/>
        <v>Noncurrent Regulatory Liabilities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2"/>
    </row>
    <row r="76" spans="1:31" ht="15" x14ac:dyDescent="0.2">
      <c r="A76" s="52" t="s">
        <v>137</v>
      </c>
      <c r="B76" s="86">
        <v>75.97</v>
      </c>
      <c r="C76" s="96">
        <v>88.093000000000004</v>
      </c>
      <c r="D76" s="96">
        <v>117.6</v>
      </c>
      <c r="E76" s="96">
        <v>129.30000000000001</v>
      </c>
      <c r="F76" s="96">
        <v>142.69999999999999</v>
      </c>
      <c r="G76" s="96">
        <f>52.2+35.3</f>
        <v>87.5</v>
      </c>
      <c r="H76" s="88">
        <v>45.5</v>
      </c>
      <c r="I76" s="88">
        <v>26.6</v>
      </c>
      <c r="J76" s="88">
        <v>22.9</v>
      </c>
      <c r="K76" s="88">
        <v>29.1</v>
      </c>
      <c r="L76" s="88">
        <v>29.2</v>
      </c>
      <c r="M76" s="88">
        <v>23.7</v>
      </c>
      <c r="N76" s="88"/>
      <c r="O76" s="134">
        <f t="shared" ref="O76:O78" si="116">RATE(5,,-H76,M76)</f>
        <v>-0.12229738987350665</v>
      </c>
      <c r="P76" s="52" t="str">
        <f>A76</f>
        <v>Other Long Term Liabilities</v>
      </c>
      <c r="Q76" s="57">
        <f t="shared" ref="Q76:AB76" si="117">B76/B$45</f>
        <v>2.0674994904050555E-2</v>
      </c>
      <c r="R76" s="57">
        <f t="shared" si="117"/>
        <v>2.0218389730904208E-2</v>
      </c>
      <c r="S76" s="57">
        <f t="shared" si="117"/>
        <v>2.3219539163227828E-2</v>
      </c>
      <c r="T76" s="57">
        <f t="shared" si="117"/>
        <v>2.1752296356111846E-2</v>
      </c>
      <c r="U76" s="57">
        <f t="shared" si="117"/>
        <v>1.6534000718365832E-2</v>
      </c>
      <c r="V76" s="57">
        <f t="shared" si="117"/>
        <v>9.7021710686802827E-3</v>
      </c>
      <c r="W76" s="57">
        <f t="shared" si="117"/>
        <v>1.3487076120464785E-2</v>
      </c>
      <c r="X76" s="57">
        <f t="shared" si="117"/>
        <v>7.5294384057971002E-3</v>
      </c>
      <c r="Y76" s="57">
        <f t="shared" si="117"/>
        <v>6.0210869508058786E-3</v>
      </c>
      <c r="Z76" s="57">
        <f t="shared" si="117"/>
        <v>7.1775645610832944E-3</v>
      </c>
      <c r="AA76" s="57">
        <f t="shared" si="117"/>
        <v>6.8710732522295689E-3</v>
      </c>
      <c r="AB76" s="57">
        <f t="shared" si="117"/>
        <v>5.4136781031568363E-3</v>
      </c>
      <c r="AC76" s="57">
        <f t="shared" ref="AC76" si="118">N76/N$45</f>
        <v>0</v>
      </c>
      <c r="AD76" s="31">
        <f>SUM(H76:L76)/SUM(H$45:L$45)</f>
        <v>8.0626074882847627E-3</v>
      </c>
      <c r="AE76" s="2"/>
    </row>
    <row r="77" spans="1:31" ht="15" x14ac:dyDescent="0.2">
      <c r="A77" s="127" t="s">
        <v>170</v>
      </c>
      <c r="B77" s="86"/>
      <c r="C77" s="96"/>
      <c r="D77" s="96"/>
      <c r="E77" s="96"/>
      <c r="F77" s="96"/>
      <c r="G77" s="96">
        <v>2824.2</v>
      </c>
      <c r="H77" s="88">
        <v>33.299999999999997</v>
      </c>
      <c r="I77" s="88">
        <v>37.200000000000003</v>
      </c>
      <c r="J77" s="88">
        <v>31.2</v>
      </c>
      <c r="K77" s="88">
        <v>35.799999999999997</v>
      </c>
      <c r="L77" s="88">
        <v>54.9</v>
      </c>
      <c r="M77" s="88">
        <v>49</v>
      </c>
      <c r="N77" s="88"/>
      <c r="O77" s="157">
        <f t="shared" si="116"/>
        <v>8.0314908119448636E-2</v>
      </c>
      <c r="P77" s="52" t="str">
        <f>A77</f>
        <v>Noncurrent Liabilities of Discontinued Operations</v>
      </c>
      <c r="Q77" s="58"/>
      <c r="R77" s="58"/>
      <c r="S77" s="58"/>
      <c r="T77" s="58"/>
      <c r="U77" s="58"/>
      <c r="V77" s="58">
        <f>G77/G$45</f>
        <v>0.3131528175104783</v>
      </c>
      <c r="W77" s="58"/>
      <c r="X77" s="58">
        <f t="shared" ref="X77:AB78" si="119">I77/I$45</f>
        <v>1.0529891304347824E-2</v>
      </c>
      <c r="Y77" s="58">
        <f t="shared" si="119"/>
        <v>8.2034023085215471E-3</v>
      </c>
      <c r="Z77" s="58">
        <f t="shared" si="119"/>
        <v>8.8301309720543609E-3</v>
      </c>
      <c r="AA77" s="58">
        <f t="shared" si="119"/>
        <v>1.2918558957102854E-2</v>
      </c>
      <c r="AB77" s="58">
        <f t="shared" si="119"/>
        <v>1.1192836584585865E-2</v>
      </c>
      <c r="AC77" s="58">
        <f t="shared" ref="AC77:AC78" si="120">N77/N$45</f>
        <v>0</v>
      </c>
      <c r="AD77" s="31">
        <f>SUM(H77:L77)/SUM(H$45:L$45)</f>
        <v>1.011901944387468E-2</v>
      </c>
      <c r="AE77" s="2"/>
    </row>
    <row r="78" spans="1:31" ht="15" x14ac:dyDescent="0.2">
      <c r="A78" s="53" t="s">
        <v>169</v>
      </c>
      <c r="B78" s="95">
        <f t="shared" ref="B78:F78" si="121">SUM(B68:B76)</f>
        <v>1711.2890000000002</v>
      </c>
      <c r="C78" s="95">
        <f t="shared" si="121"/>
        <v>1933.6960000000004</v>
      </c>
      <c r="D78" s="95">
        <f t="shared" si="121"/>
        <v>2180.2999999999997</v>
      </c>
      <c r="E78" s="95">
        <f t="shared" si="121"/>
        <v>2367.6</v>
      </c>
      <c r="F78" s="95">
        <f t="shared" si="121"/>
        <v>4050.2999999999997</v>
      </c>
      <c r="G78" s="95">
        <f t="shared" ref="G78:L78" si="122">SUM(G68:G77)</f>
        <v>4392.5</v>
      </c>
      <c r="H78" s="180">
        <f t="shared" si="122"/>
        <v>1682.4</v>
      </c>
      <c r="I78" s="180">
        <f t="shared" si="122"/>
        <v>1930.5</v>
      </c>
      <c r="J78" s="180">
        <f t="shared" si="122"/>
        <v>2221</v>
      </c>
      <c r="K78" s="180">
        <f t="shared" si="122"/>
        <v>2299.6999999999998</v>
      </c>
      <c r="L78" s="180">
        <f t="shared" si="122"/>
        <v>2382.1</v>
      </c>
      <c r="M78" s="180">
        <f t="shared" ref="M78" si="123">SUM(M68:M77)</f>
        <v>2372.4999999999995</v>
      </c>
      <c r="N78" s="180">
        <f t="shared" ref="N78" si="124">SUM(N68:N77)</f>
        <v>2118</v>
      </c>
      <c r="O78" s="134">
        <f t="shared" si="116"/>
        <v>7.1162579164619377E-2</v>
      </c>
      <c r="P78" s="52" t="str">
        <f>A78</f>
        <v>Noncurrent Liabilities</v>
      </c>
      <c r="Q78" s="31">
        <f>B78/B$45</f>
        <v>0.4657218817211764</v>
      </c>
      <c r="R78" s="31">
        <f>C78/C$45</f>
        <v>0.44380619741739469</v>
      </c>
      <c r="S78" s="31">
        <f>D78/D$45</f>
        <v>0.43048946630600021</v>
      </c>
      <c r="T78" s="31">
        <f>E78/E$45</f>
        <v>0.39830422933279508</v>
      </c>
      <c r="U78" s="31">
        <f>F78/F$45</f>
        <v>0.46928986061385514</v>
      </c>
      <c r="V78" s="31">
        <f>G78/G$45</f>
        <v>0.48704898764775018</v>
      </c>
      <c r="W78" s="31">
        <f>H78/H$45</f>
        <v>0.4986957552762627</v>
      </c>
      <c r="X78" s="31">
        <f t="shared" si="119"/>
        <v>0.54645040760869557</v>
      </c>
      <c r="Y78" s="31">
        <f t="shared" si="119"/>
        <v>0.58396655535981912</v>
      </c>
      <c r="Z78" s="31">
        <f t="shared" si="119"/>
        <v>0.56722492168808414</v>
      </c>
      <c r="AA78" s="31">
        <f t="shared" si="119"/>
        <v>0.56053368473068688</v>
      </c>
      <c r="AB78" s="31">
        <f t="shared" si="119"/>
        <v>0.54193887340673386</v>
      </c>
      <c r="AC78" s="31">
        <f t="shared" si="120"/>
        <v>0.50679555895865236</v>
      </c>
      <c r="AD78" s="31">
        <f>SUM(H78:L78)/SUM(H$45:L$45)</f>
        <v>0.55305911001015051</v>
      </c>
      <c r="AE78" s="2"/>
    </row>
    <row r="79" spans="1:31" ht="12" customHeight="1" x14ac:dyDescent="0.2">
      <c r="A79" s="53"/>
      <c r="B79" s="86"/>
      <c r="C79" s="96"/>
      <c r="D79" s="96"/>
      <c r="E79" s="96"/>
      <c r="F79" s="96"/>
      <c r="G79" s="96"/>
      <c r="H79" s="88"/>
      <c r="I79" s="88"/>
      <c r="J79" s="88"/>
      <c r="K79" s="88"/>
      <c r="L79" s="88"/>
      <c r="M79" s="88"/>
      <c r="N79" s="88"/>
      <c r="O79" s="31"/>
      <c r="P79" s="53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1" ht="15" x14ac:dyDescent="0.2">
      <c r="A80" s="52" t="s">
        <v>38</v>
      </c>
      <c r="B80" s="86">
        <f t="shared" ref="B80:G80" si="125">B78+B66</f>
        <v>2234.9290000000001</v>
      </c>
      <c r="C80" s="86">
        <f t="shared" si="125"/>
        <v>2807.2700000000004</v>
      </c>
      <c r="D80" s="86">
        <f t="shared" si="125"/>
        <v>2859.2</v>
      </c>
      <c r="E80" s="86">
        <f t="shared" si="125"/>
        <v>3366.3</v>
      </c>
      <c r="F80" s="86">
        <f t="shared" si="125"/>
        <v>5183.2</v>
      </c>
      <c r="G80" s="86">
        <f t="shared" si="125"/>
        <v>5461.5</v>
      </c>
      <c r="H80" s="178">
        <f t="shared" ref="H80" si="126">H78+H66</f>
        <v>2337.5</v>
      </c>
      <c r="I80" s="178">
        <f t="shared" ref="I80:J80" si="127">I78+I66</f>
        <v>2499.3000000000002</v>
      </c>
      <c r="J80" s="178">
        <f t="shared" si="127"/>
        <v>2767.7</v>
      </c>
      <c r="K80" s="178">
        <f t="shared" ref="K80:L80" si="128">K78+K66</f>
        <v>2855.5</v>
      </c>
      <c r="L80" s="178">
        <f t="shared" si="128"/>
        <v>3003.5</v>
      </c>
      <c r="M80" s="178">
        <f t="shared" ref="M80" si="129">M78+M66</f>
        <v>3062.7</v>
      </c>
      <c r="N80" s="178">
        <f t="shared" ref="N80" si="130">N78+N66</f>
        <v>2818.5</v>
      </c>
      <c r="O80" s="134">
        <f t="shared" ref="O80" si="131">RATE(5,,-H80,M80)</f>
        <v>5.5529967368470691E-2</v>
      </c>
      <c r="P80" s="52" t="str">
        <f>A80</f>
        <v>Total Liabilities</v>
      </c>
      <c r="Q80" s="31">
        <f t="shared" ref="Q80:AB80" si="132">B80/B$45</f>
        <v>0.60822884936046862</v>
      </c>
      <c r="R80" s="31">
        <f t="shared" si="132"/>
        <v>0.64430180536337134</v>
      </c>
      <c r="S80" s="31">
        <f t="shared" si="132"/>
        <v>0.56453491815902213</v>
      </c>
      <c r="T80" s="31">
        <f t="shared" si="132"/>
        <v>0.56631674573533874</v>
      </c>
      <c r="U80" s="31">
        <f t="shared" si="132"/>
        <v>0.6005538368846095</v>
      </c>
      <c r="V80" s="31">
        <f t="shared" si="132"/>
        <v>0.60558179761825559</v>
      </c>
      <c r="W80" s="31">
        <f t="shared" si="132"/>
        <v>0.69288000948541606</v>
      </c>
      <c r="X80" s="31">
        <f t="shared" si="132"/>
        <v>0.70745584239130432</v>
      </c>
      <c r="Y80" s="31">
        <f t="shared" si="132"/>
        <v>0.72771014645176546</v>
      </c>
      <c r="Z80" s="31">
        <f t="shared" si="132"/>
        <v>0.7043139382877438</v>
      </c>
      <c r="AA80" s="31">
        <f t="shared" si="132"/>
        <v>0.70675577099559972</v>
      </c>
      <c r="AB80" s="31">
        <f t="shared" si="132"/>
        <v>0.69959797158390047</v>
      </c>
      <c r="AC80" s="31">
        <f t="shared" ref="AC80" si="133">N80/N$45</f>
        <v>0.67441137059724354</v>
      </c>
      <c r="AD80" s="31">
        <f>SUM(H80:L80)/SUM(H$45:L$45)</f>
        <v>0.70809468961853816</v>
      </c>
      <c r="AE80" s="2"/>
    </row>
    <row r="81" spans="1:31" ht="12" customHeight="1" x14ac:dyDescent="0.2">
      <c r="A81" s="52"/>
      <c r="B81" s="86"/>
      <c r="C81" s="86"/>
      <c r="D81" s="86"/>
      <c r="E81" s="86"/>
      <c r="F81" s="86"/>
      <c r="G81" s="86"/>
      <c r="H81" s="178"/>
      <c r="I81" s="178"/>
      <c r="J81" s="178"/>
      <c r="K81" s="178"/>
      <c r="L81" s="178"/>
      <c r="M81" s="178"/>
      <c r="N81" s="178"/>
      <c r="O81" s="31"/>
      <c r="P81" s="52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2"/>
    </row>
    <row r="82" spans="1:31" ht="15.75" x14ac:dyDescent="0.25">
      <c r="A82" s="77" t="s">
        <v>59</v>
      </c>
      <c r="B82" s="86"/>
      <c r="C82" s="86"/>
      <c r="D82" s="86"/>
      <c r="E82" s="86"/>
      <c r="F82" s="86"/>
      <c r="G82" s="86"/>
      <c r="H82" s="178"/>
      <c r="I82" s="178"/>
      <c r="J82" s="178"/>
      <c r="K82" s="178"/>
      <c r="L82" s="178"/>
      <c r="M82" s="178"/>
      <c r="N82" s="178"/>
      <c r="O82" s="31"/>
      <c r="P82" s="64" t="str">
        <f t="shared" ref="P82:P88" si="134">A82</f>
        <v>Common Equity:</v>
      </c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31"/>
      <c r="AE82" s="2"/>
    </row>
    <row r="83" spans="1:31" ht="15" x14ac:dyDescent="0.2">
      <c r="A83" s="61" t="s">
        <v>5</v>
      </c>
      <c r="B83" s="86">
        <v>358.017</v>
      </c>
      <c r="C83" s="86">
        <v>383.298</v>
      </c>
      <c r="D83" s="86">
        <v>409.6</v>
      </c>
      <c r="E83" s="86">
        <v>429.3</v>
      </c>
      <c r="F83" s="86">
        <v>451</v>
      </c>
      <c r="G83" s="86">
        <v>454.8</v>
      </c>
      <c r="H83" s="178">
        <v>493</v>
      </c>
      <c r="I83" s="178">
        <v>514.70000000000005</v>
      </c>
      <c r="J83" s="178">
        <v>442.4</v>
      </c>
      <c r="K83" s="178">
        <v>464.5</v>
      </c>
      <c r="L83" s="178">
        <v>476.8</v>
      </c>
      <c r="M83" s="178">
        <v>469</v>
      </c>
      <c r="N83" s="178"/>
      <c r="O83" s="134">
        <f t="shared" ref="O83:O84" si="135">RATE(5,,-H83,M83)</f>
        <v>-9.9316334526322603E-3</v>
      </c>
      <c r="P83" s="52" t="str">
        <f t="shared" si="134"/>
        <v>Common Stock</v>
      </c>
      <c r="Q83" s="31">
        <f t="shared" ref="Q83:AB84" si="136">B83/B$45</f>
        <v>9.7433192715064718E-2</v>
      </c>
      <c r="R83" s="31">
        <f t="shared" si="136"/>
        <v>8.797144321428628E-2</v>
      </c>
      <c r="S83" s="31">
        <f t="shared" si="136"/>
        <v>8.0873496949473808E-2</v>
      </c>
      <c r="T83" s="31">
        <f t="shared" si="136"/>
        <v>7.2221661451498956E-2</v>
      </c>
      <c r="U83" s="31">
        <f t="shared" si="136"/>
        <v>5.2255321121114161E-2</v>
      </c>
      <c r="V83" s="31">
        <f t="shared" si="136"/>
        <v>5.0429113166123342E-2</v>
      </c>
      <c r="W83" s="31">
        <f t="shared" si="136"/>
        <v>0.14613469290965139</v>
      </c>
      <c r="X83" s="31">
        <f t="shared" si="136"/>
        <v>0.14569180253623187</v>
      </c>
      <c r="Y83" s="31">
        <f t="shared" si="136"/>
        <v>0.1163200378618568</v>
      </c>
      <c r="Z83" s="31">
        <f t="shared" si="136"/>
        <v>0.11456971610388969</v>
      </c>
      <c r="AA83" s="31">
        <f t="shared" si="136"/>
        <v>0.11219615502270749</v>
      </c>
      <c r="AB83" s="31">
        <f t="shared" si="136"/>
        <v>0.10713143588103613</v>
      </c>
      <c r="AC83" s="31">
        <f t="shared" ref="AC83:AC84" si="137">N83/N$45</f>
        <v>0</v>
      </c>
      <c r="AD83" s="31">
        <f t="shared" ref="AD83:AD84" si="138">SUM(H83:L83)/SUM(H$45:L$45)</f>
        <v>0.12577246932475006</v>
      </c>
      <c r="AE83" s="2"/>
    </row>
    <row r="84" spans="1:31" ht="15" x14ac:dyDescent="0.2">
      <c r="A84" s="61" t="s">
        <v>26</v>
      </c>
      <c r="B84" s="86">
        <v>1135.7180000000001</v>
      </c>
      <c r="C84" s="86">
        <v>1385.7829999999999</v>
      </c>
      <c r="D84" s="86">
        <v>1750.2</v>
      </c>
      <c r="E84" s="86">
        <v>2173.9</v>
      </c>
      <c r="F84" s="86">
        <v>2772.3</v>
      </c>
      <c r="G84" s="86">
        <v>3077.7</v>
      </c>
      <c r="H84" s="178">
        <v>647.1</v>
      </c>
      <c r="I84" s="178">
        <v>744.9</v>
      </c>
      <c r="J84" s="178">
        <v>839.5</v>
      </c>
      <c r="K84" s="178">
        <v>876.1</v>
      </c>
      <c r="L84" s="178">
        <v>970.7</v>
      </c>
      <c r="M84" s="178">
        <v>1031.4000000000001</v>
      </c>
      <c r="N84" s="178">
        <v>1360.7</v>
      </c>
      <c r="O84" s="134">
        <f t="shared" si="135"/>
        <v>9.771890936416093E-2</v>
      </c>
      <c r="P84" s="52" t="str">
        <f t="shared" si="134"/>
        <v>Retained Earnings</v>
      </c>
      <c r="Q84" s="58">
        <f t="shared" si="136"/>
        <v>0.30908205689664986</v>
      </c>
      <c r="R84" s="58">
        <f t="shared" si="136"/>
        <v>0.31805365666354452</v>
      </c>
      <c r="S84" s="58">
        <f t="shared" si="136"/>
        <v>0.34556834560783456</v>
      </c>
      <c r="T84" s="58">
        <f t="shared" si="136"/>
        <v>0.36571784260287349</v>
      </c>
      <c r="U84" s="58">
        <f t="shared" si="136"/>
        <v>0.32121380652785986</v>
      </c>
      <c r="V84" s="58">
        <f t="shared" si="136"/>
        <v>0.34126139312088349</v>
      </c>
      <c r="W84" s="58">
        <f t="shared" si="136"/>
        <v>0.19181290016599478</v>
      </c>
      <c r="X84" s="58">
        <f t="shared" si="136"/>
        <v>0.21085258152173908</v>
      </c>
      <c r="Y84" s="58">
        <f t="shared" si="136"/>
        <v>0.22072936660268713</v>
      </c>
      <c r="Z84" s="58">
        <f t="shared" si="136"/>
        <v>0.21609155711220185</v>
      </c>
      <c r="AA84" s="58">
        <f t="shared" si="136"/>
        <v>0.22841612349106999</v>
      </c>
      <c r="AB84" s="58">
        <f t="shared" si="136"/>
        <v>0.23559778884371146</v>
      </c>
      <c r="AC84" s="58">
        <f t="shared" si="137"/>
        <v>0.32558862940275651</v>
      </c>
      <c r="AD84" s="31">
        <f t="shared" si="138"/>
        <v>0.21449270788957436</v>
      </c>
      <c r="AE84" s="2"/>
    </row>
    <row r="85" spans="1:31" ht="15" x14ac:dyDescent="0.2">
      <c r="A85" s="61" t="s">
        <v>146</v>
      </c>
      <c r="B85" s="86"/>
      <c r="C85" s="86"/>
      <c r="D85" s="86"/>
      <c r="E85" s="86"/>
      <c r="F85" s="86">
        <v>29.5</v>
      </c>
      <c r="G85" s="86">
        <v>54.9</v>
      </c>
      <c r="H85" s="178"/>
      <c r="I85" s="178"/>
      <c r="J85" s="178"/>
      <c r="K85" s="178"/>
      <c r="L85" s="178"/>
      <c r="M85" s="178"/>
      <c r="N85" s="178"/>
      <c r="O85" s="31"/>
      <c r="P85" s="52" t="str">
        <f>+A85</f>
        <v>Noncontrolling Interest</v>
      </c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2"/>
    </row>
    <row r="86" spans="1:31" ht="15" x14ac:dyDescent="0.2">
      <c r="A86" s="61" t="s">
        <v>193</v>
      </c>
      <c r="B86" s="86">
        <v>-54.177</v>
      </c>
      <c r="C86" s="86">
        <v>-219.27799999999999</v>
      </c>
      <c r="D86" s="86">
        <v>45.7</v>
      </c>
      <c r="E86" s="86">
        <v>-25.3</v>
      </c>
      <c r="F86" s="86">
        <v>194.7</v>
      </c>
      <c r="G86" s="149">
        <v>-30.3</v>
      </c>
      <c r="H86" s="178">
        <v>-104</v>
      </c>
      <c r="I86" s="178">
        <v>-226.1</v>
      </c>
      <c r="J86" s="178">
        <v>-246.3</v>
      </c>
      <c r="K86" s="178">
        <v>-141.80000000000001</v>
      </c>
      <c r="L86" s="178">
        <v>-201.3</v>
      </c>
      <c r="M86" s="178">
        <v>-185.3</v>
      </c>
      <c r="N86" s="178"/>
      <c r="O86" s="157">
        <f t="shared" ref="O86:O88" si="139">RATE(5,,-H86,M86)</f>
        <v>0.12245364866513471</v>
      </c>
      <c r="P86" s="52" t="str">
        <f t="shared" si="134"/>
        <v>Accumulated Other Income (Loss)</v>
      </c>
      <c r="Q86" s="37">
        <f t="shared" ref="Q86" si="140">B86/B$45</f>
        <v>-1.4744098972183057E-2</v>
      </c>
      <c r="R86" s="37">
        <f t="shared" ref="R86" si="141">C86/C$45</f>
        <v>-5.0326905241202056E-2</v>
      </c>
      <c r="S86" s="37">
        <f t="shared" ref="S86" si="142">D86/D$45</f>
        <v>9.0232392836693178E-3</v>
      </c>
      <c r="T86" s="37">
        <f t="shared" ref="T86" si="143">E86/E$45</f>
        <v>-4.2562497897109799E-3</v>
      </c>
      <c r="U86" s="37">
        <f t="shared" ref="U86" si="144">F86/F$45</f>
        <v>2.2559004483993183E-2</v>
      </c>
      <c r="V86" s="37">
        <f t="shared" ref="V86:AB88" si="145">G86/G$45</f>
        <v>-3.3597232386401435E-3</v>
      </c>
      <c r="W86" s="37">
        <f t="shared" si="145"/>
        <v>-3.0827602561062362E-2</v>
      </c>
      <c r="X86" s="37">
        <f t="shared" si="145"/>
        <v>-6.4000226449275346E-2</v>
      </c>
      <c r="Y86" s="37">
        <f t="shared" si="145"/>
        <v>-6.4759550916309527E-2</v>
      </c>
      <c r="Z86" s="37">
        <f t="shared" si="145"/>
        <v>-3.4975211503835438E-2</v>
      </c>
      <c r="AA86" s="37">
        <f t="shared" si="145"/>
        <v>-4.736804950937714E-2</v>
      </c>
      <c r="AB86" s="37">
        <f t="shared" si="145"/>
        <v>-4.2327196308648181E-2</v>
      </c>
      <c r="AC86" s="37">
        <f t="shared" ref="AC86:AC88" si="146">N86/N$45</f>
        <v>0</v>
      </c>
      <c r="AD86" s="31">
        <f t="shared" ref="AD86:AD88" si="147">SUM(H86:L86)/SUM(H$45:L$45)</f>
        <v>-4.8359866832862621E-2</v>
      </c>
      <c r="AE86" s="2"/>
    </row>
    <row r="87" spans="1:31" ht="15" x14ac:dyDescent="0.2">
      <c r="A87" s="52" t="s">
        <v>60</v>
      </c>
      <c r="B87" s="95">
        <f t="shared" ref="B87:D87" si="148">SUM(B82:B86)</f>
        <v>1439.5580000000002</v>
      </c>
      <c r="C87" s="95">
        <f t="shared" si="148"/>
        <v>1549.8029999999999</v>
      </c>
      <c r="D87" s="95">
        <f t="shared" si="148"/>
        <v>2205.5</v>
      </c>
      <c r="E87" s="95">
        <f t="shared" ref="E87:J87" si="149">SUM(E82:E86)</f>
        <v>2577.9</v>
      </c>
      <c r="F87" s="95">
        <f t="shared" si="149"/>
        <v>3447.5</v>
      </c>
      <c r="G87" s="95">
        <f t="shared" si="149"/>
        <v>3557.1</v>
      </c>
      <c r="H87" s="180">
        <f t="shared" si="149"/>
        <v>1036.0999999999999</v>
      </c>
      <c r="I87" s="180">
        <f t="shared" si="149"/>
        <v>1033.5</v>
      </c>
      <c r="J87" s="180">
        <f t="shared" si="149"/>
        <v>1035.6000000000001</v>
      </c>
      <c r="K87" s="180">
        <f t="shared" ref="K87:L87" si="150">SUM(K82:K86)</f>
        <v>1198.8</v>
      </c>
      <c r="L87" s="180">
        <f t="shared" si="150"/>
        <v>1246.2</v>
      </c>
      <c r="M87" s="180">
        <f t="shared" ref="M87" si="151">SUM(M82:M86)</f>
        <v>1315.1000000000001</v>
      </c>
      <c r="N87" s="180">
        <f t="shared" ref="N87" si="152">SUM(N82:N86)</f>
        <v>1360.7</v>
      </c>
      <c r="O87" s="166">
        <f t="shared" si="139"/>
        <v>4.8845262308474836E-2</v>
      </c>
      <c r="P87" s="52" t="str">
        <f t="shared" si="134"/>
        <v>Total Common Equity</v>
      </c>
      <c r="Q87" s="57">
        <f t="shared" ref="Q87:U88" si="153">B87/B$45</f>
        <v>0.39177115063953155</v>
      </c>
      <c r="R87" s="57">
        <f t="shared" si="153"/>
        <v>0.35569819463662872</v>
      </c>
      <c r="S87" s="57">
        <f t="shared" si="153"/>
        <v>0.43546508184097771</v>
      </c>
      <c r="T87" s="57">
        <f t="shared" si="153"/>
        <v>0.43368325426466142</v>
      </c>
      <c r="U87" s="57">
        <f t="shared" si="153"/>
        <v>0.39944616311539038</v>
      </c>
      <c r="V87" s="57">
        <f t="shared" si="145"/>
        <v>0.39441820238174435</v>
      </c>
      <c r="W87" s="57">
        <f t="shared" si="145"/>
        <v>0.30711999051458377</v>
      </c>
      <c r="X87" s="57">
        <f t="shared" si="145"/>
        <v>0.29254415760869562</v>
      </c>
      <c r="Y87" s="57">
        <f t="shared" si="145"/>
        <v>0.27228985354823443</v>
      </c>
      <c r="Z87" s="57">
        <f t="shared" si="145"/>
        <v>0.29568606171225609</v>
      </c>
      <c r="AA87" s="57">
        <f t="shared" si="145"/>
        <v>0.29324422900440034</v>
      </c>
      <c r="AB87" s="57">
        <f t="shared" si="145"/>
        <v>0.30040202841609942</v>
      </c>
      <c r="AC87" s="57">
        <f t="shared" si="146"/>
        <v>0.32558862940275651</v>
      </c>
      <c r="AD87" s="31">
        <f t="shared" si="147"/>
        <v>0.29190531038146178</v>
      </c>
      <c r="AE87" s="2"/>
    </row>
    <row r="88" spans="1:31" ht="15.75" thickBot="1" x14ac:dyDescent="0.25">
      <c r="A88" s="52" t="s">
        <v>39</v>
      </c>
      <c r="B88" s="100">
        <f>B87+B80</f>
        <v>3674.4870000000001</v>
      </c>
      <c r="C88" s="100">
        <f t="shared" ref="C88:H88" si="154">C87+C80</f>
        <v>4357.0730000000003</v>
      </c>
      <c r="D88" s="100">
        <f t="shared" si="154"/>
        <v>5064.7</v>
      </c>
      <c r="E88" s="100">
        <f t="shared" si="154"/>
        <v>5944.2000000000007</v>
      </c>
      <c r="F88" s="100">
        <f t="shared" si="154"/>
        <v>8630.7000000000007</v>
      </c>
      <c r="G88" s="100">
        <f t="shared" si="154"/>
        <v>9018.6</v>
      </c>
      <c r="H88" s="100">
        <f t="shared" si="154"/>
        <v>3373.6</v>
      </c>
      <c r="I88" s="100">
        <f t="shared" ref="I88:J88" si="155">I87+I80</f>
        <v>3532.8</v>
      </c>
      <c r="J88" s="100">
        <f t="shared" si="155"/>
        <v>3803.3</v>
      </c>
      <c r="K88" s="100">
        <f t="shared" ref="K88:L88" si="156">K87+K80</f>
        <v>4054.3</v>
      </c>
      <c r="L88" s="100">
        <f t="shared" si="156"/>
        <v>4249.7</v>
      </c>
      <c r="M88" s="100">
        <f t="shared" ref="M88" si="157">M87+M80</f>
        <v>4377.8</v>
      </c>
      <c r="N88" s="100">
        <f t="shared" ref="N88" si="158">N87+N80</f>
        <v>4179.2</v>
      </c>
      <c r="O88" s="167">
        <f t="shared" si="139"/>
        <v>5.3494968566853089E-2</v>
      </c>
      <c r="P88" s="52" t="str">
        <f t="shared" si="134"/>
        <v>Total Liabilities &amp; Equity</v>
      </c>
      <c r="Q88" s="62">
        <f t="shared" si="153"/>
        <v>1.0000000000000002</v>
      </c>
      <c r="R88" s="62">
        <f t="shared" si="153"/>
        <v>1</v>
      </c>
      <c r="S88" s="62">
        <f t="shared" si="153"/>
        <v>0.99999999999999978</v>
      </c>
      <c r="T88" s="62">
        <f t="shared" si="153"/>
        <v>1.0000000000000002</v>
      </c>
      <c r="U88" s="114">
        <f t="shared" si="153"/>
        <v>1</v>
      </c>
      <c r="V88" s="114">
        <f t="shared" si="145"/>
        <v>1</v>
      </c>
      <c r="W88" s="114">
        <f t="shared" si="145"/>
        <v>0.99999999999999989</v>
      </c>
      <c r="X88" s="114">
        <f t="shared" si="145"/>
        <v>0.99999999999999989</v>
      </c>
      <c r="Y88" s="114">
        <f t="shared" si="145"/>
        <v>1</v>
      </c>
      <c r="Z88" s="114">
        <f t="shared" si="145"/>
        <v>1</v>
      </c>
      <c r="AA88" s="114">
        <f t="shared" si="145"/>
        <v>1</v>
      </c>
      <c r="AB88" s="114">
        <f t="shared" si="145"/>
        <v>1</v>
      </c>
      <c r="AC88" s="114">
        <f t="shared" si="146"/>
        <v>1</v>
      </c>
      <c r="AD88" s="31">
        <f t="shared" si="147"/>
        <v>1</v>
      </c>
      <c r="AE88" s="2"/>
    </row>
    <row r="89" spans="1:31" ht="15.75" thickTop="1" x14ac:dyDescent="0.2">
      <c r="A89" s="52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134"/>
      <c r="P89" s="52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31"/>
      <c r="AE89" s="2"/>
    </row>
    <row r="90" spans="1:31" ht="20.25" x14ac:dyDescent="0.3">
      <c r="A90" s="183" t="str">
        <f>A1</f>
        <v>Questar Corporation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72"/>
      <c r="O90" s="68" t="str">
        <f>+O49</f>
        <v>DPU Exhibit 1.1 DIR</v>
      </c>
      <c r="P90" s="183" t="str">
        <f>A1</f>
        <v>Questar Corporation</v>
      </c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61"/>
      <c r="AD90" s="68" t="str">
        <f>+O90</f>
        <v>DPU Exhibit 1.1 DIR</v>
      </c>
      <c r="AE90" s="2"/>
    </row>
    <row r="91" spans="1:31" ht="15.75" x14ac:dyDescent="0.25">
      <c r="A91" s="185" t="s">
        <v>13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75"/>
      <c r="O91" s="79" t="s">
        <v>202</v>
      </c>
      <c r="P91" s="185" t="s">
        <v>43</v>
      </c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60"/>
      <c r="AD91" s="79"/>
      <c r="AE91" s="2"/>
    </row>
    <row r="92" spans="1:31" ht="15.75" x14ac:dyDescent="0.25">
      <c r="A92" s="182" t="str">
        <f>A3</f>
        <v>Years Ended December 31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76"/>
      <c r="O92" s="63"/>
      <c r="P92" s="185" t="s">
        <v>13</v>
      </c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60"/>
      <c r="AE92" s="2"/>
    </row>
    <row r="93" spans="1:31" ht="15.75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63"/>
      <c r="AD93" s="48"/>
      <c r="AE93" s="2"/>
    </row>
    <row r="94" spans="1:31" ht="15.75" x14ac:dyDescent="0.25">
      <c r="A94" s="186" t="s">
        <v>67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63"/>
      <c r="O94" s="79" t="str">
        <f>O5</f>
        <v>2010 to 2015</v>
      </c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5"/>
      <c r="AE94" s="2"/>
    </row>
    <row r="95" spans="1:31" ht="15" customHeight="1" x14ac:dyDescent="0.25">
      <c r="A95" s="64"/>
      <c r="B95" s="64"/>
      <c r="C95" s="66"/>
      <c r="D95" s="66"/>
      <c r="E95" s="66"/>
      <c r="F95" s="67"/>
      <c r="G95" s="67" t="str">
        <f>+G6</f>
        <v>RECAST</v>
      </c>
      <c r="H95" s="67"/>
      <c r="I95" s="67"/>
      <c r="J95" s="67"/>
      <c r="K95" s="67"/>
      <c r="L95" s="67"/>
      <c r="M95" s="67"/>
      <c r="N95" s="67" t="str">
        <f>+N6</f>
        <v>1st Qrtr</v>
      </c>
      <c r="O95" s="82" t="s">
        <v>3</v>
      </c>
      <c r="P95" s="64"/>
      <c r="Q95" s="64"/>
      <c r="R95" s="66"/>
      <c r="S95" s="66"/>
      <c r="T95" s="66"/>
      <c r="U95" s="67"/>
      <c r="V95" s="67" t="str">
        <f>+G95</f>
        <v>RECAST</v>
      </c>
      <c r="W95" s="67"/>
      <c r="X95" s="67"/>
      <c r="Y95" s="67"/>
      <c r="Z95" s="67"/>
      <c r="AA95" s="67"/>
      <c r="AB95" s="67"/>
      <c r="AC95" s="67" t="str">
        <f>+N95</f>
        <v>1st Qrtr</v>
      </c>
      <c r="AD95" s="79" t="s">
        <v>217</v>
      </c>
      <c r="AE95" s="2"/>
    </row>
    <row r="96" spans="1:31" ht="15.75" x14ac:dyDescent="0.25">
      <c r="A96" s="71" t="s">
        <v>0</v>
      </c>
      <c r="B96" s="70">
        <f>+B7</f>
        <v>2004</v>
      </c>
      <c r="C96" s="70">
        <f t="shared" ref="C96:E96" si="159">B96+1</f>
        <v>2005</v>
      </c>
      <c r="D96" s="70">
        <f t="shared" si="159"/>
        <v>2006</v>
      </c>
      <c r="E96" s="70">
        <f t="shared" si="159"/>
        <v>2007</v>
      </c>
      <c r="F96" s="70">
        <f>E96+1</f>
        <v>2008</v>
      </c>
      <c r="G96" s="70">
        <f>F96+1</f>
        <v>2009</v>
      </c>
      <c r="H96" s="70">
        <f>G96+1</f>
        <v>2010</v>
      </c>
      <c r="I96" s="70">
        <f>+I7</f>
        <v>2011</v>
      </c>
      <c r="J96" s="70">
        <f>+J7</f>
        <v>2012</v>
      </c>
      <c r="K96" s="70">
        <f>+K7</f>
        <v>2013</v>
      </c>
      <c r="L96" s="70">
        <f>+L7</f>
        <v>2014</v>
      </c>
      <c r="M96" s="70">
        <f>+M7</f>
        <v>2015</v>
      </c>
      <c r="N96" s="70">
        <f>+N7</f>
        <v>2016</v>
      </c>
      <c r="O96" s="80" t="s">
        <v>22</v>
      </c>
      <c r="P96" s="71" t="s">
        <v>0</v>
      </c>
      <c r="Q96" s="70">
        <f t="shared" ref="Q96:W96" si="160">B96</f>
        <v>2004</v>
      </c>
      <c r="R96" s="70">
        <f t="shared" si="160"/>
        <v>2005</v>
      </c>
      <c r="S96" s="70">
        <f t="shared" si="160"/>
        <v>2006</v>
      </c>
      <c r="T96" s="70">
        <f t="shared" si="160"/>
        <v>2007</v>
      </c>
      <c r="U96" s="70">
        <f t="shared" si="160"/>
        <v>2008</v>
      </c>
      <c r="V96" s="70">
        <f t="shared" si="160"/>
        <v>2009</v>
      </c>
      <c r="W96" s="70">
        <f t="shared" si="160"/>
        <v>2010</v>
      </c>
      <c r="X96" s="70">
        <f>+I96</f>
        <v>2011</v>
      </c>
      <c r="Y96" s="70">
        <f>+J96</f>
        <v>2012</v>
      </c>
      <c r="Z96" s="70">
        <f>+K96</f>
        <v>2013</v>
      </c>
      <c r="AA96" s="70">
        <f>+L96</f>
        <v>2014</v>
      </c>
      <c r="AB96" s="70">
        <f>+M96</f>
        <v>2015</v>
      </c>
      <c r="AC96" s="70">
        <f>+N96</f>
        <v>2016</v>
      </c>
      <c r="AD96" s="80" t="s">
        <v>2</v>
      </c>
      <c r="AE96" s="2"/>
    </row>
    <row r="97" spans="1:31" ht="15" customHeight="1" x14ac:dyDescent="0.2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  <c r="AE97" s="2"/>
    </row>
    <row r="98" spans="1:31" ht="15.75" x14ac:dyDescent="0.25">
      <c r="A98" s="64" t="s">
        <v>21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31"/>
      <c r="P98" s="64" t="s">
        <v>20</v>
      </c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"/>
    </row>
    <row r="99" spans="1:31" ht="15" hidden="1" x14ac:dyDescent="0.2">
      <c r="A99" s="52" t="s">
        <v>115</v>
      </c>
      <c r="B99" s="86">
        <f>1053.854</f>
        <v>1053.854</v>
      </c>
      <c r="C99" s="86">
        <f>1668.67</f>
        <v>1668.67</v>
      </c>
      <c r="D99" s="87">
        <v>1659.4</v>
      </c>
      <c r="E99" s="88">
        <v>1671.3</v>
      </c>
      <c r="F99" s="88">
        <v>2297.1999999999998</v>
      </c>
      <c r="G99" s="88"/>
      <c r="H99" s="88"/>
      <c r="I99" s="88"/>
      <c r="J99" s="88"/>
      <c r="K99" s="88"/>
      <c r="L99" s="88"/>
      <c r="M99" s="88"/>
      <c r="N99" s="88"/>
      <c r="O99" s="31"/>
      <c r="P99" s="52" t="str">
        <f>A99</f>
        <v>Market Resources</v>
      </c>
      <c r="Q99" s="31">
        <f t="shared" ref="Q99:U101" si="161">B99/B$104</f>
        <v>0.55424256783443626</v>
      </c>
      <c r="R99" s="31">
        <f t="shared" si="161"/>
        <v>0.61238113272912509</v>
      </c>
      <c r="S99" s="31">
        <f t="shared" si="161"/>
        <v>0.58520242629425878</v>
      </c>
      <c r="T99" s="31">
        <f t="shared" si="161"/>
        <v>0.61296119709528352</v>
      </c>
      <c r="U99" s="31">
        <f t="shared" si="161"/>
        <v>0.66295345011687978</v>
      </c>
      <c r="V99" s="31"/>
      <c r="W99" s="31"/>
      <c r="X99" s="31"/>
      <c r="Y99" s="31"/>
      <c r="Z99" s="31"/>
      <c r="AA99" s="31"/>
      <c r="AB99" s="31"/>
      <c r="AC99" s="31"/>
      <c r="AD99" s="31"/>
      <c r="AE99" s="2"/>
    </row>
    <row r="100" spans="1:31" ht="15" x14ac:dyDescent="0.2">
      <c r="A100" s="52" t="s">
        <v>116</v>
      </c>
      <c r="B100" s="86">
        <f>67.844+20.247</f>
        <v>88.090999999999994</v>
      </c>
      <c r="C100" s="86">
        <f>82.589+17.226</f>
        <v>99.814999999999998</v>
      </c>
      <c r="D100" s="87">
        <v>117.1</v>
      </c>
      <c r="E100" s="88">
        <v>127.7</v>
      </c>
      <c r="F100" s="88">
        <v>173.7</v>
      </c>
      <c r="G100" s="88">
        <v>173.2</v>
      </c>
      <c r="H100" s="88">
        <v>197.2</v>
      </c>
      <c r="I100" s="88">
        <v>197.4</v>
      </c>
      <c r="J100" s="88">
        <v>203.1</v>
      </c>
      <c r="K100" s="88">
        <v>189.5</v>
      </c>
      <c r="L100" s="88">
        <v>190.2</v>
      </c>
      <c r="M100" s="88">
        <v>187.9</v>
      </c>
      <c r="N100" s="88">
        <v>43</v>
      </c>
      <c r="O100" s="134">
        <f>RATE(5,,-H100,M100)</f>
        <v>-9.6151828126984917E-3</v>
      </c>
      <c r="P100" s="52" t="str">
        <f>+A100</f>
        <v>Questar Pipeline</v>
      </c>
      <c r="Q100" s="31">
        <f t="shared" si="161"/>
        <v>4.6328791315593358E-2</v>
      </c>
      <c r="R100" s="31">
        <f t="shared" si="161"/>
        <v>3.663086336025554E-2</v>
      </c>
      <c r="S100" s="31">
        <f t="shared" si="161"/>
        <v>4.1296374664973899E-2</v>
      </c>
      <c r="T100" s="31">
        <f t="shared" si="161"/>
        <v>4.6834885938531509E-2</v>
      </c>
      <c r="U100" s="31">
        <f t="shared" si="161"/>
        <v>5.0128423422123466E-2</v>
      </c>
      <c r="V100" s="31">
        <f t="shared" ref="V100:AB101" si="162">G100/G$104</f>
        <v>0.15605009460311742</v>
      </c>
      <c r="W100" s="31">
        <f t="shared" si="162"/>
        <v>0.17550729797080811</v>
      </c>
      <c r="X100" s="31">
        <f t="shared" si="162"/>
        <v>0.16527126590756866</v>
      </c>
      <c r="Y100" s="31">
        <f t="shared" si="162"/>
        <v>0.18482118482118484</v>
      </c>
      <c r="Z100" s="31">
        <f t="shared" si="162"/>
        <v>0.15532786885245903</v>
      </c>
      <c r="AA100" s="31">
        <f t="shared" si="162"/>
        <v>0.15992600689481209</v>
      </c>
      <c r="AB100" s="31">
        <f t="shared" si="162"/>
        <v>0.16556524803947484</v>
      </c>
      <c r="AC100" s="31">
        <f t="shared" ref="AC100:AC101" si="163">N100/N$104</f>
        <v>9.4236248082401941E-2</v>
      </c>
      <c r="AD100" s="31">
        <f>SUM(H100:L100)/SUM(H$104:L$104)</f>
        <v>0.16775943153341805</v>
      </c>
      <c r="AE100" s="2"/>
    </row>
    <row r="101" spans="1:31" ht="15" x14ac:dyDescent="0.2">
      <c r="A101" s="52" t="s">
        <v>117</v>
      </c>
      <c r="B101" s="89">
        <v>759.48599999999999</v>
      </c>
      <c r="C101" s="89">
        <v>956.40300000000002</v>
      </c>
      <c r="D101" s="87">
        <v>1059.0999999999999</v>
      </c>
      <c r="E101" s="88">
        <v>927.6</v>
      </c>
      <c r="F101" s="88">
        <v>994.2</v>
      </c>
      <c r="G101" s="88">
        <v>918.9</v>
      </c>
      <c r="H101" s="88">
        <v>901.8</v>
      </c>
      <c r="I101" s="88">
        <v>965.5</v>
      </c>
      <c r="J101" s="88">
        <v>859.7</v>
      </c>
      <c r="K101" s="88">
        <v>985.2</v>
      </c>
      <c r="L101" s="88">
        <v>960.9</v>
      </c>
      <c r="M101" s="88">
        <v>917.6</v>
      </c>
      <c r="N101" s="88">
        <v>407.9</v>
      </c>
      <c r="O101" s="134">
        <f t="shared" ref="O101:O102" si="164">RATE(5,,-H101,M101)</f>
        <v>3.4798004621714226E-3</v>
      </c>
      <c r="P101" s="52" t="str">
        <f>A101</f>
        <v>Questar Gas</v>
      </c>
      <c r="Q101" s="58">
        <f t="shared" si="161"/>
        <v>0.39942864084997037</v>
      </c>
      <c r="R101" s="58">
        <f t="shared" si="161"/>
        <v>0.35098800391061946</v>
      </c>
      <c r="S101" s="58">
        <f t="shared" si="161"/>
        <v>0.37350119904076734</v>
      </c>
      <c r="T101" s="58">
        <f t="shared" si="161"/>
        <v>0.34020391696618502</v>
      </c>
      <c r="U101" s="58">
        <f t="shared" si="161"/>
        <v>0.28691812646099685</v>
      </c>
      <c r="V101" s="58">
        <f t="shared" si="162"/>
        <v>0.82791242454275171</v>
      </c>
      <c r="W101" s="58">
        <f t="shared" si="162"/>
        <v>0.80259878960484166</v>
      </c>
      <c r="X101" s="58">
        <f t="shared" si="162"/>
        <v>0.80835565974547885</v>
      </c>
      <c r="Y101" s="58">
        <f t="shared" si="162"/>
        <v>0.78232778232778244</v>
      </c>
      <c r="Z101" s="58">
        <f t="shared" si="162"/>
        <v>0.80754098360655746</v>
      </c>
      <c r="AA101" s="58">
        <f t="shared" si="162"/>
        <v>0.80795425880770222</v>
      </c>
      <c r="AB101" s="58">
        <f t="shared" si="162"/>
        <v>0.80852938584897338</v>
      </c>
      <c r="AC101" s="58">
        <f t="shared" si="163"/>
        <v>0.89392943239097089</v>
      </c>
      <c r="AD101" s="31">
        <f t="shared" ref="AD101:AD104" si="165">SUM(H101:L101)/SUM(H$104:L$104)</f>
        <v>0.80208369091345999</v>
      </c>
      <c r="AE101" s="2"/>
    </row>
    <row r="102" spans="1:31" ht="15" x14ac:dyDescent="0.2">
      <c r="A102" s="52" t="s">
        <v>155</v>
      </c>
      <c r="B102" s="89"/>
      <c r="C102" s="89"/>
      <c r="D102" s="87"/>
      <c r="E102" s="88"/>
      <c r="F102" s="88"/>
      <c r="G102" s="88">
        <v>17.8</v>
      </c>
      <c r="H102" s="88">
        <v>24.6</v>
      </c>
      <c r="I102" s="88">
        <v>31.5</v>
      </c>
      <c r="J102" s="88">
        <v>36.1</v>
      </c>
      <c r="K102" s="88">
        <v>45.1</v>
      </c>
      <c r="L102" s="88">
        <v>35.6</v>
      </c>
      <c r="M102" s="88">
        <v>22.9</v>
      </c>
      <c r="N102" s="88">
        <v>3.5</v>
      </c>
      <c r="O102" s="134">
        <f t="shared" si="164"/>
        <v>-1.4219835836136532E-2</v>
      </c>
      <c r="P102" s="52" t="str">
        <f>+A102</f>
        <v>Wexpro</v>
      </c>
      <c r="Q102" s="37"/>
      <c r="R102" s="37"/>
      <c r="S102" s="37"/>
      <c r="T102" s="37"/>
      <c r="U102" s="58"/>
      <c r="V102" s="58">
        <f>G102/G$104</f>
        <v>1.6037480854131005E-2</v>
      </c>
      <c r="W102" s="58">
        <f t="shared" ref="W102" si="166">H102/H$104</f>
        <v>2.1893912424350306E-2</v>
      </c>
      <c r="X102" s="58">
        <f t="shared" ref="X102:AC102" si="167">I102/I$104</f>
        <v>2.6373074346952442E-2</v>
      </c>
      <c r="Y102" s="58">
        <f t="shared" si="167"/>
        <v>3.2851032851032858E-2</v>
      </c>
      <c r="Z102" s="58">
        <f t="shared" si="167"/>
        <v>3.6967213114754101E-2</v>
      </c>
      <c r="AA102" s="58">
        <f t="shared" si="167"/>
        <v>2.9933574371479029E-2</v>
      </c>
      <c r="AB102" s="58">
        <f t="shared" si="167"/>
        <v>2.0177989250154196E-2</v>
      </c>
      <c r="AC102" s="58">
        <f t="shared" si="167"/>
        <v>7.670392285776902E-3</v>
      </c>
      <c r="AD102" s="31">
        <f t="shared" si="165"/>
        <v>2.9676289863032515E-2</v>
      </c>
      <c r="AE102" s="2"/>
    </row>
    <row r="103" spans="1:31" ht="15" x14ac:dyDescent="0.2">
      <c r="A103" s="52" t="s">
        <v>204</v>
      </c>
      <c r="B103" s="89"/>
      <c r="C103" s="89"/>
      <c r="D103" s="87"/>
      <c r="E103" s="88"/>
      <c r="F103" s="88"/>
      <c r="G103" s="88"/>
      <c r="H103" s="88"/>
      <c r="I103" s="88"/>
      <c r="J103" s="88"/>
      <c r="K103" s="88">
        <v>0.2</v>
      </c>
      <c r="L103" s="88">
        <v>2.6</v>
      </c>
      <c r="M103" s="88">
        <v>6.5</v>
      </c>
      <c r="N103" s="88">
        <v>1.9</v>
      </c>
      <c r="O103" s="157"/>
      <c r="P103" s="52" t="str">
        <f>+A103</f>
        <v>Other</v>
      </c>
      <c r="Q103" s="58"/>
      <c r="R103" s="58"/>
      <c r="S103" s="58"/>
      <c r="T103" s="58"/>
      <c r="U103" s="37"/>
      <c r="V103" s="37"/>
      <c r="W103" s="37"/>
      <c r="X103" s="37"/>
      <c r="Y103" s="37"/>
      <c r="Z103" s="37">
        <f>+K103/K104</f>
        <v>1.639344262295082E-4</v>
      </c>
      <c r="AA103" s="37">
        <f t="shared" ref="AA103:AC104" si="168">L103/L$104</f>
        <v>2.1861599260068953E-3</v>
      </c>
      <c r="AB103" s="37">
        <f t="shared" si="168"/>
        <v>5.7273768613974796E-3</v>
      </c>
      <c r="AC103" s="37">
        <f t="shared" si="168"/>
        <v>4.1639272408503184E-3</v>
      </c>
      <c r="AD103" s="31">
        <f t="shared" si="165"/>
        <v>4.8058769008959542E-4</v>
      </c>
      <c r="AE103" s="2"/>
    </row>
    <row r="104" spans="1:31" ht="15" x14ac:dyDescent="0.2">
      <c r="A104" s="52" t="s">
        <v>50</v>
      </c>
      <c r="B104" s="91">
        <f t="shared" ref="B104:G104" si="169">SUM(B98:B102)</f>
        <v>1901.431</v>
      </c>
      <c r="C104" s="91">
        <f t="shared" si="169"/>
        <v>2724.8879999999999</v>
      </c>
      <c r="D104" s="91">
        <f t="shared" si="169"/>
        <v>2835.6</v>
      </c>
      <c r="E104" s="91">
        <f t="shared" si="169"/>
        <v>2726.6</v>
      </c>
      <c r="F104" s="91">
        <f t="shared" si="169"/>
        <v>3465.0999999999995</v>
      </c>
      <c r="G104" s="91">
        <f t="shared" si="169"/>
        <v>1109.8999999999999</v>
      </c>
      <c r="H104" s="91">
        <f>SUM(H98:H102)</f>
        <v>1123.5999999999999</v>
      </c>
      <c r="I104" s="91">
        <f>SUM(I98:I102)</f>
        <v>1194.4000000000001</v>
      </c>
      <c r="J104" s="91">
        <f>SUM(J98:J102)</f>
        <v>1098.8999999999999</v>
      </c>
      <c r="K104" s="91">
        <f>SUM(K98:K103)</f>
        <v>1220</v>
      </c>
      <c r="L104" s="91">
        <f>SUM(L98:L103)</f>
        <v>1189.2999999999997</v>
      </c>
      <c r="M104" s="91">
        <f>SUM(M98:M103)</f>
        <v>1134.9000000000001</v>
      </c>
      <c r="N104" s="91">
        <f>SUM(N98:N103)</f>
        <v>456.29999999999995</v>
      </c>
      <c r="O104" s="134">
        <f>RATE(5,,-H104,M104)</f>
        <v>2.0033490430304292E-3</v>
      </c>
      <c r="P104" s="52" t="str">
        <f>A104</f>
        <v>Total Revenues</v>
      </c>
      <c r="Q104" s="31">
        <f t="shared" ref="Q104:Z104" si="170">B104/B$104</f>
        <v>1</v>
      </c>
      <c r="R104" s="31">
        <f t="shared" si="170"/>
        <v>1</v>
      </c>
      <c r="S104" s="31">
        <f t="shared" si="170"/>
        <v>1</v>
      </c>
      <c r="T104" s="31">
        <f t="shared" si="170"/>
        <v>1</v>
      </c>
      <c r="U104" s="31">
        <f t="shared" si="170"/>
        <v>1</v>
      </c>
      <c r="V104" s="31">
        <f t="shared" si="170"/>
        <v>1</v>
      </c>
      <c r="W104" s="31">
        <f t="shared" si="170"/>
        <v>1</v>
      </c>
      <c r="X104" s="31">
        <f t="shared" si="170"/>
        <v>1</v>
      </c>
      <c r="Y104" s="31">
        <f t="shared" si="170"/>
        <v>1</v>
      </c>
      <c r="Z104" s="31">
        <f t="shared" si="170"/>
        <v>1</v>
      </c>
      <c r="AA104" s="31">
        <f t="shared" si="168"/>
        <v>1</v>
      </c>
      <c r="AB104" s="31">
        <f t="shared" si="168"/>
        <v>1</v>
      </c>
      <c r="AC104" s="31">
        <f t="shared" si="168"/>
        <v>1</v>
      </c>
      <c r="AD104" s="31">
        <f t="shared" si="165"/>
        <v>1</v>
      </c>
      <c r="AE104" s="2"/>
    </row>
    <row r="105" spans="1:31" ht="15" x14ac:dyDescent="0.2">
      <c r="A105" s="52"/>
      <c r="B105" s="89"/>
      <c r="C105" s="89"/>
      <c r="D105" s="87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31"/>
      <c r="P105" s="52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2"/>
    </row>
    <row r="106" spans="1:31" ht="15.75" x14ac:dyDescent="0.25">
      <c r="A106" s="64" t="s">
        <v>19</v>
      </c>
      <c r="B106" s="89"/>
      <c r="C106" s="89"/>
      <c r="D106" s="87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31"/>
      <c r="P106" s="64" t="s">
        <v>19</v>
      </c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2"/>
    </row>
    <row r="107" spans="1:31" ht="15" x14ac:dyDescent="0.2">
      <c r="A107" s="74" t="s">
        <v>91</v>
      </c>
      <c r="B107" s="89">
        <v>821.83299999999997</v>
      </c>
      <c r="C107" s="89">
        <v>1371.327</v>
      </c>
      <c r="D107" s="87">
        <v>1223.5999999999999</v>
      </c>
      <c r="E107" s="88">
        <v>917.1</v>
      </c>
      <c r="F107" s="88">
        <v>1007.6</v>
      </c>
      <c r="G107" s="88">
        <v>331.4</v>
      </c>
      <c r="H107" s="88">
        <v>280.89999999999998</v>
      </c>
      <c r="I107" s="88">
        <v>321.5</v>
      </c>
      <c r="J107" s="88">
        <v>192.3</v>
      </c>
      <c r="K107" s="88">
        <v>285.89999999999998</v>
      </c>
      <c r="L107" s="88">
        <v>186.3</v>
      </c>
      <c r="M107" s="88">
        <v>175.2</v>
      </c>
      <c r="N107" s="88">
        <v>158.5</v>
      </c>
      <c r="O107" s="134">
        <f t="shared" ref="O107:O110" si="171">RATE(5,,-H107,M107)</f>
        <v>-9.0094117934338872E-2</v>
      </c>
      <c r="P107" s="78" t="str">
        <f>A107</f>
        <v xml:space="preserve">   Cost of Natural Gas Sold</v>
      </c>
      <c r="Q107" s="31">
        <f t="shared" ref="Q107:AB108" si="172">B107/B$104</f>
        <v>0.43221815569431654</v>
      </c>
      <c r="R107" s="31">
        <f t="shared" si="172"/>
        <v>0.50325995050071781</v>
      </c>
      <c r="S107" s="31">
        <f t="shared" si="172"/>
        <v>0.43151361263930033</v>
      </c>
      <c r="T107" s="31">
        <f t="shared" si="172"/>
        <v>0.33635296706520945</v>
      </c>
      <c r="U107" s="31">
        <f t="shared" si="172"/>
        <v>0.29078525872269206</v>
      </c>
      <c r="V107" s="31">
        <f t="shared" si="172"/>
        <v>0.29858545814938287</v>
      </c>
      <c r="W107" s="31">
        <f t="shared" si="172"/>
        <v>0.25</v>
      </c>
      <c r="X107" s="31">
        <f t="shared" si="172"/>
        <v>0.26917280643000668</v>
      </c>
      <c r="Y107" s="31">
        <f t="shared" si="172"/>
        <v>0.17499317499317502</v>
      </c>
      <c r="Z107" s="31">
        <f t="shared" si="172"/>
        <v>0.23434426229508196</v>
      </c>
      <c r="AA107" s="31">
        <f t="shared" si="172"/>
        <v>0.15664676700580177</v>
      </c>
      <c r="AB107" s="31">
        <f t="shared" si="172"/>
        <v>0.1543748347872059</v>
      </c>
      <c r="AC107" s="31">
        <f t="shared" ref="AC107:AC108" si="173">N107/N$104</f>
        <v>0.34735919351303968</v>
      </c>
      <c r="AD107" s="31">
        <f t="shared" ref="AD107:AD119" si="174">SUM(H107:L107)/SUM(H$104:L$104)</f>
        <v>0.21744876591946724</v>
      </c>
      <c r="AE107" s="2"/>
    </row>
    <row r="108" spans="1:31" ht="15" x14ac:dyDescent="0.2">
      <c r="A108" s="74" t="s">
        <v>92</v>
      </c>
      <c r="B108" s="89">
        <f>213.573+4.09</f>
        <v>217.66300000000001</v>
      </c>
      <c r="C108" s="89">
        <v>262.77800000000002</v>
      </c>
      <c r="D108" s="87">
        <v>286.8</v>
      </c>
      <c r="E108" s="88">
        <v>293.89999999999998</v>
      </c>
      <c r="F108" s="88">
        <v>367.6</v>
      </c>
      <c r="G108" s="88">
        <v>167.6</v>
      </c>
      <c r="H108" s="88">
        <v>175.8</v>
      </c>
      <c r="I108" s="88">
        <v>175.9</v>
      </c>
      <c r="J108" s="88">
        <v>180.8</v>
      </c>
      <c r="K108" s="88">
        <v>174.3</v>
      </c>
      <c r="L108" s="88">
        <v>189</v>
      </c>
      <c r="M108" s="88">
        <v>181.6</v>
      </c>
      <c r="N108" s="88">
        <v>50.4</v>
      </c>
      <c r="O108" s="134">
        <f t="shared" si="171"/>
        <v>6.5130142152073304E-3</v>
      </c>
      <c r="P108" s="78" t="str">
        <f>A108</f>
        <v xml:space="preserve">   Operating and Maintenance</v>
      </c>
      <c r="Q108" s="31">
        <f t="shared" si="172"/>
        <v>0.11447325724677887</v>
      </c>
      <c r="R108" s="31">
        <f t="shared" si="172"/>
        <v>9.6436257196626074E-2</v>
      </c>
      <c r="S108" s="31">
        <f t="shared" si="172"/>
        <v>0.1011426153195091</v>
      </c>
      <c r="T108" s="31">
        <f t="shared" si="172"/>
        <v>0.10778992151397344</v>
      </c>
      <c r="U108" s="31">
        <f t="shared" si="172"/>
        <v>0.10608640443277252</v>
      </c>
      <c r="V108" s="31">
        <f t="shared" si="172"/>
        <v>0.15100459500855934</v>
      </c>
      <c r="W108" s="31">
        <f t="shared" si="172"/>
        <v>0.1564613741545034</v>
      </c>
      <c r="X108" s="31">
        <f t="shared" si="172"/>
        <v>0.14727059611520427</v>
      </c>
      <c r="Y108" s="31">
        <f t="shared" si="172"/>
        <v>0.16452816452816457</v>
      </c>
      <c r="Z108" s="31">
        <f t="shared" si="172"/>
        <v>0.1428688524590164</v>
      </c>
      <c r="AA108" s="31">
        <f t="shared" si="172"/>
        <v>0.15891701000588584</v>
      </c>
      <c r="AB108" s="31">
        <f t="shared" si="172"/>
        <v>0.16001409815842804</v>
      </c>
      <c r="AC108" s="31">
        <f t="shared" si="173"/>
        <v>0.11045364891518739</v>
      </c>
      <c r="AD108" s="31">
        <f t="shared" si="174"/>
        <v>0.15375373313652124</v>
      </c>
      <c r="AE108" s="2"/>
    </row>
    <row r="109" spans="1:31" ht="15" x14ac:dyDescent="0.2">
      <c r="A109" s="94" t="s">
        <v>118</v>
      </c>
      <c r="B109" s="89">
        <v>114.22799999999999</v>
      </c>
      <c r="C109" s="89">
        <v>123.05500000000001</v>
      </c>
      <c r="D109" s="87">
        <v>135</v>
      </c>
      <c r="E109" s="88">
        <v>170.1</v>
      </c>
      <c r="F109" s="88">
        <v>166.1</v>
      </c>
      <c r="G109" s="88">
        <v>93.4</v>
      </c>
      <c r="H109" s="88">
        <v>108.5</v>
      </c>
      <c r="I109" s="88">
        <v>117.9</v>
      </c>
      <c r="J109" s="88">
        <v>120.8</v>
      </c>
      <c r="K109" s="88">
        <v>121</v>
      </c>
      <c r="L109" s="88">
        <v>127.9</v>
      </c>
      <c r="M109" s="88">
        <v>109</v>
      </c>
      <c r="N109" s="88">
        <v>29.6</v>
      </c>
      <c r="O109" s="134">
        <f t="shared" si="171"/>
        <v>9.1996475795010709E-4</v>
      </c>
      <c r="P109" s="78" t="str">
        <f>+A109</f>
        <v xml:space="preserve">   General &amp; Administrative Exp</v>
      </c>
      <c r="Q109" s="31">
        <f t="shared" ref="Q109" si="175">B109/B$104</f>
        <v>6.0074754224581375E-2</v>
      </c>
      <c r="R109" s="31">
        <f t="shared" ref="R109" si="176">C109/C$104</f>
        <v>4.5159654268358926E-2</v>
      </c>
      <c r="S109" s="31">
        <f t="shared" ref="S109" si="177">D109/D$104</f>
        <v>4.7608971646212445E-2</v>
      </c>
      <c r="T109" s="31">
        <f t="shared" ref="T109" si="178">E109/E$104</f>
        <v>6.2385388395804299E-2</v>
      </c>
      <c r="U109" s="31">
        <f t="shared" ref="U109" si="179">F109/F$104</f>
        <v>4.7935124527430671E-2</v>
      </c>
      <c r="V109" s="31">
        <f t="shared" ref="V109:AB110" si="180">G109/G$104</f>
        <v>8.4151725380664941E-2</v>
      </c>
      <c r="W109" s="31">
        <f t="shared" si="180"/>
        <v>9.6564613741545041E-2</v>
      </c>
      <c r="X109" s="31">
        <f t="shared" si="180"/>
        <v>9.8710649698593431E-2</v>
      </c>
      <c r="Y109" s="31">
        <f t="shared" si="180"/>
        <v>0.10992810992810995</v>
      </c>
      <c r="Z109" s="31">
        <f t="shared" si="180"/>
        <v>9.9180327868852461E-2</v>
      </c>
      <c r="AA109" s="31">
        <f t="shared" si="180"/>
        <v>0.10754225174472382</v>
      </c>
      <c r="AB109" s="31">
        <f t="shared" si="180"/>
        <v>9.6043704291126963E-2</v>
      </c>
      <c r="AC109" s="31">
        <f t="shared" ref="AC109:AC110" si="181">N109/N$104</f>
        <v>6.4869603331141806E-2</v>
      </c>
      <c r="AD109" s="31">
        <f t="shared" si="174"/>
        <v>0.10231368645085993</v>
      </c>
      <c r="AE109" s="2"/>
    </row>
    <row r="110" spans="1:31" ht="15" x14ac:dyDescent="0.2">
      <c r="A110" s="75" t="s">
        <v>46</v>
      </c>
      <c r="B110" s="89">
        <v>216.17500000000001</v>
      </c>
      <c r="C110" s="89">
        <v>250.303</v>
      </c>
      <c r="D110" s="87">
        <v>308.39999999999998</v>
      </c>
      <c r="E110" s="88">
        <v>369.1</v>
      </c>
      <c r="F110" s="88">
        <v>494.4</v>
      </c>
      <c r="G110" s="88">
        <v>147.1</v>
      </c>
      <c r="H110" s="88">
        <v>153.4</v>
      </c>
      <c r="I110" s="88">
        <v>159.9</v>
      </c>
      <c r="J110" s="88">
        <v>181.6</v>
      </c>
      <c r="K110" s="88">
        <v>194.8</v>
      </c>
      <c r="L110" s="88">
        <v>213.7</v>
      </c>
      <c r="M110" s="88">
        <v>216</v>
      </c>
      <c r="N110" s="88">
        <v>55.9</v>
      </c>
      <c r="O110" s="134">
        <f t="shared" si="171"/>
        <v>7.0842694810178922E-2</v>
      </c>
      <c r="P110" s="78" t="str">
        <f>A110</f>
        <v xml:space="preserve">   Depreciation and amortization</v>
      </c>
      <c r="Q110" s="31">
        <f>B110/B$104</f>
        <v>0.1136906887496838</v>
      </c>
      <c r="R110" s="31">
        <f>C110/C$104</f>
        <v>9.1858087378270226E-2</v>
      </c>
      <c r="S110" s="31">
        <f>D110/D$104</f>
        <v>0.10876005078290309</v>
      </c>
      <c r="T110" s="31">
        <f>E110/E$104</f>
        <v>0.1353700579476271</v>
      </c>
      <c r="U110" s="31">
        <f>F110/F$104</f>
        <v>0.14267986493896281</v>
      </c>
      <c r="V110" s="31">
        <f t="shared" si="180"/>
        <v>0.13253446256419499</v>
      </c>
      <c r="W110" s="31">
        <f t="shared" si="180"/>
        <v>0.13652545389818443</v>
      </c>
      <c r="X110" s="31">
        <f t="shared" si="180"/>
        <v>0.13387474882786335</v>
      </c>
      <c r="Y110" s="31">
        <f t="shared" si="180"/>
        <v>0.16525616525616527</v>
      </c>
      <c r="Z110" s="31">
        <f t="shared" si="180"/>
        <v>0.159672131147541</v>
      </c>
      <c r="AA110" s="31">
        <f t="shared" si="180"/>
        <v>0.17968552930295134</v>
      </c>
      <c r="AB110" s="31">
        <f t="shared" si="180"/>
        <v>0.19032513877874702</v>
      </c>
      <c r="AC110" s="31">
        <f t="shared" si="181"/>
        <v>0.12250712250712252</v>
      </c>
      <c r="AD110" s="31">
        <f t="shared" si="174"/>
        <v>0.15505818543819302</v>
      </c>
      <c r="AE110" s="2"/>
    </row>
    <row r="111" spans="1:31" ht="15" x14ac:dyDescent="0.2">
      <c r="A111" s="75" t="s">
        <v>120</v>
      </c>
      <c r="B111" s="89">
        <v>9.2390000000000008</v>
      </c>
      <c r="C111" s="89">
        <v>11.538</v>
      </c>
      <c r="D111" s="87">
        <v>34.4</v>
      </c>
      <c r="E111" s="88">
        <v>22</v>
      </c>
      <c r="F111" s="88">
        <v>29.3</v>
      </c>
      <c r="G111" s="88"/>
      <c r="H111" s="88"/>
      <c r="I111" s="88"/>
      <c r="J111" s="88"/>
      <c r="K111" s="88"/>
      <c r="L111" s="88"/>
      <c r="M111" s="88"/>
      <c r="N111" s="88"/>
      <c r="O111" s="31"/>
      <c r="P111" s="78" t="str">
        <f>A111</f>
        <v xml:space="preserve">   Exploration</v>
      </c>
      <c r="Q111" s="31">
        <f t="shared" ref="Q111" si="182">B111/B$104</f>
        <v>4.8589720058208798E-3</v>
      </c>
      <c r="R111" s="31">
        <f t="shared" ref="R111" si="183">C111/C$104</f>
        <v>4.2343024740833391E-3</v>
      </c>
      <c r="S111" s="31">
        <f t="shared" ref="S111" si="184">D111/D$104</f>
        <v>1.2131471293553393E-2</v>
      </c>
      <c r="T111" s="31">
        <f t="shared" ref="T111" si="185">E111/E$104</f>
        <v>8.068656935377394E-3</v>
      </c>
      <c r="U111" s="31">
        <f t="shared" ref="U111" si="186">F111/F$104</f>
        <v>8.4557444229603779E-3</v>
      </c>
      <c r="V111" s="31"/>
      <c r="W111" s="31"/>
      <c r="X111" s="31"/>
      <c r="Y111" s="31"/>
      <c r="Z111" s="31"/>
      <c r="AA111" s="31"/>
      <c r="AB111" s="31"/>
      <c r="AC111" s="31"/>
      <c r="AD111" s="31">
        <f t="shared" si="174"/>
        <v>0</v>
      </c>
      <c r="AE111" s="2"/>
    </row>
    <row r="112" spans="1:31" s="4" customFormat="1" ht="15" x14ac:dyDescent="0.2">
      <c r="A112" s="94" t="s">
        <v>121</v>
      </c>
      <c r="B112" s="89">
        <v>15.757999999999999</v>
      </c>
      <c r="C112" s="89">
        <f>16+7.931</f>
        <v>23.931000000000001</v>
      </c>
      <c r="D112" s="87">
        <v>7.6</v>
      </c>
      <c r="E112" s="88">
        <v>11.2</v>
      </c>
      <c r="F112" s="88">
        <v>59.4</v>
      </c>
      <c r="G112" s="88"/>
      <c r="H112" s="88"/>
      <c r="I112" s="88"/>
      <c r="J112" s="88"/>
      <c r="K112" s="88">
        <v>80.599999999999994</v>
      </c>
      <c r="L112" s="88">
        <v>2</v>
      </c>
      <c r="M112" s="88">
        <v>12.5</v>
      </c>
      <c r="N112" s="88">
        <v>0.2</v>
      </c>
      <c r="O112" s="31"/>
      <c r="P112" s="78" t="str">
        <f>A112</f>
        <v xml:space="preserve">   Abandonment &amp; Imparement</v>
      </c>
      <c r="Q112" s="31">
        <f>B112/B$104</f>
        <v>8.2874424578120373E-3</v>
      </c>
      <c r="R112" s="31">
        <f>C112/C$104</f>
        <v>8.7823793124708251E-3</v>
      </c>
      <c r="S112" s="31">
        <f>D112/D$104</f>
        <v>2.680208774157145E-3</v>
      </c>
      <c r="T112" s="31">
        <f>E112/E$104</f>
        <v>4.1076798943739451E-3</v>
      </c>
      <c r="U112" s="31">
        <f>F112/F$104</f>
        <v>1.7142362413783155E-2</v>
      </c>
      <c r="V112" s="31"/>
      <c r="W112" s="31"/>
      <c r="X112" s="31"/>
      <c r="Y112" s="31"/>
      <c r="Z112" s="31"/>
      <c r="AA112" s="31"/>
      <c r="AB112" s="31"/>
      <c r="AC112" s="31"/>
      <c r="AD112" s="31">
        <f t="shared" si="174"/>
        <v>1.4177336857643063E-2</v>
      </c>
      <c r="AE112" s="2"/>
    </row>
    <row r="113" spans="1:33" s="4" customFormat="1" ht="15" x14ac:dyDescent="0.2">
      <c r="A113" s="94" t="s">
        <v>194</v>
      </c>
      <c r="B113" s="89"/>
      <c r="C113" s="89"/>
      <c r="D113" s="87"/>
      <c r="E113" s="88"/>
      <c r="F113" s="88"/>
      <c r="G113" s="88"/>
      <c r="H113" s="88"/>
      <c r="I113" s="88"/>
      <c r="J113" s="88">
        <v>4.9000000000000004</v>
      </c>
      <c r="K113" s="88"/>
      <c r="L113" s="88"/>
      <c r="M113" s="88"/>
      <c r="N113" s="88"/>
      <c r="O113" s="31"/>
      <c r="P113" s="78" t="str">
        <f>+A113</f>
        <v xml:space="preserve">   Retirement Incentive</v>
      </c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>
        <f t="shared" si="174"/>
        <v>8.4102845765679198E-4</v>
      </c>
      <c r="AE113" s="2"/>
    </row>
    <row r="114" spans="1:33" s="4" customFormat="1" ht="15" x14ac:dyDescent="0.2">
      <c r="A114" s="94" t="s">
        <v>212</v>
      </c>
      <c r="B114" s="89"/>
      <c r="C114" s="89"/>
      <c r="D114" s="87"/>
      <c r="E114" s="88"/>
      <c r="F114" s="88"/>
      <c r="G114" s="88"/>
      <c r="H114" s="88"/>
      <c r="I114" s="88"/>
      <c r="J114" s="88"/>
      <c r="K114" s="88"/>
      <c r="L114" s="88"/>
      <c r="M114" s="88">
        <v>16.7</v>
      </c>
      <c r="N114" s="88"/>
      <c r="O114" s="31"/>
      <c r="P114" s="78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2"/>
    </row>
    <row r="115" spans="1:33" s="4" customFormat="1" ht="15" x14ac:dyDescent="0.2">
      <c r="A115" s="94" t="s">
        <v>215</v>
      </c>
      <c r="B115" s="89"/>
      <c r="C115" s="89"/>
      <c r="D115" s="87"/>
      <c r="E115" s="88"/>
      <c r="F115" s="88"/>
      <c r="G115" s="88"/>
      <c r="H115" s="88"/>
      <c r="I115" s="88"/>
      <c r="J115" s="88"/>
      <c r="K115" s="88"/>
      <c r="L115" s="88"/>
      <c r="M115" s="88"/>
      <c r="N115" s="88">
        <v>14.6</v>
      </c>
      <c r="O115" s="31"/>
      <c r="P115" s="78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2"/>
    </row>
    <row r="116" spans="1:33" s="4" customFormat="1" ht="15" x14ac:dyDescent="0.2">
      <c r="A116" s="94" t="s">
        <v>156</v>
      </c>
      <c r="B116" s="89"/>
      <c r="C116" s="89"/>
      <c r="D116" s="87"/>
      <c r="E116" s="88"/>
      <c r="F116" s="88"/>
      <c r="G116" s="88"/>
      <c r="H116" s="88">
        <v>11.5</v>
      </c>
      <c r="I116" s="88"/>
      <c r="J116" s="88"/>
      <c r="K116" s="88"/>
      <c r="L116" s="88"/>
      <c r="M116" s="88"/>
      <c r="N116" s="88"/>
      <c r="O116" s="31"/>
      <c r="P116" s="78" t="str">
        <f>+A116</f>
        <v xml:space="preserve">   Separation Costs</v>
      </c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>
        <f t="shared" si="174"/>
        <v>1.9738422985822665E-3</v>
      </c>
      <c r="AE116" s="2"/>
    </row>
    <row r="117" spans="1:33" s="4" customFormat="1" ht="15" x14ac:dyDescent="0.2">
      <c r="A117" s="75" t="s">
        <v>119</v>
      </c>
      <c r="B117" s="89">
        <v>90.947999999999993</v>
      </c>
      <c r="C117" s="89">
        <v>120.227</v>
      </c>
      <c r="D117" s="87">
        <v>108.7</v>
      </c>
      <c r="E117" s="88">
        <v>101</v>
      </c>
      <c r="F117" s="88">
        <v>164.9</v>
      </c>
      <c r="G117" s="88">
        <v>42.4</v>
      </c>
      <c r="H117" s="88">
        <v>50.6</v>
      </c>
      <c r="I117" s="88">
        <v>52.5</v>
      </c>
      <c r="J117" s="88">
        <v>47.9</v>
      </c>
      <c r="K117" s="88">
        <v>57.4</v>
      </c>
      <c r="L117" s="88">
        <v>66.2</v>
      </c>
      <c r="M117" s="88">
        <v>51.3</v>
      </c>
      <c r="N117" s="88">
        <v>11.7</v>
      </c>
      <c r="O117" s="157">
        <f>RATE(5,,-H117,M117)</f>
        <v>2.7516139360831489E-3</v>
      </c>
      <c r="P117" s="78" t="str">
        <f>A117</f>
        <v xml:space="preserve">   Production &amp; Other Taxes</v>
      </c>
      <c r="Q117" s="57">
        <f t="shared" ref="Q117:AB119" si="187">B117/B$104</f>
        <v>4.7831343866803475E-2</v>
      </c>
      <c r="R117" s="57">
        <f t="shared" si="187"/>
        <v>4.4121813447011403E-2</v>
      </c>
      <c r="S117" s="57">
        <f t="shared" si="187"/>
        <v>3.8334038651431798E-2</v>
      </c>
      <c r="T117" s="31">
        <f t="shared" si="187"/>
        <v>3.7042470476050762E-2</v>
      </c>
      <c r="U117" s="31">
        <f t="shared" si="187"/>
        <v>4.7588814175637074E-2</v>
      </c>
      <c r="V117" s="31">
        <f t="shared" si="187"/>
        <v>3.8201639787368236E-2</v>
      </c>
      <c r="W117" s="31">
        <f t="shared" si="187"/>
        <v>4.5033819864720548E-2</v>
      </c>
      <c r="X117" s="31">
        <f t="shared" si="187"/>
        <v>4.3955123911587402E-2</v>
      </c>
      <c r="Y117" s="31">
        <f t="shared" si="187"/>
        <v>4.3589043589043593E-2</v>
      </c>
      <c r="Z117" s="31">
        <f t="shared" si="187"/>
        <v>4.7049180327868853E-2</v>
      </c>
      <c r="AA117" s="31">
        <f t="shared" si="187"/>
        <v>5.5662995039098648E-2</v>
      </c>
      <c r="AB117" s="31">
        <f t="shared" si="187"/>
        <v>4.5202220459952411E-2</v>
      </c>
      <c r="AC117" s="31">
        <f t="shared" ref="AC117:AC119" si="188">N117/N$104</f>
        <v>2.5641025641025644E-2</v>
      </c>
      <c r="AD117" s="31">
        <f t="shared" si="174"/>
        <v>4.713192132092961E-2</v>
      </c>
      <c r="AE117" s="2"/>
    </row>
    <row r="118" spans="1:33" s="4" customFormat="1" ht="15" x14ac:dyDescent="0.2">
      <c r="A118" s="52" t="s">
        <v>41</v>
      </c>
      <c r="B118" s="90">
        <f t="shared" ref="B118:G118" si="189">SUM(B106:B117)</f>
        <v>1485.8440000000003</v>
      </c>
      <c r="C118" s="90">
        <f t="shared" si="189"/>
        <v>2163.1590000000001</v>
      </c>
      <c r="D118" s="91">
        <f t="shared" si="189"/>
        <v>2104.4999999999995</v>
      </c>
      <c r="E118" s="91">
        <f t="shared" si="189"/>
        <v>1884.3999999999999</v>
      </c>
      <c r="F118" s="91">
        <f t="shared" si="189"/>
        <v>2289.3000000000002</v>
      </c>
      <c r="G118" s="91">
        <f t="shared" si="189"/>
        <v>781.9</v>
      </c>
      <c r="H118" s="91">
        <f t="shared" ref="H118:I118" si="190">SUM(H106:H117)</f>
        <v>780.7</v>
      </c>
      <c r="I118" s="91">
        <f t="shared" si="190"/>
        <v>827.69999999999993</v>
      </c>
      <c r="J118" s="91">
        <f t="shared" ref="J118:K118" si="191">SUM(J106:J117)</f>
        <v>728.3</v>
      </c>
      <c r="K118" s="91">
        <f t="shared" si="191"/>
        <v>914</v>
      </c>
      <c r="L118" s="91">
        <f t="shared" ref="L118:N118" si="192">SUM(L106:L117)</f>
        <v>785.10000000000014</v>
      </c>
      <c r="M118" s="91">
        <f t="shared" ref="M118" si="193">SUM(M106:M117)</f>
        <v>762.3</v>
      </c>
      <c r="N118" s="91">
        <f t="shared" si="192"/>
        <v>320.89999999999998</v>
      </c>
      <c r="O118" s="166">
        <f>RATE(5,,-H118,M118)</f>
        <v>-4.7587957066332473E-3</v>
      </c>
      <c r="P118" s="52" t="s">
        <v>41</v>
      </c>
      <c r="Q118" s="57">
        <f t="shared" si="187"/>
        <v>0.78143461424579708</v>
      </c>
      <c r="R118" s="57">
        <f t="shared" si="187"/>
        <v>0.79385244457753867</v>
      </c>
      <c r="S118" s="57">
        <f t="shared" si="187"/>
        <v>0.74217096910706715</v>
      </c>
      <c r="T118" s="59">
        <f t="shared" si="187"/>
        <v>0.69111714222841636</v>
      </c>
      <c r="U118" s="59">
        <f t="shared" si="187"/>
        <v>0.66067357363423873</v>
      </c>
      <c r="V118" s="59">
        <f t="shared" si="187"/>
        <v>0.70447788089017038</v>
      </c>
      <c r="W118" s="59">
        <f t="shared" si="187"/>
        <v>0.6948202207191172</v>
      </c>
      <c r="X118" s="59">
        <f t="shared" si="187"/>
        <v>0.69298392498325512</v>
      </c>
      <c r="Y118" s="59">
        <f t="shared" si="187"/>
        <v>0.66275366275366276</v>
      </c>
      <c r="Z118" s="59">
        <f t="shared" si="187"/>
        <v>0.74918032786885247</v>
      </c>
      <c r="AA118" s="59">
        <f t="shared" si="187"/>
        <v>0.66013621458000526</v>
      </c>
      <c r="AB118" s="59">
        <f t="shared" si="187"/>
        <v>0.67168913560666133</v>
      </c>
      <c r="AC118" s="59">
        <f t="shared" si="188"/>
        <v>0.70326539557308787</v>
      </c>
      <c r="AD118" s="31">
        <f t="shared" si="174"/>
        <v>0.69269849987985321</v>
      </c>
      <c r="AE118" s="2"/>
    </row>
    <row r="119" spans="1:33" s="4" customFormat="1" ht="15" x14ac:dyDescent="0.2">
      <c r="A119" s="52" t="s">
        <v>12</v>
      </c>
      <c r="B119" s="90">
        <f t="shared" ref="B119:G119" si="194">B104-B118</f>
        <v>415.58699999999976</v>
      </c>
      <c r="C119" s="90">
        <f t="shared" si="194"/>
        <v>561.72899999999981</v>
      </c>
      <c r="D119" s="91">
        <f t="shared" si="194"/>
        <v>731.10000000000036</v>
      </c>
      <c r="E119" s="91">
        <f t="shared" si="194"/>
        <v>842.2</v>
      </c>
      <c r="F119" s="91">
        <f t="shared" si="194"/>
        <v>1175.7999999999993</v>
      </c>
      <c r="G119" s="91">
        <f t="shared" si="194"/>
        <v>327.99999999999989</v>
      </c>
      <c r="H119" s="91">
        <f t="shared" ref="H119:I119" si="195">H104-H118</f>
        <v>342.89999999999986</v>
      </c>
      <c r="I119" s="91">
        <f t="shared" si="195"/>
        <v>366.70000000000016</v>
      </c>
      <c r="J119" s="91">
        <f t="shared" ref="J119:K119" si="196">J104-J118</f>
        <v>370.59999999999991</v>
      </c>
      <c r="K119" s="91">
        <f t="shared" si="196"/>
        <v>306</v>
      </c>
      <c r="L119" s="91">
        <f t="shared" ref="L119:N119" si="197">L104-L118</f>
        <v>404.19999999999959</v>
      </c>
      <c r="M119" s="91">
        <f t="shared" ref="M119" si="198">M104-M118</f>
        <v>372.60000000000014</v>
      </c>
      <c r="N119" s="91">
        <f t="shared" si="197"/>
        <v>135.39999999999998</v>
      </c>
      <c r="O119" s="134">
        <f>RATE(5,,-H119,M119)</f>
        <v>1.6752088340073839E-2</v>
      </c>
      <c r="P119" s="52" t="s">
        <v>12</v>
      </c>
      <c r="Q119" s="31">
        <f t="shared" si="187"/>
        <v>0.2185653857542029</v>
      </c>
      <c r="R119" s="31">
        <f t="shared" si="187"/>
        <v>0.20614755542246133</v>
      </c>
      <c r="S119" s="31">
        <f t="shared" si="187"/>
        <v>0.25782903089293285</v>
      </c>
      <c r="T119" s="59">
        <f t="shared" si="187"/>
        <v>0.3088828577715837</v>
      </c>
      <c r="U119" s="59">
        <f t="shared" si="187"/>
        <v>0.33932642636576127</v>
      </c>
      <c r="V119" s="59">
        <f t="shared" si="187"/>
        <v>0.29552211910982967</v>
      </c>
      <c r="W119" s="59">
        <f t="shared" si="187"/>
        <v>0.3051797792808828</v>
      </c>
      <c r="X119" s="59">
        <f t="shared" si="187"/>
        <v>0.30701607501674494</v>
      </c>
      <c r="Y119" s="59">
        <f t="shared" si="187"/>
        <v>0.33724633724633718</v>
      </c>
      <c r="Z119" s="59">
        <f t="shared" si="187"/>
        <v>0.25081967213114753</v>
      </c>
      <c r="AA119" s="59">
        <f t="shared" si="187"/>
        <v>0.33986378541999468</v>
      </c>
      <c r="AB119" s="59">
        <f t="shared" si="187"/>
        <v>0.32831086439333873</v>
      </c>
      <c r="AC119" s="59">
        <f t="shared" si="188"/>
        <v>0.29673460442691207</v>
      </c>
      <c r="AD119" s="31">
        <f t="shared" si="174"/>
        <v>0.3073015001201469</v>
      </c>
      <c r="AE119" s="3"/>
    </row>
    <row r="120" spans="1:33" ht="15" customHeight="1" x14ac:dyDescent="0.2">
      <c r="A120" s="52"/>
      <c r="B120" s="89"/>
      <c r="C120" s="89"/>
      <c r="D120" s="87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31"/>
      <c r="P120" s="52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"/>
    </row>
    <row r="121" spans="1:33" ht="15" x14ac:dyDescent="0.2">
      <c r="A121" s="75" t="s">
        <v>47</v>
      </c>
      <c r="B121" s="89">
        <v>68.429000000000002</v>
      </c>
      <c r="C121" s="89">
        <v>69.295000000000002</v>
      </c>
      <c r="D121" s="87">
        <v>73.599999999999994</v>
      </c>
      <c r="E121" s="88">
        <v>72.2</v>
      </c>
      <c r="F121" s="88">
        <v>119.5</v>
      </c>
      <c r="G121" s="88">
        <v>59.6</v>
      </c>
      <c r="H121" s="88">
        <v>57.1</v>
      </c>
      <c r="I121" s="88">
        <v>56.8</v>
      </c>
      <c r="J121" s="88">
        <v>57.9</v>
      </c>
      <c r="K121" s="88">
        <v>56.9</v>
      </c>
      <c r="L121" s="88">
        <v>63.1</v>
      </c>
      <c r="M121" s="88">
        <v>63</v>
      </c>
      <c r="N121" s="88">
        <v>15.8</v>
      </c>
      <c r="O121" s="134">
        <f t="shared" ref="O121:O123" si="199">RATE(5,,-H121,M121)</f>
        <v>1.9860774045488611E-2</v>
      </c>
      <c r="P121" s="78" t="str">
        <f t="shared" ref="P121:P126" si="200">A121</f>
        <v xml:space="preserve">   Interest expense (net)</v>
      </c>
      <c r="Q121" s="58">
        <f t="shared" ref="Q121:AB123" si="201">B121/B$104</f>
        <v>3.5988158392284551E-2</v>
      </c>
      <c r="R121" s="58">
        <f t="shared" si="201"/>
        <v>2.5430403011059539E-2</v>
      </c>
      <c r="S121" s="58">
        <f t="shared" si="201"/>
        <v>2.5955706023416559E-2</v>
      </c>
      <c r="T121" s="58">
        <f t="shared" si="201"/>
        <v>2.6479865033374902E-2</v>
      </c>
      <c r="U121" s="58">
        <f t="shared" si="201"/>
        <v>3.4486739199445907E-2</v>
      </c>
      <c r="V121" s="58">
        <f t="shared" si="201"/>
        <v>5.3698531399225161E-2</v>
      </c>
      <c r="W121" s="58">
        <f t="shared" si="201"/>
        <v>5.0818796724813105E-2</v>
      </c>
      <c r="X121" s="58">
        <f t="shared" si="201"/>
        <v>4.7555257870060277E-2</v>
      </c>
      <c r="Y121" s="58">
        <f t="shared" si="201"/>
        <v>5.2689052689052697E-2</v>
      </c>
      <c r="Z121" s="58">
        <f t="shared" si="201"/>
        <v>4.6639344262295081E-2</v>
      </c>
      <c r="AA121" s="58">
        <f t="shared" si="201"/>
        <v>5.3056419742705807E-2</v>
      </c>
      <c r="AB121" s="58">
        <f t="shared" si="201"/>
        <v>5.551149881046788E-2</v>
      </c>
      <c r="AC121" s="58">
        <f t="shared" ref="AC121:AC123" si="202">N121/N$104</f>
        <v>3.4626342318650014E-2</v>
      </c>
      <c r="AD121" s="31">
        <f t="shared" ref="AD121:AD123" si="203">SUM(H121:L121)/SUM(H$104:L$104)</f>
        <v>5.0084102845765692E-2</v>
      </c>
      <c r="AE121" s="2"/>
    </row>
    <row r="122" spans="1:33" ht="15" x14ac:dyDescent="0.2">
      <c r="A122" s="74" t="s">
        <v>104</v>
      </c>
      <c r="B122" s="89">
        <v>-6.5979999999999999</v>
      </c>
      <c r="C122" s="89">
        <v>-13.702</v>
      </c>
      <c r="D122" s="87">
        <v>-11.2</v>
      </c>
      <c r="E122" s="88">
        <v>-14.3</v>
      </c>
      <c r="F122" s="88">
        <v>-26.7</v>
      </c>
      <c r="G122" s="88">
        <v>-12.5</v>
      </c>
      <c r="H122" s="88">
        <v>-11.7</v>
      </c>
      <c r="I122" s="88">
        <v>-10.4</v>
      </c>
      <c r="J122" s="88">
        <v>-7</v>
      </c>
      <c r="K122" s="88">
        <v>-9.9</v>
      </c>
      <c r="L122" s="88">
        <v>-6.6</v>
      </c>
      <c r="M122" s="88">
        <v>-4.2</v>
      </c>
      <c r="N122" s="88">
        <v>-1</v>
      </c>
      <c r="O122" s="134">
        <f t="shared" si="199"/>
        <v>-0.1852719181409731</v>
      </c>
      <c r="P122" s="78" t="str">
        <f t="shared" si="200"/>
        <v xml:space="preserve">   Interest and Other Income</v>
      </c>
      <c r="Q122" s="58">
        <f t="shared" si="201"/>
        <v>-3.4700181074148891E-3</v>
      </c>
      <c r="R122" s="58">
        <f t="shared" si="201"/>
        <v>-5.0284635551993331E-3</v>
      </c>
      <c r="S122" s="58">
        <f t="shared" si="201"/>
        <v>-3.9497813513894768E-3</v>
      </c>
      <c r="T122" s="58">
        <f t="shared" si="201"/>
        <v>-5.2446270079953058E-3</v>
      </c>
      <c r="U122" s="58">
        <f t="shared" si="201"/>
        <v>-7.7054053274075796E-3</v>
      </c>
      <c r="V122" s="58">
        <f t="shared" si="201"/>
        <v>-1.1262275880709976E-2</v>
      </c>
      <c r="W122" s="58">
        <f t="shared" si="201"/>
        <v>-1.0412958348166608E-2</v>
      </c>
      <c r="X122" s="58">
        <f t="shared" si="201"/>
        <v>-8.7073007367715997E-3</v>
      </c>
      <c r="Y122" s="58">
        <f t="shared" si="201"/>
        <v>-6.3700063700063711E-3</v>
      </c>
      <c r="Z122" s="58">
        <f t="shared" si="201"/>
        <v>-8.1147540983606565E-3</v>
      </c>
      <c r="AA122" s="58">
        <f t="shared" si="201"/>
        <v>-5.5494828890944262E-3</v>
      </c>
      <c r="AB122" s="58">
        <f t="shared" si="201"/>
        <v>-3.7007665873645254E-3</v>
      </c>
      <c r="AC122" s="58">
        <f t="shared" si="202"/>
        <v>-2.1915406530791147E-3</v>
      </c>
      <c r="AD122" s="31">
        <f t="shared" si="203"/>
        <v>-7.8267138100305538E-3</v>
      </c>
      <c r="AE122" s="2"/>
      <c r="AG122">
        <f>AVERAGE(B122:E122)</f>
        <v>-11.45</v>
      </c>
    </row>
    <row r="123" spans="1:33" ht="15" x14ac:dyDescent="0.2">
      <c r="A123" s="75" t="s">
        <v>51</v>
      </c>
      <c r="B123" s="89">
        <v>1E-4</v>
      </c>
      <c r="C123" s="89">
        <v>0</v>
      </c>
      <c r="D123" s="87">
        <v>-25.3</v>
      </c>
      <c r="E123" s="88">
        <v>0.9</v>
      </c>
      <c r="F123" s="88">
        <f>-64.7+9</f>
        <v>-55.7</v>
      </c>
      <c r="G123" s="88">
        <v>-0.2</v>
      </c>
      <c r="H123" s="88">
        <v>-0.4</v>
      </c>
      <c r="I123" s="88">
        <v>-0.2</v>
      </c>
      <c r="J123" s="88">
        <v>-5.0999999999999996</v>
      </c>
      <c r="K123" s="88">
        <v>0.2</v>
      </c>
      <c r="L123" s="88">
        <v>-1.2</v>
      </c>
      <c r="M123" s="88">
        <v>-1.8</v>
      </c>
      <c r="N123" s="88">
        <v>-0.3</v>
      </c>
      <c r="O123" s="134">
        <f t="shared" si="199"/>
        <v>0.35096003852110813</v>
      </c>
      <c r="P123" s="78" t="str">
        <f t="shared" si="200"/>
        <v xml:space="preserve">   Loss (Gain) on Sale of Assets</v>
      </c>
      <c r="Q123" s="58">
        <f t="shared" si="201"/>
        <v>5.2591968890798566E-8</v>
      </c>
      <c r="R123" s="58">
        <f t="shared" si="201"/>
        <v>0</v>
      </c>
      <c r="S123" s="58">
        <f t="shared" si="201"/>
        <v>-8.922273945549444E-3</v>
      </c>
      <c r="T123" s="58">
        <f t="shared" si="201"/>
        <v>3.3008142008362064E-4</v>
      </c>
      <c r="U123" s="58">
        <f t="shared" si="201"/>
        <v>-1.6074572162419559E-2</v>
      </c>
      <c r="V123" s="58">
        <f t="shared" si="201"/>
        <v>-1.8019641409135963E-4</v>
      </c>
      <c r="W123" s="58">
        <f t="shared" si="201"/>
        <v>-3.5599857600569605E-4</v>
      </c>
      <c r="X123" s="58">
        <f t="shared" si="201"/>
        <v>-1.6744809109176155E-4</v>
      </c>
      <c r="Y123" s="58">
        <f t="shared" si="201"/>
        <v>-4.6410046410046415E-3</v>
      </c>
      <c r="Z123" s="58">
        <f t="shared" si="201"/>
        <v>1.639344262295082E-4</v>
      </c>
      <c r="AA123" s="58">
        <f t="shared" si="201"/>
        <v>-1.0089968889262593E-3</v>
      </c>
      <c r="AB123" s="58">
        <f t="shared" si="201"/>
        <v>-1.5860428231562252E-3</v>
      </c>
      <c r="AC123" s="58">
        <f t="shared" si="202"/>
        <v>-6.5746219592373442E-4</v>
      </c>
      <c r="AD123" s="31">
        <f t="shared" si="203"/>
        <v>-1.149977687000103E-3</v>
      </c>
      <c r="AE123" s="2"/>
    </row>
    <row r="124" spans="1:33" ht="15.75" x14ac:dyDescent="0.25">
      <c r="A124" s="75" t="s">
        <v>123</v>
      </c>
      <c r="B124" s="89">
        <v>0</v>
      </c>
      <c r="C124" s="89">
        <v>0</v>
      </c>
      <c r="D124" s="87">
        <v>1.9</v>
      </c>
      <c r="E124" s="88">
        <v>-5.7</v>
      </c>
      <c r="F124" s="88">
        <v>79.2</v>
      </c>
      <c r="G124" s="113"/>
      <c r="H124" s="113"/>
      <c r="I124" s="113"/>
      <c r="J124" s="113"/>
      <c r="K124" s="113"/>
      <c r="L124" s="113"/>
      <c r="M124" s="113"/>
      <c r="N124" s="113"/>
      <c r="O124" s="13"/>
      <c r="P124" s="78" t="str">
        <f t="shared" si="200"/>
        <v xml:space="preserve">   Mark-to-Market Loss on Swaps (Gain)</v>
      </c>
      <c r="Q124" s="31">
        <f t="shared" ref="Q124:U126" si="204">B124/B$104</f>
        <v>0</v>
      </c>
      <c r="R124" s="31">
        <f t="shared" si="204"/>
        <v>0</v>
      </c>
      <c r="S124" s="31">
        <f t="shared" si="204"/>
        <v>6.7005219353928624E-4</v>
      </c>
      <c r="T124" s="31">
        <f t="shared" si="204"/>
        <v>-2.0905156605295974E-3</v>
      </c>
      <c r="U124" s="31">
        <f t="shared" si="204"/>
        <v>2.2856483218377542E-2</v>
      </c>
      <c r="V124" s="65"/>
      <c r="W124" s="65"/>
      <c r="X124" s="65"/>
      <c r="Y124" s="65"/>
      <c r="Z124" s="65"/>
      <c r="AA124" s="65"/>
      <c r="AB124" s="65"/>
      <c r="AC124" s="65"/>
      <c r="AD124" s="31"/>
      <c r="AE124" s="2"/>
    </row>
    <row r="125" spans="1:33" ht="15" x14ac:dyDescent="0.2">
      <c r="A125" s="52" t="s">
        <v>122</v>
      </c>
      <c r="B125" s="89">
        <v>-5.125</v>
      </c>
      <c r="C125" s="89">
        <v>-7.468</v>
      </c>
      <c r="D125" s="87">
        <v>-7.5</v>
      </c>
      <c r="E125" s="88">
        <v>-8.9</v>
      </c>
      <c r="F125" s="88">
        <v>-2.2999999999999998</v>
      </c>
      <c r="G125" s="88">
        <v>-3.8</v>
      </c>
      <c r="H125" s="88">
        <v>-3.8</v>
      </c>
      <c r="I125" s="88">
        <v>-3.8</v>
      </c>
      <c r="J125" s="88">
        <v>-3.7</v>
      </c>
      <c r="K125" s="88">
        <v>-3.7</v>
      </c>
      <c r="L125" s="88">
        <v>-3.5</v>
      </c>
      <c r="M125" s="88">
        <v>-3.7</v>
      </c>
      <c r="N125" s="88">
        <v>-1</v>
      </c>
      <c r="O125" s="157">
        <f t="shared" ref="O125:O126" si="205">RATE(5,,-H125,M125)</f>
        <v>-5.3194507631455336E-3</v>
      </c>
      <c r="P125" s="78" t="str">
        <f t="shared" si="200"/>
        <v xml:space="preserve">   Other (Income) Expense</v>
      </c>
      <c r="Q125" s="57">
        <f t="shared" si="204"/>
        <v>-2.695338405653426E-3</v>
      </c>
      <c r="R125" s="57">
        <f t="shared" si="204"/>
        <v>-2.7406631024834783E-3</v>
      </c>
      <c r="S125" s="57">
        <f t="shared" si="204"/>
        <v>-2.6449428692340246E-3</v>
      </c>
      <c r="T125" s="57">
        <f t="shared" si="204"/>
        <v>-3.2641384874935822E-3</v>
      </c>
      <c r="U125" s="57">
        <f t="shared" si="204"/>
        <v>-6.637615076043982E-4</v>
      </c>
      <c r="V125" s="57">
        <f t="shared" ref="V125:AB126" si="206">G125/G$104</f>
        <v>-3.4237318677358321E-3</v>
      </c>
      <c r="W125" s="57">
        <f t="shared" si="206"/>
        <v>-3.381986472054112E-3</v>
      </c>
      <c r="X125" s="57">
        <f t="shared" si="206"/>
        <v>-3.1815137307434692E-3</v>
      </c>
      <c r="Y125" s="57">
        <f t="shared" si="206"/>
        <v>-3.3670033670033677E-3</v>
      </c>
      <c r="Z125" s="57">
        <f t="shared" si="206"/>
        <v>-3.0327868852459017E-3</v>
      </c>
      <c r="AA125" s="57">
        <f t="shared" si="206"/>
        <v>-2.9429075927015899E-3</v>
      </c>
      <c r="AB125" s="57">
        <f t="shared" si="206"/>
        <v>-3.260199136487796E-3</v>
      </c>
      <c r="AC125" s="57">
        <f t="shared" ref="AC125:AC126" si="207">N125/N$104</f>
        <v>-2.1915406530791147E-3</v>
      </c>
      <c r="AD125" s="31">
        <f t="shared" ref="AD125:AD126" si="208">SUM(H125:L125)/SUM(H$104:L$104)</f>
        <v>-3.175311523806255E-3</v>
      </c>
      <c r="AE125" s="2"/>
    </row>
    <row r="126" spans="1:33" ht="15" x14ac:dyDescent="0.2">
      <c r="A126" s="52" t="s">
        <v>48</v>
      </c>
      <c r="B126" s="90">
        <f t="shared" ref="B126:G126" si="209">SUM(B121:B125)</f>
        <v>56.706100000000006</v>
      </c>
      <c r="C126" s="90">
        <f t="shared" si="209"/>
        <v>48.125</v>
      </c>
      <c r="D126" s="91">
        <f t="shared" si="209"/>
        <v>31.499999999999993</v>
      </c>
      <c r="E126" s="91">
        <f t="shared" si="209"/>
        <v>44.2</v>
      </c>
      <c r="F126" s="91">
        <f t="shared" si="209"/>
        <v>114</v>
      </c>
      <c r="G126" s="91">
        <f t="shared" si="209"/>
        <v>43.1</v>
      </c>
      <c r="H126" s="91">
        <f t="shared" ref="H126:I126" si="210">SUM(H121:H125)</f>
        <v>41.20000000000001</v>
      </c>
      <c r="I126" s="91">
        <f t="shared" si="210"/>
        <v>42.4</v>
      </c>
      <c r="J126" s="91">
        <f t="shared" ref="J126:K126" si="211">SUM(J121:J125)</f>
        <v>42.099999999999994</v>
      </c>
      <c r="K126" s="91">
        <f t="shared" si="211"/>
        <v>43.5</v>
      </c>
      <c r="L126" s="91">
        <f t="shared" ref="L126:N126" si="212">SUM(L121:L125)</f>
        <v>51.8</v>
      </c>
      <c r="M126" s="91">
        <f t="shared" ref="M126" si="213">SUM(M121:M125)</f>
        <v>53.3</v>
      </c>
      <c r="N126" s="91">
        <f t="shared" si="212"/>
        <v>13.5</v>
      </c>
      <c r="O126" s="134">
        <f t="shared" si="205"/>
        <v>5.2848780906604831E-2</v>
      </c>
      <c r="P126" s="78" t="str">
        <f t="shared" si="200"/>
        <v>Total Other Income/Expense</v>
      </c>
      <c r="Q126" s="58">
        <f t="shared" si="204"/>
        <v>2.9822854471185125E-2</v>
      </c>
      <c r="R126" s="58">
        <f t="shared" si="204"/>
        <v>1.7661276353376727E-2</v>
      </c>
      <c r="S126" s="58">
        <f t="shared" si="204"/>
        <v>1.1108760050782901E-2</v>
      </c>
      <c r="T126" s="58">
        <f t="shared" si="204"/>
        <v>1.6210665297440037E-2</v>
      </c>
      <c r="U126" s="58">
        <f t="shared" si="204"/>
        <v>3.2899483420391916E-2</v>
      </c>
      <c r="V126" s="58">
        <f t="shared" si="206"/>
        <v>3.8832327236687995E-2</v>
      </c>
      <c r="W126" s="58">
        <f t="shared" si="206"/>
        <v>3.66678533285867E-2</v>
      </c>
      <c r="X126" s="58">
        <f t="shared" si="206"/>
        <v>3.5498995311453445E-2</v>
      </c>
      <c r="Y126" s="58">
        <f t="shared" si="206"/>
        <v>3.8311038311038312E-2</v>
      </c>
      <c r="Z126" s="58">
        <f t="shared" si="206"/>
        <v>3.5655737704918034E-2</v>
      </c>
      <c r="AA126" s="58">
        <f t="shared" si="206"/>
        <v>4.3555032371983528E-2</v>
      </c>
      <c r="AB126" s="58">
        <f t="shared" si="206"/>
        <v>4.6964490263459328E-2</v>
      </c>
      <c r="AC126" s="58">
        <f t="shared" si="207"/>
        <v>2.9585798816568049E-2</v>
      </c>
      <c r="AD126" s="31">
        <f t="shared" si="208"/>
        <v>3.7932099824928775E-2</v>
      </c>
      <c r="AE126" s="2"/>
    </row>
    <row r="127" spans="1:33" ht="12" customHeight="1" x14ac:dyDescent="0.2">
      <c r="A127" s="52"/>
      <c r="B127" s="89"/>
      <c r="C127" s="89"/>
      <c r="D127" s="87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31"/>
      <c r="P127" s="7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31"/>
      <c r="AE127" s="2"/>
    </row>
    <row r="128" spans="1:33" ht="15" x14ac:dyDescent="0.2">
      <c r="A128" s="52" t="s">
        <v>11</v>
      </c>
      <c r="B128" s="89">
        <f t="shared" ref="B128:G128" si="214">B119-B126</f>
        <v>358.88089999999977</v>
      </c>
      <c r="C128" s="89">
        <f t="shared" si="214"/>
        <v>513.60399999999981</v>
      </c>
      <c r="D128" s="87">
        <f t="shared" si="214"/>
        <v>699.60000000000036</v>
      </c>
      <c r="E128" s="87">
        <f t="shared" si="214"/>
        <v>798</v>
      </c>
      <c r="F128" s="87">
        <f t="shared" si="214"/>
        <v>1061.7999999999993</v>
      </c>
      <c r="G128" s="87">
        <f t="shared" si="214"/>
        <v>284.89999999999986</v>
      </c>
      <c r="H128" s="87">
        <f t="shared" ref="H128:J128" si="215">H119-H126</f>
        <v>301.69999999999987</v>
      </c>
      <c r="I128" s="87">
        <f t="shared" si="215"/>
        <v>324.30000000000018</v>
      </c>
      <c r="J128" s="87">
        <f t="shared" si="215"/>
        <v>328.49999999999989</v>
      </c>
      <c r="K128" s="87">
        <f t="shared" ref="K128:L128" si="216">K119-K126</f>
        <v>262.5</v>
      </c>
      <c r="L128" s="87">
        <f t="shared" si="216"/>
        <v>352.39999999999958</v>
      </c>
      <c r="M128" s="87">
        <f t="shared" ref="M128" si="217">M119-M126</f>
        <v>319.30000000000013</v>
      </c>
      <c r="N128" s="87">
        <f t="shared" ref="N128" si="218">N119-N126</f>
        <v>121.89999999999998</v>
      </c>
      <c r="O128" s="157">
        <f>RATE(5,,-H128,M128)</f>
        <v>1.1404127579761416E-2</v>
      </c>
      <c r="P128" s="78" t="str">
        <f>A128</f>
        <v>Earnings Before Taxes</v>
      </c>
      <c r="Q128" s="31">
        <f t="shared" ref="Q128:AB128" si="219">B128/B$104</f>
        <v>0.18874253128301777</v>
      </c>
      <c r="R128" s="31">
        <f t="shared" si="219"/>
        <v>0.18848627906908461</v>
      </c>
      <c r="S128" s="31">
        <f t="shared" si="219"/>
        <v>0.24672027084214995</v>
      </c>
      <c r="T128" s="31">
        <f t="shared" si="219"/>
        <v>0.29267219247414361</v>
      </c>
      <c r="U128" s="31">
        <f t="shared" si="219"/>
        <v>0.30642694294536937</v>
      </c>
      <c r="V128" s="31">
        <f t="shared" si="219"/>
        <v>0.25668979187314162</v>
      </c>
      <c r="W128" s="31">
        <f t="shared" si="219"/>
        <v>0.26851192595229612</v>
      </c>
      <c r="X128" s="31">
        <f t="shared" si="219"/>
        <v>0.27151707970529149</v>
      </c>
      <c r="Y128" s="31">
        <f t="shared" si="219"/>
        <v>0.29893529893529885</v>
      </c>
      <c r="Z128" s="31">
        <f t="shared" si="219"/>
        <v>0.2151639344262295</v>
      </c>
      <c r="AA128" s="31">
        <f t="shared" si="219"/>
        <v>0.29630875304801113</v>
      </c>
      <c r="AB128" s="31">
        <f t="shared" si="219"/>
        <v>0.2813463741298794</v>
      </c>
      <c r="AC128" s="31">
        <f t="shared" ref="AC128" si="220">N128/N$104</f>
        <v>0.26714880561034404</v>
      </c>
      <c r="AD128" s="31">
        <f>SUM(H128:L128)/SUM(H$104:L$104)</f>
        <v>0.26936940029521816</v>
      </c>
      <c r="AE128" s="2"/>
    </row>
    <row r="129" spans="1:31" ht="15" x14ac:dyDescent="0.2">
      <c r="A129" s="52" t="s">
        <v>49</v>
      </c>
      <c r="B129" s="90">
        <v>0</v>
      </c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31"/>
      <c r="P129" s="78" t="str">
        <f>A129</f>
        <v>Extraordinary Items</v>
      </c>
      <c r="Q129" s="31">
        <f t="shared" ref="Q129:S131" si="221">B129/B$104</f>
        <v>0</v>
      </c>
      <c r="R129" s="31">
        <f t="shared" si="221"/>
        <v>0</v>
      </c>
      <c r="S129" s="31">
        <f t="shared" si="221"/>
        <v>0</v>
      </c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2"/>
    </row>
    <row r="130" spans="1:31" ht="15" x14ac:dyDescent="0.2">
      <c r="A130" s="52" t="s">
        <v>14</v>
      </c>
      <c r="B130" s="89">
        <v>129.58000000000001</v>
      </c>
      <c r="C130" s="89">
        <v>187.923</v>
      </c>
      <c r="D130" s="87">
        <v>255.5</v>
      </c>
      <c r="E130" s="87">
        <v>290.60000000000002</v>
      </c>
      <c r="F130" s="87">
        <v>378</v>
      </c>
      <c r="G130" s="87">
        <v>104.4</v>
      </c>
      <c r="H130" s="87">
        <v>109.4</v>
      </c>
      <c r="I130" s="87">
        <v>116.4</v>
      </c>
      <c r="J130" s="87">
        <v>116.5</v>
      </c>
      <c r="K130" s="87">
        <v>101.3</v>
      </c>
      <c r="L130" s="87">
        <v>125.9</v>
      </c>
      <c r="M130" s="87">
        <v>110.6</v>
      </c>
      <c r="N130" s="87">
        <v>43.4</v>
      </c>
      <c r="O130" s="157">
        <f t="shared" ref="O130:O131" si="222">RATE(5,,-H130,M130)</f>
        <v>2.1842217645965264E-3</v>
      </c>
      <c r="P130" s="78" t="str">
        <f>A130</f>
        <v>Income Taxes</v>
      </c>
      <c r="Q130" s="57">
        <f t="shared" si="221"/>
        <v>6.8148673288696782E-2</v>
      </c>
      <c r="R130" s="57">
        <f t="shared" si="221"/>
        <v>6.8965403348688101E-2</v>
      </c>
      <c r="S130" s="57">
        <f t="shared" si="221"/>
        <v>9.0104387078572434E-2</v>
      </c>
      <c r="T130" s="57">
        <f t="shared" ref="T130:AB131" si="223">E130/E$104</f>
        <v>0.10657962297366685</v>
      </c>
      <c r="U130" s="57">
        <f t="shared" si="223"/>
        <v>0.10908776081498371</v>
      </c>
      <c r="V130" s="57">
        <f t="shared" si="223"/>
        <v>9.4062528155689717E-2</v>
      </c>
      <c r="W130" s="57">
        <f t="shared" si="223"/>
        <v>9.7365610537557865E-2</v>
      </c>
      <c r="X130" s="57">
        <f t="shared" si="223"/>
        <v>9.7454789015405219E-2</v>
      </c>
      <c r="Y130" s="57">
        <f t="shared" si="223"/>
        <v>0.10601510601510603</v>
      </c>
      <c r="Z130" s="57">
        <f t="shared" si="223"/>
        <v>8.3032786885245902E-2</v>
      </c>
      <c r="AA130" s="57">
        <f t="shared" si="223"/>
        <v>0.10586059026318005</v>
      </c>
      <c r="AB130" s="57">
        <f t="shared" si="223"/>
        <v>9.7453520133932492E-2</v>
      </c>
      <c r="AC130" s="57">
        <f t="shared" ref="AC130:AC131" si="224">N130/N$104</f>
        <v>9.5112864343633585E-2</v>
      </c>
      <c r="AD130" s="31">
        <f t="shared" ref="AD130:AD131" si="225">SUM(H130:L130)/SUM(H$104:L$104)</f>
        <v>9.7748103395008779E-2</v>
      </c>
      <c r="AE130" s="2"/>
    </row>
    <row r="131" spans="1:31" ht="16.5" thickBot="1" x14ac:dyDescent="0.3">
      <c r="A131" s="126" t="s">
        <v>160</v>
      </c>
      <c r="B131" s="90">
        <f t="shared" ref="B131:F131" si="226">B128-B129-B130</f>
        <v>229.30089999999976</v>
      </c>
      <c r="C131" s="90">
        <f t="shared" si="226"/>
        <v>325.68099999999981</v>
      </c>
      <c r="D131" s="91">
        <f>D128-D129-D130</f>
        <v>444.10000000000036</v>
      </c>
      <c r="E131" s="91">
        <f t="shared" si="226"/>
        <v>507.4</v>
      </c>
      <c r="F131" s="91">
        <f t="shared" si="226"/>
        <v>683.79999999999927</v>
      </c>
      <c r="G131" s="91">
        <f t="shared" ref="G131:H131" si="227">G128-G129-G130</f>
        <v>180.49999999999986</v>
      </c>
      <c r="H131" s="91">
        <f t="shared" si="227"/>
        <v>192.29999999999987</v>
      </c>
      <c r="I131" s="91">
        <f t="shared" ref="I131" si="228">I128-I129-I130</f>
        <v>207.90000000000018</v>
      </c>
      <c r="J131" s="91">
        <f t="shared" ref="J131:K131" si="229">J128-J129-J130</f>
        <v>211.99999999999989</v>
      </c>
      <c r="K131" s="91">
        <f t="shared" si="229"/>
        <v>161.19999999999999</v>
      </c>
      <c r="L131" s="91">
        <f t="shared" ref="L131:N131" si="230">L128-L129-L130</f>
        <v>226.49999999999957</v>
      </c>
      <c r="M131" s="91">
        <f t="shared" ref="M131" si="231">M128-M129-M130</f>
        <v>208.70000000000013</v>
      </c>
      <c r="N131" s="91">
        <f t="shared" si="230"/>
        <v>78.499999999999972</v>
      </c>
      <c r="O131" s="167">
        <f t="shared" si="222"/>
        <v>1.6502925706119005E-2</v>
      </c>
      <c r="P131" s="83" t="str">
        <f>A131</f>
        <v>Net Income From Continuing Operation</v>
      </c>
      <c r="Q131" s="62">
        <f t="shared" si="221"/>
        <v>0.12059385799432099</v>
      </c>
      <c r="R131" s="62">
        <f t="shared" si="221"/>
        <v>0.11952087572039652</v>
      </c>
      <c r="S131" s="62">
        <f t="shared" si="221"/>
        <v>0.15661588376357752</v>
      </c>
      <c r="T131" s="62">
        <f t="shared" si="223"/>
        <v>0.18609256950047678</v>
      </c>
      <c r="U131" s="62">
        <f t="shared" si="223"/>
        <v>0.19733918213038568</v>
      </c>
      <c r="V131" s="62">
        <f t="shared" si="223"/>
        <v>0.16262726371745193</v>
      </c>
      <c r="W131" s="62">
        <f t="shared" si="223"/>
        <v>0.17114631541473824</v>
      </c>
      <c r="X131" s="62">
        <f t="shared" si="223"/>
        <v>0.17406229068988627</v>
      </c>
      <c r="Y131" s="62">
        <f t="shared" si="223"/>
        <v>0.19292019292019283</v>
      </c>
      <c r="Z131" s="62">
        <f t="shared" si="223"/>
        <v>0.1321311475409836</v>
      </c>
      <c r="AA131" s="62">
        <f t="shared" si="223"/>
        <v>0.19044816278483109</v>
      </c>
      <c r="AB131" s="62">
        <f t="shared" si="223"/>
        <v>0.18389285399594688</v>
      </c>
      <c r="AC131" s="62">
        <f t="shared" si="224"/>
        <v>0.17203594126671046</v>
      </c>
      <c r="AD131" s="31">
        <f t="shared" si="225"/>
        <v>0.17162129690020933</v>
      </c>
      <c r="AE131" s="2"/>
    </row>
    <row r="132" spans="1:31" ht="15.75" thickTop="1" x14ac:dyDescent="0.2">
      <c r="A132" s="52"/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31"/>
      <c r="P132" s="78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31"/>
      <c r="AE132" s="2"/>
    </row>
    <row r="133" spans="1:31" ht="15" x14ac:dyDescent="0.2">
      <c r="A133" s="52" t="s">
        <v>158</v>
      </c>
      <c r="B133" s="89"/>
      <c r="C133" s="89"/>
      <c r="D133" s="87"/>
      <c r="E133" s="87"/>
      <c r="F133" s="87"/>
      <c r="G133" s="87">
        <v>215.4</v>
      </c>
      <c r="H133" s="87">
        <v>148.19999999999999</v>
      </c>
      <c r="I133" s="87"/>
      <c r="J133" s="87"/>
      <c r="K133" s="87"/>
      <c r="L133" s="87"/>
      <c r="M133" s="87"/>
      <c r="N133" s="87"/>
      <c r="O133" s="31"/>
      <c r="P133" s="78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31"/>
      <c r="AE133" s="2"/>
    </row>
    <row r="134" spans="1:31" ht="15" x14ac:dyDescent="0.2">
      <c r="A134" s="52" t="s">
        <v>157</v>
      </c>
      <c r="B134" s="124"/>
      <c r="C134" s="124"/>
      <c r="D134" s="125"/>
      <c r="E134" s="125"/>
      <c r="F134" s="125"/>
      <c r="G134" s="125">
        <v>-2.6</v>
      </c>
      <c r="H134" s="125">
        <v>-1.3</v>
      </c>
      <c r="I134" s="125"/>
      <c r="J134" s="125"/>
      <c r="K134" s="125"/>
      <c r="L134" s="125"/>
      <c r="M134" s="125"/>
      <c r="N134" s="125"/>
      <c r="O134" s="37"/>
      <c r="P134" s="78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31"/>
      <c r="AE134" s="2"/>
    </row>
    <row r="135" spans="1:31" ht="15.75" x14ac:dyDescent="0.25">
      <c r="A135" s="126" t="s">
        <v>159</v>
      </c>
      <c r="B135" s="89"/>
      <c r="C135" s="89"/>
      <c r="D135" s="87"/>
      <c r="E135" s="87"/>
      <c r="F135" s="87"/>
      <c r="G135" s="87">
        <f t="shared" ref="G135:L135" si="232">+G134+G133+G131</f>
        <v>393.29999999999984</v>
      </c>
      <c r="H135" s="87">
        <f t="shared" si="232"/>
        <v>339.19999999999982</v>
      </c>
      <c r="I135" s="87">
        <f t="shared" si="232"/>
        <v>207.90000000000018</v>
      </c>
      <c r="J135" s="87">
        <f t="shared" si="232"/>
        <v>211.99999999999989</v>
      </c>
      <c r="K135" s="87">
        <f t="shared" si="232"/>
        <v>161.19999999999999</v>
      </c>
      <c r="L135" s="87">
        <f t="shared" si="232"/>
        <v>226.49999999999957</v>
      </c>
      <c r="M135" s="87">
        <f t="shared" ref="M135" si="233">+M134+M133+M131</f>
        <v>208.70000000000013</v>
      </c>
      <c r="N135" s="87">
        <f t="shared" ref="N135" si="234">+N134+N133+N131</f>
        <v>78.499999999999972</v>
      </c>
      <c r="O135" s="134">
        <f>RATE(5,,-H135,M135)</f>
        <v>-9.2569607230187007E-2</v>
      </c>
      <c r="P135" s="78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31"/>
      <c r="AE135" s="2"/>
    </row>
    <row r="136" spans="1:31" ht="15" x14ac:dyDescent="0.2">
      <c r="A136" s="52"/>
      <c r="B136" s="89"/>
      <c r="C136" s="89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31"/>
      <c r="P136" s="78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31"/>
      <c r="AE136" s="2"/>
    </row>
    <row r="137" spans="1:31" ht="15" x14ac:dyDescent="0.2">
      <c r="A137" s="52" t="s">
        <v>52</v>
      </c>
      <c r="B137" s="89">
        <v>0</v>
      </c>
      <c r="C137" s="89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31"/>
      <c r="P137" s="78" t="str">
        <f>A137</f>
        <v>Preferred Stock Dividends</v>
      </c>
      <c r="Q137" s="31">
        <f t="shared" ref="Q137:S138" si="235">B137/B$131</f>
        <v>0</v>
      </c>
      <c r="R137" s="31">
        <f t="shared" si="235"/>
        <v>0</v>
      </c>
      <c r="S137" s="31">
        <f t="shared" si="235"/>
        <v>0</v>
      </c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2"/>
    </row>
    <row r="138" spans="1:31" ht="15" x14ac:dyDescent="0.2">
      <c r="A138" s="52" t="s">
        <v>53</v>
      </c>
      <c r="B138" s="89">
        <v>71.363</v>
      </c>
      <c r="C138" s="89">
        <v>75.616</v>
      </c>
      <c r="D138" s="87">
        <v>79.7</v>
      </c>
      <c r="E138" s="87">
        <v>83.7</v>
      </c>
      <c r="F138" s="87">
        <v>85.4</v>
      </c>
      <c r="G138" s="87">
        <v>87.9</v>
      </c>
      <c r="H138" s="87">
        <v>94.8</v>
      </c>
      <c r="I138" s="87">
        <v>110.1</v>
      </c>
      <c r="J138" s="87">
        <v>117.4</v>
      </c>
      <c r="K138" s="87">
        <v>124.6</v>
      </c>
      <c r="L138" s="87">
        <v>131.9</v>
      </c>
      <c r="M138" s="87">
        <v>148</v>
      </c>
      <c r="N138" s="87">
        <v>38.700000000000003</v>
      </c>
      <c r="O138" s="134">
        <f>RATE(5,,-H138,M138)</f>
        <v>9.3177477938504005E-2</v>
      </c>
      <c r="P138" s="78" t="str">
        <f>A138</f>
        <v>Common Stock Dividends</v>
      </c>
      <c r="Q138" s="31">
        <f t="shared" si="235"/>
        <v>0.31121988618448543</v>
      </c>
      <c r="R138" s="31">
        <f t="shared" si="235"/>
        <v>0.23217811293873467</v>
      </c>
      <c r="S138" s="31">
        <f t="shared" si="235"/>
        <v>0.17946408466561573</v>
      </c>
      <c r="T138" s="31">
        <f>E138/E$131</f>
        <v>0.16495861253448957</v>
      </c>
      <c r="U138" s="31">
        <f>F138/F$131</f>
        <v>0.12489031880666876</v>
      </c>
      <c r="V138" s="31">
        <f>G138/G$131</f>
        <v>0.48698060941828297</v>
      </c>
      <c r="W138" s="31">
        <f>H138/H$131</f>
        <v>0.49297971918876787</v>
      </c>
      <c r="X138" s="31">
        <f t="shared" ref="X138" si="236">I138/I$131</f>
        <v>0.52958152958152915</v>
      </c>
      <c r="Y138" s="31">
        <f>J138/J$131</f>
        <v>0.55377358490566075</v>
      </c>
      <c r="Z138" s="31">
        <f>K138/K$131</f>
        <v>0.77295285359801491</v>
      </c>
      <c r="AA138" s="31">
        <f>L138/L$131</f>
        <v>0.58233995584989073</v>
      </c>
      <c r="AB138" s="31">
        <f>M138/M$131</f>
        <v>0.70915189266890233</v>
      </c>
      <c r="AC138" s="31">
        <f>N138/N$131</f>
        <v>0.49299363057324863</v>
      </c>
      <c r="AD138" s="31">
        <f>SUM(I138:M138)/SUM(I$131:M$131)</f>
        <v>0.62186362294598063</v>
      </c>
      <c r="AE138" s="2"/>
    </row>
    <row r="139" spans="1:31" ht="15" x14ac:dyDescent="0.2">
      <c r="A139" s="52"/>
      <c r="B139" s="72"/>
      <c r="C139" s="72"/>
      <c r="D139" s="72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31"/>
      <c r="AE139" s="2"/>
    </row>
    <row r="140" spans="1:31" ht="15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31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</row>
    <row r="141" spans="1:31" ht="20.25" x14ac:dyDescent="0.3">
      <c r="A141" s="183" t="str">
        <f>A1</f>
        <v>Questar Corporation</v>
      </c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72"/>
      <c r="O141" s="68" t="str">
        <f>+O90</f>
        <v>DPU Exhibit 1.1 DIR</v>
      </c>
      <c r="P141" s="183" t="str">
        <f>+A141</f>
        <v>Questar Corporation</v>
      </c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61"/>
      <c r="AD141" s="15" t="str">
        <f>+O141</f>
        <v>DPU Exhibit 1.1 DIR</v>
      </c>
    </row>
    <row r="142" spans="1:31" ht="15.75" x14ac:dyDescent="0.25">
      <c r="A142" s="185" t="s">
        <v>45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75"/>
      <c r="O142" s="79" t="s">
        <v>199</v>
      </c>
      <c r="P142" s="184" t="s">
        <v>186</v>
      </c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65"/>
      <c r="AD142" s="81" t="s">
        <v>198</v>
      </c>
    </row>
    <row r="143" spans="1:31" ht="15.75" x14ac:dyDescent="0.25">
      <c r="A143" s="182" t="str">
        <f>A3</f>
        <v>Years Ended December 31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76"/>
      <c r="O143" s="63"/>
      <c r="P143" s="187" t="str">
        <f>+A143</f>
        <v>Years Ended December 31</v>
      </c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64"/>
      <c r="AD143" s="136"/>
    </row>
    <row r="144" spans="1:31" ht="15.75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63"/>
    </row>
    <row r="145" spans="1:31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115"/>
    </row>
    <row r="146" spans="1:31" ht="15.75" x14ac:dyDescent="0.25">
      <c r="A146" s="64"/>
      <c r="B146" s="64"/>
      <c r="C146" s="66"/>
      <c r="D146" s="66"/>
      <c r="E146" s="66"/>
      <c r="F146" s="67"/>
      <c r="G146" s="67" t="str">
        <f>+G95</f>
        <v>RECAST</v>
      </c>
      <c r="H146" s="67"/>
      <c r="I146" s="67"/>
      <c r="J146" s="67"/>
      <c r="K146" s="67"/>
      <c r="L146" s="67"/>
      <c r="M146" s="67"/>
      <c r="N146" s="67" t="str">
        <f>+N95</f>
        <v>1st Qrtr</v>
      </c>
      <c r="O146" s="82" t="s">
        <v>197</v>
      </c>
      <c r="Y146" s="123"/>
      <c r="Z146" s="123"/>
      <c r="AA146" s="123"/>
      <c r="AB146" s="123"/>
      <c r="AC146" s="123" t="str">
        <f>+N146</f>
        <v>1st Qrtr</v>
      </c>
      <c r="AD146" s="145" t="str">
        <f>+AD95</f>
        <v>5  Year Avg</v>
      </c>
    </row>
    <row r="147" spans="1:31" ht="15.75" x14ac:dyDescent="0.25">
      <c r="A147" s="71" t="s">
        <v>25</v>
      </c>
      <c r="B147" s="70">
        <f t="shared" ref="B147:H147" si="237">Q7</f>
        <v>2004</v>
      </c>
      <c r="C147" s="70">
        <f t="shared" si="237"/>
        <v>2005</v>
      </c>
      <c r="D147" s="70">
        <f t="shared" si="237"/>
        <v>2006</v>
      </c>
      <c r="E147" s="70">
        <f t="shared" si="237"/>
        <v>2007</v>
      </c>
      <c r="F147" s="70">
        <f t="shared" si="237"/>
        <v>2008</v>
      </c>
      <c r="G147" s="70">
        <f t="shared" si="237"/>
        <v>2009</v>
      </c>
      <c r="H147" s="70">
        <f t="shared" si="237"/>
        <v>2010</v>
      </c>
      <c r="I147" s="70">
        <f>+I96</f>
        <v>2011</v>
      </c>
      <c r="J147" s="70">
        <f>+J96</f>
        <v>2012</v>
      </c>
      <c r="K147" s="70">
        <f>+K96</f>
        <v>2013</v>
      </c>
      <c r="L147" s="70">
        <f>+L96</f>
        <v>2014</v>
      </c>
      <c r="M147" s="70">
        <f>+M96</f>
        <v>2015</v>
      </c>
      <c r="N147" s="70">
        <f>+N96</f>
        <v>2016</v>
      </c>
      <c r="O147" s="80" t="s">
        <v>2</v>
      </c>
      <c r="P147" s="142" t="s">
        <v>185</v>
      </c>
      <c r="Q147" s="137"/>
      <c r="R147" s="137"/>
      <c r="S147" s="137"/>
      <c r="T147" s="143">
        <f t="shared" ref="T147:AB147" si="238">+E147</f>
        <v>2007</v>
      </c>
      <c r="U147" s="143">
        <f t="shared" si="238"/>
        <v>2008</v>
      </c>
      <c r="V147" s="143">
        <f t="shared" si="238"/>
        <v>2009</v>
      </c>
      <c r="W147" s="143">
        <f t="shared" si="238"/>
        <v>2010</v>
      </c>
      <c r="X147" s="143">
        <f t="shared" si="238"/>
        <v>2011</v>
      </c>
      <c r="Y147" s="143">
        <f t="shared" si="238"/>
        <v>2012</v>
      </c>
      <c r="Z147" s="143">
        <f t="shared" si="238"/>
        <v>2013</v>
      </c>
      <c r="AA147" s="143">
        <f t="shared" si="238"/>
        <v>2014</v>
      </c>
      <c r="AB147" s="143">
        <f t="shared" si="238"/>
        <v>2015</v>
      </c>
      <c r="AC147" s="143">
        <f>+N147</f>
        <v>2016</v>
      </c>
      <c r="AD147" s="146" t="str">
        <f>+AD96</f>
        <v>Average</v>
      </c>
    </row>
    <row r="148" spans="1:31" ht="12" customHeight="1" x14ac:dyDescent="0.2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5"/>
    </row>
    <row r="149" spans="1:31" ht="15.75" x14ac:dyDescent="0.25">
      <c r="A149" s="77" t="s">
        <v>33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31"/>
      <c r="P149" s="77" t="s">
        <v>189</v>
      </c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</row>
    <row r="150" spans="1:31" ht="15" x14ac:dyDescent="0.2">
      <c r="A150" s="52" t="s">
        <v>6</v>
      </c>
      <c r="B150" s="76">
        <f t="shared" ref="B150:H150" si="239">B24/B66</f>
        <v>0.94822206095791017</v>
      </c>
      <c r="C150" s="76">
        <f t="shared" si="239"/>
        <v>0.86522721601146557</v>
      </c>
      <c r="D150" s="76">
        <f t="shared" si="239"/>
        <v>1.1097363381941376</v>
      </c>
      <c r="E150" s="76">
        <f t="shared" si="239"/>
        <v>0.65975768499048759</v>
      </c>
      <c r="F150" s="76">
        <f t="shared" si="239"/>
        <v>1.0459881719480979</v>
      </c>
      <c r="G150" s="76">
        <f t="shared" si="239"/>
        <v>0.8905519176800748</v>
      </c>
      <c r="H150" s="76">
        <f t="shared" si="239"/>
        <v>0.60998320867043199</v>
      </c>
      <c r="I150" s="76">
        <f t="shared" ref="I150:J150" si="240">I24/I66</f>
        <v>0.58966244725738381</v>
      </c>
      <c r="J150" s="76">
        <f t="shared" si="240"/>
        <v>0.63233949149442115</v>
      </c>
      <c r="K150" s="76">
        <f t="shared" ref="K150:L150" si="241">K24/K66</f>
        <v>0.63314141777617861</v>
      </c>
      <c r="L150" s="76">
        <f t="shared" si="241"/>
        <v>0.6670421628580625</v>
      </c>
      <c r="M150" s="76">
        <f t="shared" ref="M150" si="242">M24/M66</f>
        <v>0.63764126340191252</v>
      </c>
      <c r="N150" s="76">
        <f t="shared" ref="N150" si="243">N24/N66</f>
        <v>0.33490364025695929</v>
      </c>
      <c r="O150" s="76">
        <f>AVERAGE(I150:M150)</f>
        <v>0.63196535655759178</v>
      </c>
      <c r="P150" s="52" t="s">
        <v>117</v>
      </c>
      <c r="T150" s="138"/>
      <c r="U150" s="138"/>
      <c r="V150" s="138">
        <v>919.9</v>
      </c>
      <c r="W150" s="138">
        <v>902.9</v>
      </c>
      <c r="X150" s="138">
        <v>968.8</v>
      </c>
      <c r="Y150" s="138">
        <v>862.2</v>
      </c>
      <c r="Z150" s="138">
        <v>985.8</v>
      </c>
      <c r="AA150" s="138">
        <v>960.9</v>
      </c>
      <c r="AB150" s="138">
        <v>917.6</v>
      </c>
      <c r="AC150" s="138">
        <v>83.4</v>
      </c>
      <c r="AD150" s="144">
        <f>AVERAGE(X150:AB150)</f>
        <v>939.06000000000006</v>
      </c>
    </row>
    <row r="151" spans="1:31" ht="15" x14ac:dyDescent="0.2">
      <c r="A151" s="52" t="s">
        <v>24</v>
      </c>
      <c r="B151" s="76">
        <f t="shared" ref="B151:H151" si="244">(B10+B11)/B66</f>
        <v>0.49088304942326788</v>
      </c>
      <c r="C151" s="76">
        <f t="shared" si="244"/>
        <v>0.42259728425983378</v>
      </c>
      <c r="D151" s="76">
        <f t="shared" si="244"/>
        <v>0.52717631462660197</v>
      </c>
      <c r="E151" s="76">
        <f t="shared" si="244"/>
        <v>0.34765194753179129</v>
      </c>
      <c r="F151" s="76">
        <f t="shared" si="244"/>
        <v>0.34098331715067526</v>
      </c>
      <c r="G151" s="76">
        <f t="shared" si="244"/>
        <v>0.1225444340505145</v>
      </c>
      <c r="H151" s="76">
        <f t="shared" si="244"/>
        <v>0.27629369561898948</v>
      </c>
      <c r="I151" s="76">
        <f t="shared" ref="I151:J151" si="245">(I10+I11)/I66</f>
        <v>0.23822081575246129</v>
      </c>
      <c r="J151" s="76">
        <f t="shared" si="245"/>
        <v>0.22023047375160051</v>
      </c>
      <c r="K151" s="76">
        <f t="shared" ref="K151:L151" si="246">(K10+K11)/K66</f>
        <v>0.24343288952860745</v>
      </c>
      <c r="L151" s="76">
        <f t="shared" si="246"/>
        <v>0.19568715803025427</v>
      </c>
      <c r="M151" s="76">
        <f t="shared" ref="M151" si="247">(M10+M11)/M66</f>
        <v>0.19081425673717761</v>
      </c>
      <c r="N151" s="76">
        <f t="shared" ref="N151" si="248">(N10+N11)/N66</f>
        <v>0.15346181299072092</v>
      </c>
      <c r="O151" s="76">
        <f t="shared" ref="O151:O152" si="249">AVERAGE(I151:M151)</f>
        <v>0.21767711876002022</v>
      </c>
      <c r="P151" s="52" t="s">
        <v>116</v>
      </c>
      <c r="T151" s="138"/>
      <c r="U151" s="138"/>
      <c r="V151" s="138">
        <v>245.4</v>
      </c>
      <c r="W151" s="138">
        <v>271.2</v>
      </c>
      <c r="X151" s="138">
        <v>271.8</v>
      </c>
      <c r="Y151" s="138">
        <v>277.5</v>
      </c>
      <c r="Z151" s="138">
        <v>266.2</v>
      </c>
      <c r="AA151" s="138">
        <v>263.89999999999998</v>
      </c>
      <c r="AB151" s="138">
        <v>263</v>
      </c>
      <c r="AC151" s="138">
        <v>27.6</v>
      </c>
      <c r="AD151" s="144">
        <f t="shared" ref="AD151:AD154" si="250">AVERAGE(X151:AB151)</f>
        <v>268.48</v>
      </c>
    </row>
    <row r="152" spans="1:31" ht="15" x14ac:dyDescent="0.2">
      <c r="A152" s="52" t="s">
        <v>9</v>
      </c>
      <c r="B152" s="76"/>
      <c r="C152" s="76">
        <f t="shared" ref="C152:M152" si="251">365*(((B11+C11)/2)/((B104+C104)/2))</f>
        <v>48.061725747835375</v>
      </c>
      <c r="D152" s="76">
        <f t="shared" si="251"/>
        <v>45.234366120383683</v>
      </c>
      <c r="E152" s="76">
        <f t="shared" si="251"/>
        <v>43.723616554600696</v>
      </c>
      <c r="F152" s="76">
        <f t="shared" si="251"/>
        <v>40.993749697175261</v>
      </c>
      <c r="G152" s="76">
        <f t="shared" si="251"/>
        <v>38.446666666666673</v>
      </c>
      <c r="H152" s="76">
        <f t="shared" si="251"/>
        <v>45.545332437877768</v>
      </c>
      <c r="I152" s="76">
        <f t="shared" si="251"/>
        <v>44.577868852459019</v>
      </c>
      <c r="J152" s="76">
        <f t="shared" si="251"/>
        <v>36.20873849910609</v>
      </c>
      <c r="K152" s="76">
        <f t="shared" si="251"/>
        <v>35.084954073051875</v>
      </c>
      <c r="L152" s="76">
        <f t="shared" si="251"/>
        <v>31.647573984144774</v>
      </c>
      <c r="M152" s="76">
        <f t="shared" si="251"/>
        <v>30.827596592375873</v>
      </c>
      <c r="N152" s="76">
        <f>365*(((L11+N11)/2)/((L104+N104)/2))</f>
        <v>43.628767622751589</v>
      </c>
      <c r="O152" s="76">
        <f t="shared" si="249"/>
        <v>35.669346400227525</v>
      </c>
      <c r="P152" s="52" t="s">
        <v>155</v>
      </c>
      <c r="T152" s="138"/>
      <c r="U152" s="138"/>
      <c r="V152" s="138">
        <v>242.9</v>
      </c>
      <c r="W152" s="138">
        <v>264.8</v>
      </c>
      <c r="X152" s="138">
        <v>285.10000000000002</v>
      </c>
      <c r="Y152" s="138">
        <v>310.2</v>
      </c>
      <c r="Z152" s="138">
        <v>339.9</v>
      </c>
      <c r="AA152" s="138">
        <v>385.9</v>
      </c>
      <c r="AB152" s="138">
        <v>342</v>
      </c>
      <c r="AC152" s="138">
        <v>39.700000000000003</v>
      </c>
      <c r="AD152" s="144">
        <f t="shared" si="250"/>
        <v>332.62</v>
      </c>
    </row>
    <row r="153" spans="1:31" ht="15" x14ac:dyDescent="0.2">
      <c r="A153" s="5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52" t="s">
        <v>188</v>
      </c>
      <c r="T153" s="139"/>
      <c r="U153" s="139"/>
      <c r="V153" s="139">
        <v>-298.3</v>
      </c>
      <c r="W153" s="139">
        <v>-315.3</v>
      </c>
      <c r="X153" s="139">
        <v>-331.3</v>
      </c>
      <c r="Y153" s="139">
        <v>-351</v>
      </c>
      <c r="Z153" s="139">
        <f>-372.1+0.2</f>
        <v>-371.90000000000003</v>
      </c>
      <c r="AA153" s="139">
        <f>-424+2.6</f>
        <v>-421.4</v>
      </c>
      <c r="AB153" s="139">
        <f>6.5-394.2</f>
        <v>-387.7</v>
      </c>
      <c r="AC153" s="139">
        <v>-15</v>
      </c>
      <c r="AD153" s="144">
        <f t="shared" si="250"/>
        <v>-372.65999999999997</v>
      </c>
    </row>
    <row r="154" spans="1:31" ht="15.75" x14ac:dyDescent="0.25">
      <c r="A154" s="77" t="s">
        <v>15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52" t="s">
        <v>191</v>
      </c>
      <c r="T154" s="138"/>
      <c r="U154" s="138"/>
      <c r="V154" s="138">
        <f t="shared" ref="V154:W154" si="252">+V153+V152+V151+V150</f>
        <v>1109.9000000000001</v>
      </c>
      <c r="W154" s="138">
        <f t="shared" si="252"/>
        <v>1123.5999999999999</v>
      </c>
      <c r="X154" s="138">
        <f t="shared" ref="X154:AC154" si="253">+X153+X152+X151+X150</f>
        <v>1194.4000000000001</v>
      </c>
      <c r="Y154" s="138">
        <f t="shared" si="253"/>
        <v>1098.9000000000001</v>
      </c>
      <c r="Z154" s="138">
        <f t="shared" si="253"/>
        <v>1220</v>
      </c>
      <c r="AA154" s="138">
        <f t="shared" si="253"/>
        <v>1189.3</v>
      </c>
      <c r="AB154" s="138">
        <f t="shared" si="253"/>
        <v>1134.9000000000001</v>
      </c>
      <c r="AC154" s="138">
        <f t="shared" si="253"/>
        <v>135.70000000000002</v>
      </c>
      <c r="AD154" s="144">
        <f t="shared" si="250"/>
        <v>1167.5</v>
      </c>
    </row>
    <row r="155" spans="1:31" ht="15" x14ac:dyDescent="0.2">
      <c r="A155" s="52" t="s">
        <v>18</v>
      </c>
      <c r="B155" s="76">
        <f t="shared" ref="B155:H155" si="254">B87/B80</f>
        <v>0.64411800106401595</v>
      </c>
      <c r="C155" s="76">
        <f t="shared" si="254"/>
        <v>0.55206766716418432</v>
      </c>
      <c r="D155" s="76">
        <f t="shared" si="254"/>
        <v>0.77136961387800784</v>
      </c>
      <c r="E155" s="76">
        <f t="shared" si="254"/>
        <v>0.76579627484181445</v>
      </c>
      <c r="F155" s="76">
        <f t="shared" si="254"/>
        <v>0.66512964963728971</v>
      </c>
      <c r="G155" s="76">
        <f t="shared" si="254"/>
        <v>0.65130458665201862</v>
      </c>
      <c r="H155" s="76">
        <f t="shared" si="254"/>
        <v>0.44325133689839569</v>
      </c>
      <c r="I155" s="76">
        <f t="shared" ref="I155:J155" si="255">I87/I80</f>
        <v>0.41351578441963749</v>
      </c>
      <c r="J155" s="76">
        <f t="shared" si="255"/>
        <v>0.37417350146330897</v>
      </c>
      <c r="K155" s="76">
        <f t="shared" ref="K155:L155" si="256">K87/K80</f>
        <v>0.41982139730344947</v>
      </c>
      <c r="L155" s="76">
        <f t="shared" si="256"/>
        <v>0.41491593141335109</v>
      </c>
      <c r="M155" s="76">
        <f t="shared" ref="M155" si="257">M87/M80</f>
        <v>0.42939236621281884</v>
      </c>
      <c r="N155" s="76">
        <f t="shared" ref="N155" si="258">N87/N80</f>
        <v>0.48277452545680327</v>
      </c>
      <c r="O155" s="76">
        <f t="shared" ref="O155:O158" si="259">AVERAGE(I155:M155)</f>
        <v>0.41036379616251317</v>
      </c>
      <c r="P155" s="52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</row>
    <row r="156" spans="1:31" ht="15.75" x14ac:dyDescent="0.25">
      <c r="A156" s="52" t="s">
        <v>17</v>
      </c>
      <c r="B156" s="76">
        <f t="shared" ref="B156:H156" si="260">B87/B78</f>
        <v>0.84121267652629106</v>
      </c>
      <c r="C156" s="76">
        <f t="shared" si="260"/>
        <v>0.80147189630634785</v>
      </c>
      <c r="D156" s="76">
        <f t="shared" si="260"/>
        <v>1.0115580424712196</v>
      </c>
      <c r="E156" s="76">
        <f t="shared" si="260"/>
        <v>1.0888241256969085</v>
      </c>
      <c r="F156" s="76">
        <f t="shared" si="260"/>
        <v>0.85117151815914871</v>
      </c>
      <c r="G156" s="76">
        <f t="shared" si="260"/>
        <v>0.80981217985202048</v>
      </c>
      <c r="H156" s="76">
        <f t="shared" si="260"/>
        <v>0.61584640989063233</v>
      </c>
      <c r="I156" s="76">
        <f t="shared" ref="I156:J156" si="261">I87/I78</f>
        <v>0.53535353535353536</v>
      </c>
      <c r="J156" s="76">
        <f t="shared" si="261"/>
        <v>0.46627645204862683</v>
      </c>
      <c r="K156" s="76">
        <f t="shared" ref="K156:L156" si="262">K87/K78</f>
        <v>0.52128538505022393</v>
      </c>
      <c r="L156" s="76">
        <f t="shared" si="262"/>
        <v>0.52315184081272825</v>
      </c>
      <c r="M156" s="76">
        <f t="shared" ref="M156" si="263">M87/M78</f>
        <v>0.55430979978925199</v>
      </c>
      <c r="N156" s="76">
        <f t="shared" ref="N156" si="264">N87/N78</f>
        <v>0.64244570349386221</v>
      </c>
      <c r="O156" s="76">
        <f t="shared" si="259"/>
        <v>0.52007540261087326</v>
      </c>
      <c r="P156" s="77" t="s">
        <v>190</v>
      </c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</row>
    <row r="157" spans="1:31" ht="15" x14ac:dyDescent="0.2">
      <c r="A157" s="52" t="s">
        <v>16</v>
      </c>
      <c r="B157" s="76">
        <f t="shared" ref="B157:H157" si="265">B87/B34</f>
        <v>0.48232991310035017</v>
      </c>
      <c r="C157" s="76">
        <f t="shared" si="265"/>
        <v>0.45216163653136848</v>
      </c>
      <c r="D157" s="76">
        <f t="shared" si="265"/>
        <v>0.53905753531798395</v>
      </c>
      <c r="E157" s="76">
        <f t="shared" si="265"/>
        <v>0.50560938296787361</v>
      </c>
      <c r="F157" s="76">
        <f t="shared" si="265"/>
        <v>0.48331697742885188</v>
      </c>
      <c r="G157" s="76">
        <f t="shared" si="265"/>
        <v>0.45575215569706212</v>
      </c>
      <c r="H157" s="76">
        <f t="shared" si="265"/>
        <v>0.35918324897732778</v>
      </c>
      <c r="I157" s="76">
        <f t="shared" ref="I157:J157" si="266">I87/I34</f>
        <v>0.33355925639039496</v>
      </c>
      <c r="J157" s="76">
        <f t="shared" si="266"/>
        <v>0.30792102759276879</v>
      </c>
      <c r="K157" s="76">
        <f t="shared" ref="K157:L157" si="267">K87/K34</f>
        <v>0.33272273105745209</v>
      </c>
      <c r="L157" s="76">
        <f t="shared" si="267"/>
        <v>0.3336099585062241</v>
      </c>
      <c r="M157" s="76">
        <f t="shared" ref="M157" si="268">M87/M34</f>
        <v>0.34169979473588491</v>
      </c>
      <c r="N157" s="76">
        <f t="shared" ref="N157" si="269">N87/N34</f>
        <v>0.35246729698225626</v>
      </c>
      <c r="O157" s="76">
        <f t="shared" si="259"/>
        <v>0.32990255365654492</v>
      </c>
      <c r="P157" s="52" t="str">
        <f>+P150</f>
        <v>Questar Gas</v>
      </c>
      <c r="T157" s="138"/>
      <c r="U157" s="138"/>
      <c r="V157" s="140">
        <f t="shared" ref="V157:W157" si="270">+V150/V154</f>
        <v>0.82881340661320835</v>
      </c>
      <c r="W157" s="140">
        <f t="shared" si="270"/>
        <v>0.80357778568885729</v>
      </c>
      <c r="X157" s="140">
        <f t="shared" ref="X157:AC157" si="271">+X150/X154</f>
        <v>0.81111855324849291</v>
      </c>
      <c r="Y157" s="140">
        <f t="shared" si="271"/>
        <v>0.78460278460278454</v>
      </c>
      <c r="Z157" s="140">
        <f t="shared" si="271"/>
        <v>0.80803278688524582</v>
      </c>
      <c r="AA157" s="140">
        <f t="shared" si="271"/>
        <v>0.807954258807702</v>
      </c>
      <c r="AB157" s="140">
        <f t="shared" ref="AB157" si="272">+AB150/AB154</f>
        <v>0.80852938584897338</v>
      </c>
      <c r="AC157" s="140">
        <f t="shared" si="271"/>
        <v>0.61459100957995572</v>
      </c>
      <c r="AD157" s="140">
        <f>+AD150/AD154</f>
        <v>0.80433404710920775</v>
      </c>
      <c r="AE157" s="1"/>
    </row>
    <row r="158" spans="1:31" ht="15" x14ac:dyDescent="0.2">
      <c r="A158" s="52" t="s">
        <v>34</v>
      </c>
      <c r="B158" s="76">
        <f t="shared" ref="B158:G158" si="273">(B128+B121)/B121</f>
        <v>6.2445732072659217</v>
      </c>
      <c r="C158" s="76">
        <f t="shared" si="273"/>
        <v>8.4118478966736383</v>
      </c>
      <c r="D158" s="76">
        <f t="shared" si="273"/>
        <v>10.505434782608702</v>
      </c>
      <c r="E158" s="76">
        <f t="shared" si="273"/>
        <v>12.052631578947368</v>
      </c>
      <c r="F158" s="76">
        <f t="shared" si="273"/>
        <v>9.8853556485355583</v>
      </c>
      <c r="G158" s="76">
        <f t="shared" si="273"/>
        <v>5.7802013422818774</v>
      </c>
      <c r="H158" s="76">
        <f t="shared" ref="H158:I158" si="274">(H128+H121)/H121</f>
        <v>6.2837127845884391</v>
      </c>
      <c r="I158" s="76">
        <f t="shared" si="274"/>
        <v>6.7095070422535246</v>
      </c>
      <c r="J158" s="76">
        <f t="shared" ref="J158:K158" si="275">(J128+J121)/J121</f>
        <v>6.6735751295336767</v>
      </c>
      <c r="K158" s="76">
        <f t="shared" si="275"/>
        <v>5.6133567662565902</v>
      </c>
      <c r="L158" s="76">
        <f t="shared" ref="L158:N158" si="276">(L128+L121)/L121</f>
        <v>6.584786053882719</v>
      </c>
      <c r="M158" s="76">
        <f t="shared" ref="M158" si="277">(M128+M121)/M121</f>
        <v>6.0682539682539707</v>
      </c>
      <c r="N158" s="76">
        <f t="shared" si="276"/>
        <v>8.7151898734177209</v>
      </c>
      <c r="O158" s="76">
        <f t="shared" si="259"/>
        <v>6.3298957920360959</v>
      </c>
      <c r="P158" s="52" t="str">
        <f>+P151</f>
        <v>Questar Pipeline</v>
      </c>
      <c r="T158" s="138"/>
      <c r="U158" s="138"/>
      <c r="V158" s="140">
        <f t="shared" ref="V158:W158" si="278">+V151/V154</f>
        <v>0.2211010000900982</v>
      </c>
      <c r="W158" s="140">
        <f t="shared" si="278"/>
        <v>0.24136703453186187</v>
      </c>
      <c r="X158" s="140">
        <f t="shared" ref="X158:AD158" si="279">+X151/X154</f>
        <v>0.22756195579370395</v>
      </c>
      <c r="Y158" s="140">
        <f t="shared" si="279"/>
        <v>0.25252525252525249</v>
      </c>
      <c r="Z158" s="140">
        <f t="shared" si="279"/>
        <v>0.21819672131147541</v>
      </c>
      <c r="AA158" s="140">
        <f t="shared" si="279"/>
        <v>0.22189523248969981</v>
      </c>
      <c r="AB158" s="140">
        <f t="shared" ref="AB158" si="280">+AB151/AB154</f>
        <v>0.23173847916115956</v>
      </c>
      <c r="AC158" s="140">
        <f t="shared" si="279"/>
        <v>0.20338983050847456</v>
      </c>
      <c r="AD158" s="140">
        <f t="shared" si="279"/>
        <v>0.22996145610278373</v>
      </c>
      <c r="AE158" s="1"/>
    </row>
    <row r="159" spans="1:31" ht="15" x14ac:dyDescent="0.2">
      <c r="P159" s="52" t="str">
        <f>+P152</f>
        <v>Wexpro</v>
      </c>
      <c r="T159" s="138"/>
      <c r="U159" s="138"/>
      <c r="V159" s="140">
        <f t="shared" ref="V159:W159" si="281">+V152/V154</f>
        <v>0.21884854491395619</v>
      </c>
      <c r="W159" s="140">
        <f t="shared" si="281"/>
        <v>0.23567105731577076</v>
      </c>
      <c r="X159" s="140">
        <f t="shared" ref="X159:AD159" si="282">+X152/X154</f>
        <v>0.23869725385130611</v>
      </c>
      <c r="Y159" s="140">
        <f t="shared" si="282"/>
        <v>0.28228228228228225</v>
      </c>
      <c r="Z159" s="140">
        <f t="shared" si="282"/>
        <v>0.27860655737704915</v>
      </c>
      <c r="AA159" s="140">
        <f t="shared" si="282"/>
        <v>0.32447658286386949</v>
      </c>
      <c r="AB159" s="140">
        <f t="shared" ref="AB159" si="283">+AB152/AB154</f>
        <v>0.30134813639968278</v>
      </c>
      <c r="AC159" s="140">
        <f t="shared" si="282"/>
        <v>0.292557111274871</v>
      </c>
      <c r="AD159" s="140">
        <f t="shared" si="282"/>
        <v>0.28489935760171309</v>
      </c>
      <c r="AE159" s="1"/>
    </row>
    <row r="160" spans="1:31" ht="15.75" x14ac:dyDescent="0.25">
      <c r="A160" s="77" t="s">
        <v>63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52" t="str">
        <f>+P153</f>
        <v>Intercompany Transactions</v>
      </c>
      <c r="T160" s="139"/>
      <c r="U160" s="139"/>
      <c r="V160" s="141">
        <f t="shared" ref="V160:W160" si="284">+V153/V154</f>
        <v>-0.26876295161726282</v>
      </c>
      <c r="W160" s="141">
        <f t="shared" si="284"/>
        <v>-0.28061587753648987</v>
      </c>
      <c r="X160" s="141">
        <f t="shared" ref="X160:AD160" si="285">+X153/X154</f>
        <v>-0.27737776289350302</v>
      </c>
      <c r="Y160" s="141">
        <f t="shared" si="285"/>
        <v>-0.31941031941031939</v>
      </c>
      <c r="Z160" s="141">
        <f t="shared" si="285"/>
        <v>-0.30483606557377052</v>
      </c>
      <c r="AA160" s="141">
        <f t="shared" si="285"/>
        <v>-0.35432607416127132</v>
      </c>
      <c r="AB160" s="141">
        <f t="shared" ref="AB160" si="286">+AB153/AB154</f>
        <v>-0.34161600140981579</v>
      </c>
      <c r="AC160" s="141">
        <f t="shared" si="285"/>
        <v>-0.11053795136330138</v>
      </c>
      <c r="AD160" s="141">
        <f t="shared" si="285"/>
        <v>-0.31919486081370446</v>
      </c>
      <c r="AE160" s="1"/>
    </row>
    <row r="161" spans="1:31" ht="15" x14ac:dyDescent="0.2">
      <c r="A161" s="52" t="s">
        <v>147</v>
      </c>
      <c r="B161" s="31">
        <f t="shared" ref="B161:J161" si="287">(+B104-B107)/B104</f>
        <v>0.56778184430568346</v>
      </c>
      <c r="C161" s="31">
        <f t="shared" si="287"/>
        <v>0.49674004949928213</v>
      </c>
      <c r="D161" s="31">
        <f t="shared" si="287"/>
        <v>0.56848638736069967</v>
      </c>
      <c r="E161" s="31">
        <f t="shared" si="287"/>
        <v>0.66364703293479055</v>
      </c>
      <c r="F161" s="31">
        <f t="shared" si="287"/>
        <v>0.70921474127730799</v>
      </c>
      <c r="G161" s="31">
        <f t="shared" si="287"/>
        <v>0.70141454185061713</v>
      </c>
      <c r="H161" s="168">
        <f t="shared" si="287"/>
        <v>0.75</v>
      </c>
      <c r="I161" s="168">
        <f t="shared" si="287"/>
        <v>0.73082719356999337</v>
      </c>
      <c r="J161" s="168">
        <f t="shared" si="287"/>
        <v>0.82500682500682498</v>
      </c>
      <c r="K161" s="168">
        <f t="shared" ref="K161:L161" si="288">(+K104-K107)/K104</f>
        <v>0.76565573770491802</v>
      </c>
      <c r="L161" s="168">
        <f t="shared" si="288"/>
        <v>0.84335323299419829</v>
      </c>
      <c r="M161" s="168">
        <f t="shared" ref="M161" si="289">(+M104-M107)/M104</f>
        <v>0.84562516521279407</v>
      </c>
      <c r="N161" s="168">
        <f t="shared" ref="N161" si="290">(+N104-N107)/N104</f>
        <v>0.65264080648696032</v>
      </c>
      <c r="O161" s="140">
        <f>AVERAGE(I161:M161)</f>
        <v>0.80209363089774577</v>
      </c>
      <c r="P161" s="52" t="str">
        <f>+P154</f>
        <v xml:space="preserve">     Total</v>
      </c>
      <c r="T161" s="138"/>
      <c r="U161" s="138"/>
      <c r="V161" s="140">
        <f t="shared" ref="V161:W161" si="291">+V154/V154</f>
        <v>1</v>
      </c>
      <c r="W161" s="140">
        <f t="shared" si="291"/>
        <v>1</v>
      </c>
      <c r="X161" s="140">
        <f t="shared" ref="X161:AD161" si="292">+X154/X154</f>
        <v>1</v>
      </c>
      <c r="Y161" s="140">
        <f t="shared" si="292"/>
        <v>1</v>
      </c>
      <c r="Z161" s="140">
        <f t="shared" si="292"/>
        <v>1</v>
      </c>
      <c r="AA161" s="140">
        <f t="shared" si="292"/>
        <v>1</v>
      </c>
      <c r="AB161" s="140">
        <f t="shared" ref="AB161" si="293">+AB154/AB154</f>
        <v>1</v>
      </c>
      <c r="AC161" s="140">
        <f t="shared" si="292"/>
        <v>1</v>
      </c>
      <c r="AD161" s="140">
        <f t="shared" si="292"/>
        <v>1</v>
      </c>
    </row>
    <row r="162" spans="1:31" ht="15" x14ac:dyDescent="0.2">
      <c r="A162" s="52" t="s">
        <v>192</v>
      </c>
      <c r="B162" s="76"/>
      <c r="C162" s="76"/>
      <c r="D162" s="76"/>
      <c r="E162" s="31">
        <f t="shared" ref="E162:J162" si="294">+E131/E104</f>
        <v>0.18609256950047678</v>
      </c>
      <c r="F162" s="31">
        <f t="shared" si="294"/>
        <v>0.19733918213038568</v>
      </c>
      <c r="G162" s="31">
        <f t="shared" si="294"/>
        <v>0.16262726371745193</v>
      </c>
      <c r="H162" s="168">
        <f t="shared" si="294"/>
        <v>0.17114631541473824</v>
      </c>
      <c r="I162" s="168">
        <f t="shared" si="294"/>
        <v>0.17406229068988627</v>
      </c>
      <c r="J162" s="168">
        <f t="shared" si="294"/>
        <v>0.19292019292019283</v>
      </c>
      <c r="K162" s="168">
        <f t="shared" ref="K162:L162" si="295">+K131/K104</f>
        <v>0.1321311475409836</v>
      </c>
      <c r="L162" s="168">
        <f t="shared" si="295"/>
        <v>0.19044816278483109</v>
      </c>
      <c r="M162" s="168">
        <f t="shared" ref="M162" si="296">+M131/M104</f>
        <v>0.18389285399594688</v>
      </c>
      <c r="N162" s="168">
        <f t="shared" ref="N162" si="297">+N131/N104</f>
        <v>0.17203594126671046</v>
      </c>
      <c r="O162" s="140">
        <f t="shared" ref="O162:O165" si="298">AVERAGE(I162:M162)</f>
        <v>0.17469092958636814</v>
      </c>
      <c r="P162" s="52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</row>
    <row r="163" spans="1:31" ht="15.75" x14ac:dyDescent="0.25">
      <c r="A163" s="52" t="s">
        <v>27</v>
      </c>
      <c r="B163" s="31"/>
      <c r="C163" s="31">
        <f t="shared" ref="C163:M163" si="299">(C131+(C121*(1-(C130/C128))))/((B45+C45)/2)</f>
        <v>9.2042291685693764E-2</v>
      </c>
      <c r="D163" s="31">
        <f t="shared" si="299"/>
        <v>0.10418859388056233</v>
      </c>
      <c r="E163" s="31">
        <f t="shared" si="299"/>
        <v>0.10052005541836496</v>
      </c>
      <c r="F163" s="31">
        <f t="shared" si="299"/>
        <v>0.10439290698883526</v>
      </c>
      <c r="G163" s="31">
        <f t="shared" si="299"/>
        <v>2.4732982697321205E-2</v>
      </c>
      <c r="H163" s="168">
        <f t="shared" si="299"/>
        <v>3.6909485393414952E-2</v>
      </c>
      <c r="I163" s="168">
        <f t="shared" si="299"/>
        <v>7.0749725174134998E-2</v>
      </c>
      <c r="J163" s="168">
        <f t="shared" si="299"/>
        <v>6.7983318124251846E-2</v>
      </c>
      <c r="K163" s="168">
        <f t="shared" si="299"/>
        <v>4.9924154715846832E-2</v>
      </c>
      <c r="L163" s="168">
        <f t="shared" si="299"/>
        <v>6.4319993209240575E-2</v>
      </c>
      <c r="M163" s="168">
        <f t="shared" si="299"/>
        <v>5.7925908810774251E-2</v>
      </c>
      <c r="N163" s="168">
        <f>(N131+(N121*(1-(N130/N128))))/((L45+N45)/2)</f>
        <v>2.1040641931455575E-2</v>
      </c>
      <c r="O163" s="140">
        <f t="shared" si="298"/>
        <v>6.2180620006849693E-2</v>
      </c>
      <c r="P163" s="77" t="s">
        <v>206</v>
      </c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</row>
    <row r="164" spans="1:31" ht="15" x14ac:dyDescent="0.2">
      <c r="A164" s="52" t="s">
        <v>62</v>
      </c>
      <c r="B164" s="31"/>
      <c r="C164" s="31">
        <f t="shared" ref="C164:M164" si="300">(C131+(C121*(1-(C130/C128))))/((B68+C68+B87+C87)/2)</f>
        <v>0.1506889433985609</v>
      </c>
      <c r="D164" s="31">
        <f t="shared" si="300"/>
        <v>0.17039712016186481</v>
      </c>
      <c r="E164" s="31">
        <f t="shared" si="300"/>
        <v>0.16209392677533882</v>
      </c>
      <c r="F164" s="31">
        <f t="shared" si="300"/>
        <v>0.16673236316602652</v>
      </c>
      <c r="G164" s="31">
        <f t="shared" si="300"/>
        <v>4.4027538051562946E-2</v>
      </c>
      <c r="H164" s="168">
        <f t="shared" si="300"/>
        <v>7.2338598569054835E-2</v>
      </c>
      <c r="I164" s="168">
        <f t="shared" si="300"/>
        <v>0.1233561136913095</v>
      </c>
      <c r="J164" s="168">
        <f t="shared" si="300"/>
        <v>0.11985878877465127</v>
      </c>
      <c r="K164" s="168">
        <f t="shared" si="300"/>
        <v>8.5644056871722565E-2</v>
      </c>
      <c r="L164" s="168">
        <f t="shared" si="300"/>
        <v>0.10873197826015507</v>
      </c>
      <c r="M164" s="168">
        <f t="shared" si="300"/>
        <v>9.9961151768167791E-2</v>
      </c>
      <c r="N164" s="168">
        <f>(N131+(N121*(1-(N130/N128))))/((L68+N68+L87+N87)/2)</f>
        <v>3.6796785438107327E-2</v>
      </c>
      <c r="O164" s="140">
        <f t="shared" si="298"/>
        <v>0.10751041787320123</v>
      </c>
      <c r="P164" s="52" t="str">
        <f>+P157</f>
        <v>Questar Gas</v>
      </c>
      <c r="T164" s="138"/>
      <c r="U164" s="138"/>
      <c r="V164" s="138">
        <v>41.6</v>
      </c>
      <c r="W164" s="138">
        <v>43.9</v>
      </c>
      <c r="X164" s="138">
        <v>46.1</v>
      </c>
      <c r="Y164" s="138">
        <v>47.1</v>
      </c>
      <c r="Z164" s="138">
        <v>52.8</v>
      </c>
      <c r="AA164" s="138">
        <v>55.2</v>
      </c>
      <c r="AB164" s="138">
        <v>64.3</v>
      </c>
      <c r="AC164" s="138">
        <v>47.6</v>
      </c>
      <c r="AD164" s="144">
        <f t="shared" ref="AD164:AD168" si="301">AVERAGE(X164:AB164)</f>
        <v>53.1</v>
      </c>
    </row>
    <row r="165" spans="1:31" ht="15" x14ac:dyDescent="0.2">
      <c r="A165" s="52" t="s">
        <v>61</v>
      </c>
      <c r="B165" s="31"/>
      <c r="C165" s="31">
        <f t="shared" ref="C165:M165" si="302">(C131-C137)/((C87+B87)/2)</f>
        <v>0.21789338925609844</v>
      </c>
      <c r="D165" s="31">
        <f t="shared" si="302"/>
        <v>0.2365188641236142</v>
      </c>
      <c r="E165" s="31">
        <f t="shared" si="302"/>
        <v>0.21215035330518042</v>
      </c>
      <c r="F165" s="31">
        <f t="shared" si="302"/>
        <v>0.2269724831546451</v>
      </c>
      <c r="G165" s="31">
        <f t="shared" si="302"/>
        <v>5.1537561031322232E-2</v>
      </c>
      <c r="H165" s="168">
        <f t="shared" si="302"/>
        <v>8.3732474092136147E-2</v>
      </c>
      <c r="I165" s="168">
        <f t="shared" si="302"/>
        <v>0.20090838809431791</v>
      </c>
      <c r="J165" s="168">
        <f t="shared" si="302"/>
        <v>0.20492001353245357</v>
      </c>
      <c r="K165" s="168">
        <f t="shared" si="302"/>
        <v>0.14428929466523449</v>
      </c>
      <c r="L165" s="168">
        <f t="shared" si="302"/>
        <v>0.18527607361963155</v>
      </c>
      <c r="M165" s="168">
        <f t="shared" si="302"/>
        <v>0.16296411978292283</v>
      </c>
      <c r="N165" s="168">
        <f>(N131-N137)/((N87+L87)/2)</f>
        <v>6.022478806244963E-2</v>
      </c>
      <c r="O165" s="140">
        <f t="shared" si="298"/>
        <v>0.17967157793891206</v>
      </c>
      <c r="P165" s="52" t="str">
        <f>+P158</f>
        <v>Questar Pipeline</v>
      </c>
      <c r="T165" s="138"/>
      <c r="U165" s="138"/>
      <c r="V165" s="138">
        <v>58.2</v>
      </c>
      <c r="W165" s="138">
        <v>67.400000000000006</v>
      </c>
      <c r="X165" s="138">
        <v>67.900000000000006</v>
      </c>
      <c r="Y165" s="138">
        <v>64.7</v>
      </c>
      <c r="Z165" s="138">
        <v>8.1999999999999993</v>
      </c>
      <c r="AA165" s="138">
        <v>60.6</v>
      </c>
      <c r="AB165" s="138">
        <v>59.6</v>
      </c>
      <c r="AC165" s="138">
        <v>14.2</v>
      </c>
      <c r="AD165" s="144">
        <f t="shared" si="301"/>
        <v>52.2</v>
      </c>
    </row>
    <row r="166" spans="1:31" ht="15" x14ac:dyDescent="0.2">
      <c r="P166" s="52" t="str">
        <f>+P159</f>
        <v>Wexpro</v>
      </c>
      <c r="T166" s="138"/>
      <c r="U166" s="138"/>
      <c r="V166" s="138">
        <v>80.7</v>
      </c>
      <c r="W166" s="138">
        <v>88.1</v>
      </c>
      <c r="X166" s="138">
        <v>95.2</v>
      </c>
      <c r="Y166" s="138">
        <v>103.9</v>
      </c>
      <c r="Z166" s="138">
        <v>110.6</v>
      </c>
      <c r="AA166" s="138">
        <v>122.8</v>
      </c>
      <c r="AB166" s="138">
        <v>98.9</v>
      </c>
      <c r="AC166" s="138">
        <v>26.2</v>
      </c>
      <c r="AD166" s="144">
        <f>AVERAGE(X166:AB166)</f>
        <v>106.28000000000002</v>
      </c>
    </row>
    <row r="167" spans="1:31" ht="15.75" x14ac:dyDescent="0.25">
      <c r="A167" s="77" t="s">
        <v>1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52" t="s">
        <v>209</v>
      </c>
      <c r="T167" s="139"/>
      <c r="U167" s="139"/>
      <c r="V167" s="139">
        <v>0</v>
      </c>
      <c r="W167" s="139">
        <v>-7.1</v>
      </c>
      <c r="X167" s="139">
        <v>-1.3</v>
      </c>
      <c r="Y167" s="139">
        <v>-3.7</v>
      </c>
      <c r="Z167" s="139">
        <v>-10.4</v>
      </c>
      <c r="AA167" s="139">
        <v>-12.1</v>
      </c>
      <c r="AB167" s="139">
        <v>-14.1</v>
      </c>
      <c r="AC167" s="139">
        <v>-9.5</v>
      </c>
      <c r="AD167" s="144">
        <f t="shared" si="301"/>
        <v>-8.32</v>
      </c>
    </row>
    <row r="168" spans="1:31" ht="15" x14ac:dyDescent="0.2">
      <c r="A168" s="52" t="s">
        <v>29</v>
      </c>
      <c r="B168" s="76"/>
      <c r="C168" s="76">
        <f t="shared" ref="C168:M168" si="303">C104/((B10+C10)/2)</f>
        <v>319.80376738454316</v>
      </c>
      <c r="D168" s="76">
        <f t="shared" si="303"/>
        <v>149.39936775553213</v>
      </c>
      <c r="E168" s="76">
        <f t="shared" si="303"/>
        <v>140.54639175257734</v>
      </c>
      <c r="F168" s="76">
        <f t="shared" si="303"/>
        <v>181.89501312335958</v>
      </c>
      <c r="G168" s="76">
        <f t="shared" si="303"/>
        <v>62.706214689265529</v>
      </c>
      <c r="H168" s="76">
        <f t="shared" si="303"/>
        <v>67.483483483483482</v>
      </c>
      <c r="I168" s="76">
        <f t="shared" si="303"/>
        <v>71.52095808383234</v>
      </c>
      <c r="J168" s="76">
        <f t="shared" si="303"/>
        <v>77.387323943661968</v>
      </c>
      <c r="K168" s="76">
        <f t="shared" si="303"/>
        <v>74.390243902439025</v>
      </c>
      <c r="L168" s="76">
        <f t="shared" si="303"/>
        <v>49.554166666666653</v>
      </c>
      <c r="M168" s="76">
        <f t="shared" si="303"/>
        <v>39.821052631578951</v>
      </c>
      <c r="N168" s="76">
        <f>N104/((L10+N10)/2)</f>
        <v>28.166666666666664</v>
      </c>
      <c r="O168" s="76">
        <f t="shared" ref="O168:O172" si="304">AVERAGE(I168:M168)</f>
        <v>62.534749045635785</v>
      </c>
      <c r="P168" s="52" t="str">
        <f>+P161</f>
        <v xml:space="preserve">     Total</v>
      </c>
      <c r="T168" s="138"/>
      <c r="U168" s="138"/>
      <c r="V168" s="138">
        <f t="shared" ref="V168:W168" si="305">+V167+V166+V165+V164</f>
        <v>180.5</v>
      </c>
      <c r="W168" s="138">
        <f t="shared" si="305"/>
        <v>192.3</v>
      </c>
      <c r="X168" s="138">
        <f t="shared" ref="X168:AC168" si="306">+X167+X166+X165+X164</f>
        <v>207.9</v>
      </c>
      <c r="Y168" s="138">
        <f t="shared" si="306"/>
        <v>212</v>
      </c>
      <c r="Z168" s="138">
        <f t="shared" si="306"/>
        <v>161.19999999999999</v>
      </c>
      <c r="AA168" s="138">
        <f t="shared" si="306"/>
        <v>226.5</v>
      </c>
      <c r="AB168" s="138">
        <f t="shared" si="306"/>
        <v>208.7</v>
      </c>
      <c r="AC168" s="138">
        <f t="shared" si="306"/>
        <v>78.5</v>
      </c>
      <c r="AD168" s="144">
        <f t="shared" si="301"/>
        <v>203.26</v>
      </c>
    </row>
    <row r="169" spans="1:31" ht="15" x14ac:dyDescent="0.2">
      <c r="A169" s="52" t="s">
        <v>28</v>
      </c>
      <c r="B169" s="76"/>
      <c r="C169" s="76">
        <f>C104/((B11+C11)/2)</f>
        <v>8.9461583288874298</v>
      </c>
      <c r="D169" s="76">
        <f>D104/((C11+D11)/2)</f>
        <v>8.2297456139077934</v>
      </c>
      <c r="E169" s="76">
        <f>E104/((D11+E11)/2)</f>
        <v>8.1843013657511641</v>
      </c>
      <c r="F169" s="76">
        <f>F104/((E11+F11)/2)</f>
        <v>9.9657750934713825</v>
      </c>
      <c r="G169" s="76">
        <f t="shared" ref="G169:M169" si="307">G104/((E11+G11)/2)</f>
        <v>4.9056353591160216</v>
      </c>
      <c r="H169" s="76">
        <f t="shared" si="307"/>
        <v>4.3082822085889578</v>
      </c>
      <c r="I169" s="76">
        <f t="shared" si="307"/>
        <v>9.8142974527526707</v>
      </c>
      <c r="J169" s="76">
        <f t="shared" si="307"/>
        <v>8.3630136986301373</v>
      </c>
      <c r="K169" s="76">
        <f t="shared" si="307"/>
        <v>10.032894736842106</v>
      </c>
      <c r="L169" s="76">
        <f t="shared" si="307"/>
        <v>12.311594202898549</v>
      </c>
      <c r="M169" s="76">
        <f t="shared" si="307"/>
        <v>10.043362831858408</v>
      </c>
      <c r="N169" s="76">
        <f>N104/((K11+N11)/2)</f>
        <v>4.0309187279151946</v>
      </c>
      <c r="O169" s="76">
        <f t="shared" si="304"/>
        <v>10.113032584596375</v>
      </c>
      <c r="P169" s="52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</row>
    <row r="170" spans="1:31" ht="15.75" x14ac:dyDescent="0.25">
      <c r="A170" s="52" t="s">
        <v>32</v>
      </c>
      <c r="B170" s="76"/>
      <c r="C170" s="76">
        <f t="shared" ref="C170:M170" si="308">C104/((B24+C24-B66-C66)/2)</f>
        <v>-37.624362258106892</v>
      </c>
      <c r="D170" s="76">
        <f t="shared" si="308"/>
        <v>-131.17453855761761</v>
      </c>
      <c r="E170" s="76">
        <f t="shared" si="308"/>
        <v>-20.554843573313242</v>
      </c>
      <c r="F170" s="76">
        <f t="shared" si="308"/>
        <v>-24.088286409454305</v>
      </c>
      <c r="G170" s="76">
        <f t="shared" si="308"/>
        <v>-34.203389830508542</v>
      </c>
      <c r="H170" s="76">
        <f t="shared" si="308"/>
        <v>-6.0327516778523469</v>
      </c>
      <c r="I170" s="76">
        <f t="shared" si="308"/>
        <v>-4.8860707711188374</v>
      </c>
      <c r="J170" s="76">
        <f t="shared" si="308"/>
        <v>-5.0593922651933685</v>
      </c>
      <c r="K170" s="76">
        <f t="shared" si="308"/>
        <v>-6.0261793035317384</v>
      </c>
      <c r="L170" s="76">
        <f t="shared" si="308"/>
        <v>-5.7901655306718611</v>
      </c>
      <c r="M170" s="76">
        <f t="shared" si="308"/>
        <v>-4.9667396061269153</v>
      </c>
      <c r="N170" s="76">
        <f>N104/((L24+N24-L66-N66)/2)</f>
        <v>-1.3564209274673007</v>
      </c>
      <c r="O170" s="76">
        <f t="shared" si="304"/>
        <v>-5.3457094953285438</v>
      </c>
      <c r="P170" s="77" t="s">
        <v>207</v>
      </c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E170" s="173" t="s">
        <v>216</v>
      </c>
    </row>
    <row r="171" spans="1:31" ht="15" x14ac:dyDescent="0.2">
      <c r="A171" s="52" t="s">
        <v>30</v>
      </c>
      <c r="B171" s="76"/>
      <c r="C171" s="76">
        <f>C104/((B34+C34)/2)</f>
        <v>0.84991611217108065</v>
      </c>
      <c r="D171" s="76">
        <f>D104/((C34+D34)/2)</f>
        <v>0.75425505343703925</v>
      </c>
      <c r="E171" s="76">
        <f>E104/((D34+E34)/2)</f>
        <v>0.59338411316648532</v>
      </c>
      <c r="F171" s="76">
        <f>F104/((E34+F34)/2)</f>
        <v>0.56658164099545438</v>
      </c>
      <c r="G171" s="76">
        <f t="shared" ref="G171:M171" si="309">G104/((E34+G34)/2)</f>
        <v>0.17203084434455765</v>
      </c>
      <c r="H171" s="76">
        <f t="shared" si="309"/>
        <v>0.22432518766970133</v>
      </c>
      <c r="I171" s="76">
        <f t="shared" si="309"/>
        <v>0.21908963341373716</v>
      </c>
      <c r="J171" s="76">
        <f t="shared" si="309"/>
        <v>0.35177182368193594</v>
      </c>
      <c r="K171" s="76">
        <f t="shared" si="309"/>
        <v>0.36410302324887334</v>
      </c>
      <c r="L171" s="76">
        <f t="shared" si="309"/>
        <v>0.33507543634750014</v>
      </c>
      <c r="M171" s="76">
        <f t="shared" si="309"/>
        <v>0.30460163452634975</v>
      </c>
      <c r="N171" s="76">
        <f>N104/((K34+N34)/2)</f>
        <v>0.12227507201715011</v>
      </c>
      <c r="O171" s="76">
        <f t="shared" si="304"/>
        <v>0.31492831024367929</v>
      </c>
      <c r="P171" s="52" t="str">
        <f>+P164</f>
        <v>Questar Gas</v>
      </c>
      <c r="T171" s="138"/>
      <c r="U171" s="138"/>
      <c r="V171" s="33">
        <f t="shared" ref="V171:W171" si="310">+V164/V168</f>
        <v>0.23047091412742382</v>
      </c>
      <c r="W171" s="33">
        <f t="shared" si="310"/>
        <v>0.22828913156526259</v>
      </c>
      <c r="X171" s="33">
        <f t="shared" ref="X171:AD171" si="311">+X164/X168</f>
        <v>0.22174122174122174</v>
      </c>
      <c r="Y171" s="33">
        <f t="shared" si="311"/>
        <v>0.22216981132075472</v>
      </c>
      <c r="Z171" s="33">
        <f t="shared" si="311"/>
        <v>0.32754342431761785</v>
      </c>
      <c r="AA171" s="33">
        <f t="shared" si="311"/>
        <v>0.24370860927152319</v>
      </c>
      <c r="AB171" s="33">
        <f t="shared" ref="AB171" si="312">+AB164/AB168</f>
        <v>0.30809774796358408</v>
      </c>
      <c r="AC171" s="33">
        <f t="shared" si="311"/>
        <v>0.60636942675159233</v>
      </c>
      <c r="AD171" s="33">
        <f t="shared" si="311"/>
        <v>0.26124175932303456</v>
      </c>
      <c r="AE171" s="1">
        <f t="shared" ref="AE171:AE172" si="313">(AB171+AA171+Y171+X171+W171)/5</f>
        <v>0.24480130437246927</v>
      </c>
    </row>
    <row r="172" spans="1:31" ht="15" x14ac:dyDescent="0.2">
      <c r="A172" s="52" t="s">
        <v>31</v>
      </c>
      <c r="B172" s="76"/>
      <c r="C172" s="76">
        <f>C104/((B45+C45)/2)</f>
        <v>0.67854513942496852</v>
      </c>
      <c r="D172" s="76">
        <f>D104/((C45+D45)/2)</f>
        <v>0.60192492432156874</v>
      </c>
      <c r="E172" s="76">
        <f>E104/((D45+E45)/2)</f>
        <v>0.49534467567150214</v>
      </c>
      <c r="F172" s="76">
        <f>F104/((E45+F45)/2)</f>
        <v>0.47548868259816529</v>
      </c>
      <c r="G172" s="76">
        <f t="shared" ref="G172:M172" si="314">G104/((E45+G45)/2)</f>
        <v>0.14835458604004598</v>
      </c>
      <c r="H172" s="76">
        <f t="shared" si="314"/>
        <v>0.18719958681472468</v>
      </c>
      <c r="I172" s="76">
        <f t="shared" si="314"/>
        <v>0.19032139840973913</v>
      </c>
      <c r="J172" s="76">
        <f t="shared" si="314"/>
        <v>0.30623249592442414</v>
      </c>
      <c r="K172" s="76">
        <f t="shared" si="314"/>
        <v>0.32159850272172502</v>
      </c>
      <c r="L172" s="76">
        <f t="shared" si="314"/>
        <v>0.29536818576927848</v>
      </c>
      <c r="M172" s="76">
        <f t="shared" si="314"/>
        <v>0.2691856121250934</v>
      </c>
      <c r="N172" s="76">
        <f>N104/((K45+N45)/2)</f>
        <v>0.11083986154126434</v>
      </c>
      <c r="O172" s="76">
        <f t="shared" si="304"/>
        <v>0.27654123899005201</v>
      </c>
      <c r="P172" s="52" t="str">
        <f>+P165</f>
        <v>Questar Pipeline</v>
      </c>
      <c r="T172" s="138"/>
      <c r="U172" s="138"/>
      <c r="V172" s="33">
        <f t="shared" ref="V172:W172" si="315">+V165/V168</f>
        <v>0.32243767313019395</v>
      </c>
      <c r="W172" s="33">
        <f t="shared" si="315"/>
        <v>0.35049401976079042</v>
      </c>
      <c r="X172" s="33">
        <f t="shared" ref="X172:AD172" si="316">+X165/X168</f>
        <v>0.32659932659932661</v>
      </c>
      <c r="Y172" s="33">
        <f t="shared" si="316"/>
        <v>0.30518867924528303</v>
      </c>
      <c r="Z172" s="33">
        <f t="shared" si="316"/>
        <v>5.0868486352357321E-2</v>
      </c>
      <c r="AA172" s="33">
        <f t="shared" si="316"/>
        <v>0.2675496688741722</v>
      </c>
      <c r="AB172" s="33">
        <f t="shared" ref="AB172" si="317">+AB165/AB168</f>
        <v>0.28557738380450409</v>
      </c>
      <c r="AC172" s="33">
        <f t="shared" si="316"/>
        <v>0.18089171974522292</v>
      </c>
      <c r="AD172" s="33">
        <f t="shared" si="316"/>
        <v>0.25681393289383059</v>
      </c>
      <c r="AE172" s="1">
        <f t="shared" si="313"/>
        <v>0.30708181565681525</v>
      </c>
    </row>
    <row r="173" spans="1:31" ht="15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31"/>
      <c r="P173" s="52" t="str">
        <f>+P166</f>
        <v>Wexpro</v>
      </c>
      <c r="T173" s="138"/>
      <c r="U173" s="138"/>
      <c r="V173" s="33">
        <f t="shared" ref="V173:W173" si="318">+V166/V168</f>
        <v>0.44709141274238229</v>
      </c>
      <c r="W173" s="33">
        <f t="shared" si="318"/>
        <v>0.45813832553302125</v>
      </c>
      <c r="X173" s="33">
        <f t="shared" ref="X173:AC173" si="319">+X166/X168</f>
        <v>0.45791245791245794</v>
      </c>
      <c r="Y173" s="33">
        <f t="shared" si="319"/>
        <v>0.49009433962264154</v>
      </c>
      <c r="Z173" s="33">
        <f t="shared" si="319"/>
        <v>0.68610421836228286</v>
      </c>
      <c r="AA173" s="33">
        <f t="shared" si="319"/>
        <v>0.54216335540838856</v>
      </c>
      <c r="AB173" s="33">
        <f t="shared" ref="AB173" si="320">+AB166/AB168</f>
        <v>0.47388596070915195</v>
      </c>
      <c r="AC173" s="33">
        <f t="shared" si="319"/>
        <v>0.33375796178343947</v>
      </c>
      <c r="AD173" s="33">
        <f>+AD166/AD168</f>
        <v>0.52287710321755398</v>
      </c>
      <c r="AE173" s="1">
        <f>(AB173+AA173+Y173+X173+W173)/5</f>
        <v>0.48443888783713229</v>
      </c>
    </row>
    <row r="174" spans="1:31" ht="15.75" x14ac:dyDescent="0.25">
      <c r="A174" s="77" t="s">
        <v>64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31"/>
      <c r="P174" s="52" t="str">
        <f>+P167</f>
        <v>Corp and Other</v>
      </c>
      <c r="T174" s="139"/>
      <c r="U174" s="139"/>
      <c r="V174" s="116">
        <f t="shared" ref="V174:W174" si="321">+V167/V168</f>
        <v>0</v>
      </c>
      <c r="W174" s="116">
        <f t="shared" si="321"/>
        <v>-3.6921476859074362E-2</v>
      </c>
      <c r="X174" s="116">
        <f t="shared" ref="X174:AD174" si="322">+X167/X168</f>
        <v>-6.2530062530062533E-3</v>
      </c>
      <c r="Y174" s="116">
        <f t="shared" si="322"/>
        <v>-1.7452830188679245E-2</v>
      </c>
      <c r="Z174" s="116">
        <f t="shared" si="322"/>
        <v>-6.4516129032258077E-2</v>
      </c>
      <c r="AA174" s="116">
        <f t="shared" si="322"/>
        <v>-5.3421633554083886E-2</v>
      </c>
      <c r="AB174" s="116">
        <f t="shared" ref="AB174" si="323">+AB167/AB168</f>
        <v>-6.7561092477240056E-2</v>
      </c>
      <c r="AC174" s="116">
        <f t="shared" si="322"/>
        <v>-0.12101910828025478</v>
      </c>
      <c r="AD174" s="116">
        <f t="shared" si="322"/>
        <v>-4.0932795434418974E-2</v>
      </c>
      <c r="AE174" s="1">
        <f>(AB174+AA174+Y174+X174+W174)/5</f>
        <v>-3.6322007866416761E-2</v>
      </c>
    </row>
    <row r="175" spans="1:31" ht="15" x14ac:dyDescent="0.2">
      <c r="A175" s="52" t="s">
        <v>178</v>
      </c>
      <c r="B175" s="52"/>
      <c r="C175" s="19"/>
      <c r="D175" s="19"/>
      <c r="E175" s="19"/>
      <c r="F175" s="19"/>
      <c r="G175" s="19"/>
      <c r="H175" s="19" t="s">
        <v>180</v>
      </c>
      <c r="I175" s="19" t="s">
        <v>180</v>
      </c>
      <c r="J175" s="19" t="s">
        <v>180</v>
      </c>
      <c r="K175" s="19" t="s">
        <v>180</v>
      </c>
      <c r="L175" s="19" t="s">
        <v>203</v>
      </c>
      <c r="M175" s="19" t="s">
        <v>203</v>
      </c>
      <c r="N175" s="19" t="s">
        <v>203</v>
      </c>
      <c r="O175" s="31"/>
      <c r="P175" s="52" t="str">
        <f>+P168</f>
        <v xml:space="preserve">     Total</v>
      </c>
      <c r="T175" s="138"/>
      <c r="U175" s="138"/>
      <c r="V175" s="33">
        <f t="shared" ref="V175:W175" si="324">+V168/V168</f>
        <v>1</v>
      </c>
      <c r="W175" s="33">
        <f t="shared" si="324"/>
        <v>1</v>
      </c>
      <c r="X175" s="33">
        <f t="shared" ref="X175:AD175" si="325">+X168/X168</f>
        <v>1</v>
      </c>
      <c r="Y175" s="33">
        <f t="shared" si="325"/>
        <v>1</v>
      </c>
      <c r="Z175" s="33">
        <f t="shared" si="325"/>
        <v>1</v>
      </c>
      <c r="AA175" s="33">
        <f t="shared" si="325"/>
        <v>1</v>
      </c>
      <c r="AB175" s="33">
        <f t="shared" ref="AB175" si="326">+AB168/AB168</f>
        <v>1</v>
      </c>
      <c r="AC175" s="33">
        <f t="shared" si="325"/>
        <v>1</v>
      </c>
      <c r="AD175" s="33">
        <f t="shared" si="325"/>
        <v>1</v>
      </c>
      <c r="AE175" s="1"/>
    </row>
    <row r="176" spans="1:31" ht="15" x14ac:dyDescent="0.2">
      <c r="A176" s="52" t="s">
        <v>179</v>
      </c>
      <c r="B176" s="52"/>
      <c r="C176" s="52"/>
      <c r="D176" s="52"/>
      <c r="E176" s="52"/>
      <c r="F176" s="52"/>
      <c r="G176" s="52"/>
      <c r="H176" s="19" t="s">
        <v>181</v>
      </c>
      <c r="I176" s="19" t="s">
        <v>181</v>
      </c>
      <c r="J176" s="19" t="s">
        <v>181</v>
      </c>
      <c r="K176" s="19" t="s">
        <v>181</v>
      </c>
      <c r="L176" s="19" t="s">
        <v>181</v>
      </c>
      <c r="M176" s="19" t="s">
        <v>181</v>
      </c>
      <c r="N176" s="19" t="s">
        <v>181</v>
      </c>
      <c r="O176" s="31"/>
      <c r="P176" s="52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</row>
    <row r="177" spans="1:16" ht="15" x14ac:dyDescent="0.2">
      <c r="A177" s="52" t="s">
        <v>182</v>
      </c>
      <c r="B177" s="52"/>
      <c r="C177" s="52"/>
      <c r="D177" s="52"/>
      <c r="E177" s="52"/>
      <c r="F177" s="52"/>
      <c r="G177" s="52"/>
      <c r="H177" s="19" t="s">
        <v>184</v>
      </c>
      <c r="I177" s="19" t="s">
        <v>184</v>
      </c>
      <c r="J177" s="19" t="s">
        <v>184</v>
      </c>
      <c r="K177" s="19" t="s">
        <v>184</v>
      </c>
      <c r="L177" s="19" t="s">
        <v>184</v>
      </c>
      <c r="M177" s="19" t="s">
        <v>184</v>
      </c>
      <c r="N177" s="19" t="s">
        <v>184</v>
      </c>
      <c r="O177" s="31"/>
      <c r="P177" s="52"/>
    </row>
    <row r="178" spans="1:16" ht="15" x14ac:dyDescent="0.2">
      <c r="A178" s="52" t="s">
        <v>183</v>
      </c>
      <c r="B178" s="52"/>
      <c r="C178" s="52"/>
      <c r="D178" s="52"/>
      <c r="E178" s="52"/>
      <c r="F178" s="52"/>
      <c r="G178" s="52"/>
      <c r="H178" s="19" t="s">
        <v>181</v>
      </c>
      <c r="I178" s="19" t="s">
        <v>181</v>
      </c>
      <c r="J178" s="19" t="s">
        <v>181</v>
      </c>
      <c r="K178" s="19" t="s">
        <v>181</v>
      </c>
      <c r="L178" s="19" t="s">
        <v>181</v>
      </c>
      <c r="M178" s="19" t="s">
        <v>181</v>
      </c>
      <c r="N178" s="19" t="s">
        <v>181</v>
      </c>
      <c r="O178" s="31"/>
      <c r="P178" s="52"/>
    </row>
    <row r="179" spans="1:16" ht="15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31"/>
      <c r="P179" s="52"/>
    </row>
    <row r="180" spans="1:16" ht="15.75" x14ac:dyDescent="0.25">
      <c r="A180" s="77" t="s">
        <v>106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31"/>
      <c r="P180" s="52"/>
    </row>
    <row r="181" spans="1:16" ht="15" x14ac:dyDescent="0.2">
      <c r="A181" s="52" t="s">
        <v>56</v>
      </c>
      <c r="B181" s="31">
        <f>(B54+B68)/(B$54+B$68+B$87)</f>
        <v>0.39329631023541006</v>
      </c>
      <c r="C181" s="31">
        <f>(C54+C68)/(C$54+C$68+C$87)</f>
        <v>0.38815587664128315</v>
      </c>
      <c r="D181" s="31">
        <f>(D54+D68)/(D$54+D$68+D$87)</f>
        <v>0.31884863646190437</v>
      </c>
      <c r="E181" s="31">
        <f>(E54+E68)/(E$54+E$68+E$87)</f>
        <v>0.30334558426116093</v>
      </c>
      <c r="F181" s="31">
        <f>(F54+F68)/(F$54+F$68+F$87)</f>
        <v>0.380881402198118</v>
      </c>
      <c r="G181" s="31">
        <f t="shared" ref="G181:K181" si="327">(G54+G68+G$69)/(G$54+G$68+G$69+G$87)</f>
        <v>0.18941275664836041</v>
      </c>
      <c r="H181" s="168">
        <f t="shared" si="327"/>
        <v>0.5104885193234433</v>
      </c>
      <c r="I181" s="168">
        <f t="shared" si="327"/>
        <v>0.51203966005665724</v>
      </c>
      <c r="J181" s="168">
        <f t="shared" si="327"/>
        <v>0.53277690051883608</v>
      </c>
      <c r="K181" s="168">
        <f t="shared" si="327"/>
        <v>0.51762433606953173</v>
      </c>
      <c r="L181" s="168">
        <f>(L54+L68+L$69)/(L$54+L$68+L$69+L$87)</f>
        <v>0.50739188868685259</v>
      </c>
      <c r="M181" s="168">
        <f>(M54+M68+M$69)/(M$54+M$68+M$69+M$87)</f>
        <v>0.48840737570995091</v>
      </c>
      <c r="N181" s="168">
        <f>(N54+N68+N$69)/(N$54+N$68+N$69+N$87)</f>
        <v>0.42210991251167923</v>
      </c>
      <c r="O181" s="140">
        <f>AVERAGE(I181:M181)</f>
        <v>0.51164803220836563</v>
      </c>
      <c r="P181" s="174"/>
    </row>
    <row r="182" spans="1:16" ht="15" x14ac:dyDescent="0.2">
      <c r="A182" s="52" t="s">
        <v>107</v>
      </c>
      <c r="B182" s="37">
        <f>B87/(B$54+B$68+B$87)</f>
        <v>0.60670368976458999</v>
      </c>
      <c r="C182" s="37">
        <f>C87/(C$54+C$68+C$87)</f>
        <v>0.61184412335871696</v>
      </c>
      <c r="D182" s="37">
        <f>D87/(D$54+D$68+D$87)</f>
        <v>0.68115136353809569</v>
      </c>
      <c r="E182" s="37">
        <f>E87/(E$54+E$68+E$87)</f>
        <v>0.69665441573883902</v>
      </c>
      <c r="F182" s="37">
        <f>F87/(F$54+F$68+F$87)</f>
        <v>0.61911859780188205</v>
      </c>
      <c r="G182" s="37">
        <f>G87/(G$54+G$68+G$69+G$87)</f>
        <v>0.81058724335163956</v>
      </c>
      <c r="H182" s="169">
        <f t="shared" ref="H182:K182" si="328">H87/(H$54+H$68+H$69+H$87)</f>
        <v>0.4895114806765567</v>
      </c>
      <c r="I182" s="169">
        <f t="shared" si="328"/>
        <v>0.48796033994334276</v>
      </c>
      <c r="J182" s="169">
        <f t="shared" si="328"/>
        <v>0.46722309948116408</v>
      </c>
      <c r="K182" s="169">
        <f t="shared" si="328"/>
        <v>0.48237566393046838</v>
      </c>
      <c r="L182" s="169">
        <f>L87/(L$54+L$68+L$69+L$87)</f>
        <v>0.49260811131314725</v>
      </c>
      <c r="M182" s="169">
        <f>M87/(M$54+M$68+M$69+M$87)</f>
        <v>0.51159262429004904</v>
      </c>
      <c r="N182" s="169">
        <f>N87/(N$54+N$68+N$69+N$87)</f>
        <v>0.57789008748832071</v>
      </c>
      <c r="O182" s="170">
        <f t="shared" ref="O182" si="329">AVERAGE(I182:M182)</f>
        <v>0.48835196779163431</v>
      </c>
      <c r="P182" s="52"/>
    </row>
    <row r="183" spans="1:16" ht="15" x14ac:dyDescent="0.2">
      <c r="A183" s="52"/>
      <c r="B183" s="31">
        <f t="shared" ref="B183:F183" si="330">SUM(B181:B182)</f>
        <v>1</v>
      </c>
      <c r="C183" s="31">
        <f t="shared" si="330"/>
        <v>1</v>
      </c>
      <c r="D183" s="31">
        <f t="shared" si="330"/>
        <v>1</v>
      </c>
      <c r="E183" s="31">
        <f t="shared" si="330"/>
        <v>1</v>
      </c>
      <c r="F183" s="31">
        <f t="shared" si="330"/>
        <v>1</v>
      </c>
      <c r="G183" s="31">
        <f t="shared" ref="G183" si="331">SUM(G181:G182)</f>
        <v>1</v>
      </c>
      <c r="H183" s="168"/>
      <c r="I183" s="168"/>
      <c r="J183" s="168"/>
      <c r="K183" s="168"/>
      <c r="L183" s="168"/>
      <c r="M183" s="168"/>
      <c r="N183" s="168"/>
      <c r="O183" s="140"/>
    </row>
    <row r="184" spans="1:16" ht="15.75" x14ac:dyDescent="0.25">
      <c r="A184" s="77" t="s">
        <v>108</v>
      </c>
      <c r="B184" s="52"/>
      <c r="C184" s="52"/>
      <c r="D184" s="52"/>
      <c r="E184" s="52"/>
      <c r="F184" s="52"/>
      <c r="G184" s="52"/>
      <c r="H184" s="168"/>
      <c r="I184" s="168"/>
      <c r="J184" s="168"/>
      <c r="K184" s="168"/>
      <c r="L184" s="168"/>
      <c r="M184" s="168"/>
      <c r="N184" s="168"/>
      <c r="O184" s="140"/>
    </row>
    <row r="185" spans="1:16" ht="15" x14ac:dyDescent="0.2">
      <c r="A185" s="52" t="s">
        <v>109</v>
      </c>
      <c r="B185" s="31">
        <f>(B$53)/(B$53+B$54+B$87+B$68)</f>
        <v>2.7860254601756097E-2</v>
      </c>
      <c r="C185" s="31">
        <f t="shared" ref="C185:F185" si="332">(C$53)/(C$53+C$54+C$87+C$68)</f>
        <v>3.5965705843152229E-2</v>
      </c>
      <c r="D185" s="31">
        <f t="shared" si="332"/>
        <v>1.2202934805820799E-2</v>
      </c>
      <c r="E185" s="31">
        <f t="shared" si="332"/>
        <v>6.5791466801312801E-2</v>
      </c>
      <c r="F185" s="31">
        <f t="shared" si="332"/>
        <v>3.9848262781274249E-2</v>
      </c>
      <c r="G185" s="31">
        <f t="shared" ref="G185:K185" si="333">(G$53)/(G$53+G$54+G$87+G$68+G$69)</f>
        <v>3.7083360761854603E-2</v>
      </c>
      <c r="H185" s="168">
        <f t="shared" si="333"/>
        <v>0.10260323920970067</v>
      </c>
      <c r="I185" s="168">
        <f t="shared" si="333"/>
        <v>9.3709884467265719E-2</v>
      </c>
      <c r="J185" s="168">
        <f t="shared" si="333"/>
        <v>0.1060697721314781</v>
      </c>
      <c r="K185" s="168">
        <f t="shared" si="333"/>
        <v>9.9956540634506749E-2</v>
      </c>
      <c r="L185" s="168">
        <f>(L$53)/(L$53+L$54+L$87+L$68+L$69)</f>
        <v>0.12062013348164627</v>
      </c>
      <c r="M185" s="168">
        <f>(M$53)/(M$53+M$54+M$87+M$68+M$69)</f>
        <v>0.1511128723333994</v>
      </c>
      <c r="N185" s="168">
        <f>(N$53)/(N$53+N$54+N$87+N$68+N$69)</f>
        <v>0.16298745156588815</v>
      </c>
      <c r="O185" s="140">
        <f t="shared" ref="O185:O187" si="334">AVERAGE(I185:M185)</f>
        <v>0.11429384060965926</v>
      </c>
    </row>
    <row r="186" spans="1:16" ht="15" x14ac:dyDescent="0.2">
      <c r="A186" s="52" t="s">
        <v>56</v>
      </c>
      <c r="B186" s="31">
        <f>(B$68+B54)/(B$53+B$54+B$87+B$68)</f>
        <v>0.38233897489832031</v>
      </c>
      <c r="C186" s="31">
        <f>(C$68+C54)/(C$53+C$54+C$87+C$68)</f>
        <v>0.3741955765607119</v>
      </c>
      <c r="D186" s="31">
        <f>(D$68+D54)/(D$53+D$54+D$87+D$68)</f>
        <v>0.31495774733823484</v>
      </c>
      <c r="E186" s="31">
        <f>(E$68+E54)/(E$53+E$54+E$87+E$68)</f>
        <v>0.28338803332491797</v>
      </c>
      <c r="F186" s="31">
        <f>(F$68+F54)/(F$53+F$54+F$87+F$68)</f>
        <v>0.36570393999482714</v>
      </c>
      <c r="G186" s="31">
        <f t="shared" ref="G186:N186" si="335">(G$68+G$69+G54)/(G$53+G$54+G$87+G$68+G$69)</f>
        <v>0.1823886950606719</v>
      </c>
      <c r="H186" s="168">
        <f t="shared" si="335"/>
        <v>0.45811074366149412</v>
      </c>
      <c r="I186" s="168">
        <f t="shared" si="335"/>
        <v>0.46405648267008986</v>
      </c>
      <c r="J186" s="168">
        <f t="shared" si="335"/>
        <v>0.4762653760838878</v>
      </c>
      <c r="K186" s="168">
        <f t="shared" si="335"/>
        <v>0.46588439808778798</v>
      </c>
      <c r="L186" s="168">
        <f t="shared" si="335"/>
        <v>0.44619021134593989</v>
      </c>
      <c r="M186" s="168">
        <f t="shared" si="335"/>
        <v>0.41460273429760258</v>
      </c>
      <c r="N186" s="168">
        <f t="shared" si="335"/>
        <v>0.35331129359070063</v>
      </c>
      <c r="O186" s="140">
        <f t="shared" si="334"/>
        <v>0.45339984049706167</v>
      </c>
    </row>
    <row r="187" spans="1:16" ht="15" x14ac:dyDescent="0.2">
      <c r="A187" s="52" t="s">
        <v>107</v>
      </c>
      <c r="B187" s="31">
        <f>B$87/(B$53+B$54+B$87+B$68)</f>
        <v>0.58980077049992363</v>
      </c>
      <c r="C187" s="31">
        <f t="shared" ref="C187:F187" si="336">C$87/(C$53+C$54+C$87+C$68)</f>
        <v>0.58983871759613593</v>
      </c>
      <c r="D187" s="31">
        <f t="shared" si="336"/>
        <v>0.67283931785594431</v>
      </c>
      <c r="E187" s="31">
        <f t="shared" si="336"/>
        <v>0.65082049987376922</v>
      </c>
      <c r="F187" s="31">
        <f t="shared" si="336"/>
        <v>0.59444779722389862</v>
      </c>
      <c r="G187" s="31">
        <f t="shared" ref="G187:K187" si="337">G$87/(G$53+G$54+G$87+G$68+G$69)</f>
        <v>0.7805279441774734</v>
      </c>
      <c r="H187" s="169">
        <f t="shared" si="337"/>
        <v>0.43928601712880522</v>
      </c>
      <c r="I187" s="169">
        <f t="shared" si="337"/>
        <v>0.44223363286264444</v>
      </c>
      <c r="J187" s="169">
        <f t="shared" si="337"/>
        <v>0.41766485178463397</v>
      </c>
      <c r="K187" s="169">
        <f t="shared" si="337"/>
        <v>0.43415906127770537</v>
      </c>
      <c r="L187" s="169">
        <f>L$87/(L$53+L$54+L$87+L$68+L$69)</f>
        <v>0.43318965517241376</v>
      </c>
      <c r="M187" s="169">
        <f>M$87/(M$53+M$54+M$87+M$68+M$69)</f>
        <v>0.43428439336899816</v>
      </c>
      <c r="N187" s="169">
        <f>N$87/(N$53+N$54+N$87+N$68+N$69)</f>
        <v>0.48370125484341114</v>
      </c>
      <c r="O187" s="170">
        <f t="shared" si="334"/>
        <v>0.43230631889327908</v>
      </c>
    </row>
    <row r="188" spans="1:16" ht="15" x14ac:dyDescent="0.2">
      <c r="A188" s="52"/>
      <c r="B188" s="59">
        <f t="shared" ref="B188:F188" si="338">SUM(B185:B187)</f>
        <v>1</v>
      </c>
      <c r="C188" s="59">
        <f t="shared" si="338"/>
        <v>1</v>
      </c>
      <c r="D188" s="59">
        <f t="shared" si="338"/>
        <v>1</v>
      </c>
      <c r="E188" s="59">
        <f t="shared" si="338"/>
        <v>1</v>
      </c>
      <c r="F188" s="59">
        <f t="shared" si="338"/>
        <v>1</v>
      </c>
      <c r="G188" s="59">
        <f t="shared" ref="G188" si="339">SUM(G185:G187)</f>
        <v>0.99999999999999989</v>
      </c>
      <c r="H188" s="169"/>
      <c r="I188" s="169"/>
      <c r="J188" s="169"/>
      <c r="K188" s="169"/>
      <c r="L188" s="169"/>
      <c r="M188" s="169"/>
      <c r="N188" s="169"/>
      <c r="O188" s="140"/>
    </row>
    <row r="189" spans="1:16" ht="15.75" x14ac:dyDescent="0.25">
      <c r="A189" s="126" t="s">
        <v>214</v>
      </c>
      <c r="B189" s="58"/>
      <c r="C189" s="58"/>
      <c r="D189" s="58"/>
      <c r="E189" s="58"/>
      <c r="F189" s="58"/>
      <c r="G189" s="58"/>
      <c r="H189" s="159">
        <f t="shared" ref="H189:L189" si="340">+H138</f>
        <v>94.8</v>
      </c>
      <c r="I189" s="159">
        <f t="shared" si="340"/>
        <v>110.1</v>
      </c>
      <c r="J189" s="159">
        <f t="shared" si="340"/>
        <v>117.4</v>
      </c>
      <c r="K189" s="159">
        <f t="shared" si="340"/>
        <v>124.6</v>
      </c>
      <c r="L189" s="159">
        <f t="shared" si="340"/>
        <v>131.9</v>
      </c>
      <c r="M189" s="159">
        <f>+M138</f>
        <v>148</v>
      </c>
      <c r="N189" s="159">
        <f>+N138</f>
        <v>38.700000000000003</v>
      </c>
      <c r="O189" s="140"/>
    </row>
    <row r="190" spans="1:16" ht="15.75" x14ac:dyDescent="0.25">
      <c r="A190" s="126" t="s">
        <v>148</v>
      </c>
      <c r="B190" s="33">
        <f t="shared" ref="B190:J190" si="341">+B138/B131</f>
        <v>0.31121988618448543</v>
      </c>
      <c r="C190" s="33">
        <f t="shared" si="341"/>
        <v>0.23217811293873467</v>
      </c>
      <c r="D190" s="33">
        <f t="shared" si="341"/>
        <v>0.17946408466561573</v>
      </c>
      <c r="E190" s="33">
        <f t="shared" si="341"/>
        <v>0.16495861253448957</v>
      </c>
      <c r="F190" s="33">
        <f t="shared" si="341"/>
        <v>0.12489031880666876</v>
      </c>
      <c r="G190" s="33">
        <f t="shared" si="341"/>
        <v>0.48698060941828297</v>
      </c>
      <c r="H190" s="140">
        <f t="shared" si="341"/>
        <v>0.49297971918876787</v>
      </c>
      <c r="I190" s="140">
        <f t="shared" si="341"/>
        <v>0.52958152958152915</v>
      </c>
      <c r="J190" s="140">
        <f t="shared" si="341"/>
        <v>0.55377358490566075</v>
      </c>
      <c r="K190" s="140">
        <f t="shared" ref="K190:L190" si="342">+K138/K131</f>
        <v>0.77295285359801491</v>
      </c>
      <c r="L190" s="140">
        <f t="shared" si="342"/>
        <v>0.58233995584989073</v>
      </c>
      <c r="M190" s="140">
        <f t="shared" ref="M190" si="343">+M138/M131</f>
        <v>0.70915189266890233</v>
      </c>
      <c r="N190" s="140">
        <f t="shared" ref="N190" si="344">+N138/N131</f>
        <v>0.49299363057324863</v>
      </c>
      <c r="O190" s="140">
        <f>AVERAGE(I190:M190)</f>
        <v>0.62955996332079966</v>
      </c>
    </row>
    <row r="193" spans="13:15" x14ac:dyDescent="0.2">
      <c r="M193" s="171">
        <f>+M68/(M68+M87)</f>
        <v>0.4808542554871309</v>
      </c>
      <c r="O193" s="1">
        <f>+O181</f>
        <v>0.51164803220836563</v>
      </c>
    </row>
    <row r="194" spans="13:15" x14ac:dyDescent="0.2">
      <c r="M194" s="171">
        <f>+M87/(M68+M87)</f>
        <v>0.51914574451286921</v>
      </c>
      <c r="O194" s="1">
        <f>+O182</f>
        <v>0.48835196779163431</v>
      </c>
    </row>
  </sheetData>
  <mergeCells count="22">
    <mergeCell ref="P143:AB143"/>
    <mergeCell ref="A91:M91"/>
    <mergeCell ref="A92:M92"/>
    <mergeCell ref="A141:M141"/>
    <mergeCell ref="A142:M142"/>
    <mergeCell ref="P142:AB142"/>
    <mergeCell ref="A143:M143"/>
    <mergeCell ref="P141:AB141"/>
    <mergeCell ref="A50:M50"/>
    <mergeCell ref="A51:M51"/>
    <mergeCell ref="A1:M1"/>
    <mergeCell ref="A2:M2"/>
    <mergeCell ref="A3:M3"/>
    <mergeCell ref="A90:M90"/>
    <mergeCell ref="P90:AB90"/>
    <mergeCell ref="P91:AB91"/>
    <mergeCell ref="P92:AB92"/>
    <mergeCell ref="P1:AB1"/>
    <mergeCell ref="P2:AB2"/>
    <mergeCell ref="P3:AB3"/>
    <mergeCell ref="P50:AB50"/>
    <mergeCell ref="A94:M94"/>
  </mergeCells>
  <phoneticPr fontId="4" type="noConversion"/>
  <printOptions horizontalCentered="1"/>
  <pageMargins left="0.5" right="0.5" top="1" bottom="1" header="0.5" footer="0.5"/>
  <pageSetup scale="70" fitToWidth="2" orientation="portrait" r:id="rId1"/>
  <headerFooter alignWithMargins="0"/>
  <rowBreaks count="3" manualBreakCount="3">
    <brk id="48" max="29" man="1"/>
    <brk id="89" max="29" man="1"/>
    <brk id="140" max="29" man="1"/>
  </rowBreaks>
  <colBreaks count="1" manualBreakCount="1">
    <brk id="15" max="1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showGridLines="0" view="pageBreakPreview" zoomScaleNormal="100" zoomScaleSheetLayoutView="100" workbookViewId="0">
      <selection activeCell="O1" sqref="O1"/>
    </sheetView>
  </sheetViews>
  <sheetFormatPr defaultRowHeight="12.75" x14ac:dyDescent="0.2"/>
  <cols>
    <col min="1" max="1" width="53.85546875" style="6" customWidth="1"/>
    <col min="2" max="2" width="10.7109375" style="7" hidden="1" customWidth="1"/>
    <col min="3" max="8" width="10.7109375" style="5" hidden="1" customWidth="1"/>
    <col min="9" max="15" width="10.7109375" style="5" customWidth="1"/>
    <col min="16" max="16" width="11" style="8" hidden="1" customWidth="1"/>
    <col min="17" max="17" width="44.5703125" style="5" hidden="1" customWidth="1"/>
    <col min="18" max="20" width="11" style="5" hidden="1" customWidth="1"/>
    <col min="21" max="21" width="12.28515625" style="5" hidden="1" customWidth="1"/>
    <col min="22" max="28" width="11" style="5" hidden="1" customWidth="1"/>
    <col min="29" max="29" width="10.7109375" style="5" hidden="1" customWidth="1"/>
    <col min="30" max="16384" width="9.140625" style="5"/>
  </cols>
  <sheetData>
    <row r="1" spans="1:30" ht="15.75" x14ac:dyDescent="0.25">
      <c r="O1" s="177" t="str">
        <f>+'Historical - Exhibit 1'!O141</f>
        <v>DPU Exhibit 1.1 DIR</v>
      </c>
      <c r="P1" s="156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5" t="s">
        <v>102</v>
      </c>
      <c r="AD1" s="8"/>
    </row>
    <row r="2" spans="1:30" ht="15.75" x14ac:dyDescent="0.25">
      <c r="O2" s="79" t="s">
        <v>218</v>
      </c>
      <c r="P2" s="79"/>
      <c r="Q2" s="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4" t="s">
        <v>187</v>
      </c>
      <c r="AD2" s="8"/>
    </row>
    <row r="3" spans="1:30" ht="20.25" x14ac:dyDescent="0.3">
      <c r="A3" s="189" t="str">
        <f>+'Historical - Exhibit 1'!A1:M1</f>
        <v>Questar Corporation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47"/>
      <c r="Q3" s="189" t="str">
        <f>A3</f>
        <v>Questar Corporation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9"/>
      <c r="AD3" s="8"/>
    </row>
    <row r="4" spans="1:30" ht="15.75" x14ac:dyDescent="0.25">
      <c r="A4" s="190" t="s">
        <v>86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48"/>
      <c r="Q4" s="190" t="s">
        <v>101</v>
      </c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9"/>
      <c r="AD4" s="8"/>
    </row>
    <row r="5" spans="1:30" ht="15" customHeight="1" x14ac:dyDescent="0.25">
      <c r="A5" s="190" t="str">
        <f>'Historical - Exhibit 1'!A3</f>
        <v>Years Ended December 31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48"/>
      <c r="Q5" s="190" t="str">
        <f>A5</f>
        <v>Years Ended December 31</v>
      </c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9"/>
      <c r="AD5" s="8"/>
    </row>
    <row r="6" spans="1:30" ht="15.75" x14ac:dyDescent="0.25">
      <c r="B6" s="188"/>
      <c r="C6" s="188"/>
      <c r="D6" s="118" t="s">
        <v>67</v>
      </c>
      <c r="E6" s="119"/>
      <c r="F6" s="119"/>
      <c r="G6" s="119"/>
      <c r="H6" s="120"/>
      <c r="I6" s="120"/>
      <c r="J6" s="120"/>
      <c r="K6" s="135"/>
      <c r="L6" s="135"/>
      <c r="M6" s="135"/>
      <c r="N6" s="135"/>
      <c r="O6" s="135" t="str">
        <f>+'Historical - Exhibit 1'!AC6</f>
        <v>1st Qrtr</v>
      </c>
      <c r="P6" s="130"/>
      <c r="Q6" s="16"/>
      <c r="R6" s="16"/>
      <c r="S6" s="16"/>
      <c r="T6" s="19"/>
      <c r="U6" s="19"/>
      <c r="V6" s="150"/>
      <c r="W6" s="150"/>
      <c r="X6" s="150"/>
      <c r="Y6" s="135"/>
      <c r="Z6" s="135"/>
      <c r="AA6" s="135"/>
      <c r="AB6" s="135">
        <f>+L6</f>
        <v>0</v>
      </c>
      <c r="AC6" s="151" t="e">
        <f>#REF!</f>
        <v>#REF!</v>
      </c>
      <c r="AD6" s="8"/>
    </row>
    <row r="7" spans="1:30" ht="15.75" x14ac:dyDescent="0.25">
      <c r="A7" s="18"/>
      <c r="B7" s="121">
        <f>+C7-1</f>
        <v>2003</v>
      </c>
      <c r="C7" s="121">
        <f>'Historical - Exhibit 1'!B7</f>
        <v>2004</v>
      </c>
      <c r="D7" s="121">
        <f>'Historical - Exhibit 1'!C7</f>
        <v>2005</v>
      </c>
      <c r="E7" s="121">
        <f>'Historical - Exhibit 1'!D7</f>
        <v>2006</v>
      </c>
      <c r="F7" s="121">
        <f>'Historical - Exhibit 1'!E7</f>
        <v>2007</v>
      </c>
      <c r="G7" s="121">
        <f>'Historical - Exhibit 1'!F7</f>
        <v>2008</v>
      </c>
      <c r="H7" s="121">
        <f>'Historical - Exhibit 1'!G7</f>
        <v>2009</v>
      </c>
      <c r="I7" s="121">
        <f>'Historical - Exhibit 1'!H7</f>
        <v>2010</v>
      </c>
      <c r="J7" s="121">
        <f>'Historical - Exhibit 1'!I7</f>
        <v>2011</v>
      </c>
      <c r="K7" s="121">
        <f>+J7+1</f>
        <v>2012</v>
      </c>
      <c r="L7" s="121">
        <f>+K7+1</f>
        <v>2013</v>
      </c>
      <c r="M7" s="121">
        <f>+L7+1</f>
        <v>2014</v>
      </c>
      <c r="N7" s="121">
        <f>+M7+1</f>
        <v>2015</v>
      </c>
      <c r="O7" s="121">
        <f>+N7+1</f>
        <v>2016</v>
      </c>
      <c r="P7" s="131"/>
      <c r="Q7" s="17"/>
      <c r="R7" s="20">
        <f t="shared" ref="R7:X7" si="0">B7</f>
        <v>2003</v>
      </c>
      <c r="S7" s="20">
        <f t="shared" si="0"/>
        <v>2004</v>
      </c>
      <c r="T7" s="20">
        <f t="shared" si="0"/>
        <v>2005</v>
      </c>
      <c r="U7" s="20">
        <f t="shared" si="0"/>
        <v>2006</v>
      </c>
      <c r="V7" s="152">
        <f t="shared" si="0"/>
        <v>2007</v>
      </c>
      <c r="W7" s="152">
        <f t="shared" si="0"/>
        <v>2008</v>
      </c>
      <c r="X7" s="152">
        <f t="shared" si="0"/>
        <v>2009</v>
      </c>
      <c r="Y7" s="152">
        <f>+I7</f>
        <v>2010</v>
      </c>
      <c r="Z7" s="152">
        <f>+J7</f>
        <v>2011</v>
      </c>
      <c r="AA7" s="152">
        <f>+K7</f>
        <v>2012</v>
      </c>
      <c r="AB7" s="152">
        <f>+L7</f>
        <v>2013</v>
      </c>
      <c r="AC7" s="153" t="s">
        <v>2</v>
      </c>
      <c r="AD7" s="8"/>
    </row>
    <row r="8" spans="1:30" ht="15" x14ac:dyDescent="0.2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17" t="s">
        <v>154</v>
      </c>
      <c r="R8" s="154" t="e">
        <f>'Historical - Exhibit 1'!#REF!</f>
        <v>#REF!</v>
      </c>
      <c r="S8" s="154">
        <f>'Historical - Exhibit 1'!B104</f>
        <v>1901.431</v>
      </c>
      <c r="T8" s="154">
        <f>'Historical - Exhibit 1'!C104</f>
        <v>2724.8879999999999</v>
      </c>
      <c r="U8" s="154">
        <f>'Historical - Exhibit 1'!D104</f>
        <v>2835.6</v>
      </c>
      <c r="V8" s="154">
        <f>'Historical - Exhibit 1'!E104</f>
        <v>2726.6</v>
      </c>
      <c r="W8" s="154">
        <f>'Historical - Exhibit 1'!F104</f>
        <v>3465.0999999999995</v>
      </c>
      <c r="X8" s="154">
        <f>'Historical - Exhibit 1'!G104</f>
        <v>1109.8999999999999</v>
      </c>
      <c r="Y8" s="154">
        <f>'Historical - Exhibit 1'!H104</f>
        <v>1123.5999999999999</v>
      </c>
      <c r="Z8" s="154">
        <f>'Historical - Exhibit 1'!I104</f>
        <v>1194.4000000000001</v>
      </c>
      <c r="AA8" s="154">
        <f>'Historical - Exhibit 1'!J104</f>
        <v>1098.8999999999999</v>
      </c>
      <c r="AB8" s="154">
        <f>'Historical - Exhibit 1'!K104</f>
        <v>1220</v>
      </c>
      <c r="AC8" s="155">
        <f>AVERAGE(W8:AA8)</f>
        <v>1598.3799999999997</v>
      </c>
      <c r="AD8" s="8"/>
    </row>
    <row r="9" spans="1:30" ht="15" x14ac:dyDescent="0.2">
      <c r="A9" s="24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 t="s">
        <v>68</v>
      </c>
      <c r="R9" s="29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30" ht="15" x14ac:dyDescent="0.2">
      <c r="A10" s="30" t="s">
        <v>69</v>
      </c>
      <c r="B10" s="25"/>
      <c r="C10" s="101">
        <f>'Historical - Exhibit 1'!B131</f>
        <v>229.30089999999976</v>
      </c>
      <c r="D10" s="101">
        <f>'Historical - Exhibit 1'!C131</f>
        <v>325.68099999999981</v>
      </c>
      <c r="E10" s="101">
        <f>'Historical - Exhibit 1'!D131</f>
        <v>444.10000000000036</v>
      </c>
      <c r="F10" s="101">
        <f>'Historical - Exhibit 1'!E131</f>
        <v>507.4</v>
      </c>
      <c r="G10" s="101">
        <f>'Historical - Exhibit 1'!F131+9</f>
        <v>692.79999999999927</v>
      </c>
      <c r="H10" s="101">
        <v>395.9</v>
      </c>
      <c r="I10" s="101">
        <v>340.5</v>
      </c>
      <c r="J10" s="101">
        <f>+'Historical - Exhibit 1'!I131</f>
        <v>207.90000000000018</v>
      </c>
      <c r="K10" s="101">
        <f>+'Historical - Exhibit 1'!J131</f>
        <v>211.99999999999989</v>
      </c>
      <c r="L10" s="101">
        <f>+'Historical - Exhibit 1'!K131</f>
        <v>161.19999999999999</v>
      </c>
      <c r="M10" s="101">
        <f>+'Historical - Exhibit 1'!L131</f>
        <v>226.49999999999957</v>
      </c>
      <c r="N10" s="101">
        <f>+'Historical - Exhibit 1'!M131</f>
        <v>208.70000000000013</v>
      </c>
      <c r="O10" s="101">
        <f>+'Historical - Exhibit 1'!N131</f>
        <v>78.499999999999972</v>
      </c>
      <c r="P10" s="31"/>
      <c r="Q10" s="32" t="str">
        <f t="shared" ref="Q10:Q29" si="1">A10</f>
        <v xml:space="preserve">   Net income</v>
      </c>
      <c r="R10" s="33" t="e">
        <f t="shared" ref="R10:AB10" si="2">B10/R$8</f>
        <v>#REF!</v>
      </c>
      <c r="S10" s="33">
        <f t="shared" si="2"/>
        <v>0.12059385799432099</v>
      </c>
      <c r="T10" s="33">
        <f t="shared" si="2"/>
        <v>0.11952087572039652</v>
      </c>
      <c r="U10" s="33">
        <f t="shared" si="2"/>
        <v>0.15661588376357752</v>
      </c>
      <c r="V10" s="33">
        <f t="shared" si="2"/>
        <v>0.18609256950047678</v>
      </c>
      <c r="W10" s="33">
        <f t="shared" si="2"/>
        <v>0.19993650976883767</v>
      </c>
      <c r="X10" s="33">
        <f t="shared" si="2"/>
        <v>0.35669880169384632</v>
      </c>
      <c r="Y10" s="33">
        <f t="shared" si="2"/>
        <v>0.3030437878248487</v>
      </c>
      <c r="Z10" s="33">
        <f t="shared" si="2"/>
        <v>0.17406229068988627</v>
      </c>
      <c r="AA10" s="33">
        <f t="shared" si="2"/>
        <v>0.19292019292019283</v>
      </c>
      <c r="AB10" s="33">
        <f t="shared" si="2"/>
        <v>0.1321311475409836</v>
      </c>
      <c r="AC10" s="33">
        <f>AVERAGE(W10:AA10)</f>
        <v>0.2453323165795224</v>
      </c>
    </row>
    <row r="11" spans="1:30" ht="15" x14ac:dyDescent="0.2">
      <c r="A11" s="24" t="s">
        <v>70</v>
      </c>
      <c r="B11" s="21"/>
      <c r="C11" s="102"/>
      <c r="D11" s="102"/>
      <c r="E11" s="102"/>
      <c r="F11" s="102"/>
      <c r="G11" s="102">
        <v>-520.6</v>
      </c>
      <c r="H11" s="102">
        <v>-215.4</v>
      </c>
      <c r="I11" s="102">
        <v>-148.19999999999999</v>
      </c>
      <c r="J11" s="102"/>
      <c r="K11" s="102"/>
      <c r="L11" s="102"/>
      <c r="M11" s="102"/>
      <c r="N11" s="102"/>
      <c r="O11" s="102"/>
      <c r="P11" s="31"/>
      <c r="Q11" s="32" t="str">
        <f t="shared" si="1"/>
        <v xml:space="preserve">   Adjustments to reconcile net income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23"/>
    </row>
    <row r="12" spans="1:30" ht="15" x14ac:dyDescent="0.2">
      <c r="A12" s="24" t="s">
        <v>176</v>
      </c>
      <c r="B12" s="2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31"/>
      <c r="Q12" s="30" t="str">
        <f>+A12</f>
        <v xml:space="preserve">   Discontinued Operations, net of Income Tax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23"/>
    </row>
    <row r="13" spans="1:30" ht="15" x14ac:dyDescent="0.2">
      <c r="A13" s="30" t="s">
        <v>71</v>
      </c>
      <c r="B13" s="26"/>
      <c r="C13" s="103">
        <v>225.87899999999999</v>
      </c>
      <c r="D13" s="104">
        <v>255.54</v>
      </c>
      <c r="E13" s="104">
        <v>316.10000000000002</v>
      </c>
      <c r="F13" s="104">
        <v>375.8</v>
      </c>
      <c r="G13" s="104">
        <v>139.6</v>
      </c>
      <c r="H13" s="104">
        <v>154.30000000000001</v>
      </c>
      <c r="I13" s="104">
        <v>161.80000000000001</v>
      </c>
      <c r="J13" s="104">
        <v>169.4</v>
      </c>
      <c r="K13" s="104">
        <v>189.2</v>
      </c>
      <c r="L13" s="104">
        <v>201.8</v>
      </c>
      <c r="M13" s="104">
        <v>234.4</v>
      </c>
      <c r="N13" s="104">
        <v>223.5</v>
      </c>
      <c r="O13" s="104">
        <v>58.4</v>
      </c>
      <c r="P13" s="31"/>
      <c r="Q13" s="32" t="str">
        <f t="shared" si="1"/>
        <v xml:space="preserve">       Depreciation and amortization</v>
      </c>
      <c r="R13" s="33" t="e">
        <f t="shared" ref="R13:AB15" si="3">B13/R$8</f>
        <v>#REF!</v>
      </c>
      <c r="S13" s="33">
        <f t="shared" si="3"/>
        <v>0.11879421341084688</v>
      </c>
      <c r="T13" s="33">
        <f t="shared" si="3"/>
        <v>9.3780001233078197E-2</v>
      </c>
      <c r="U13" s="33">
        <f t="shared" si="3"/>
        <v>0.11147552546198336</v>
      </c>
      <c r="V13" s="33">
        <f t="shared" si="3"/>
        <v>0.13782733074158293</v>
      </c>
      <c r="W13" s="33">
        <f t="shared" si="3"/>
        <v>4.028743759198869E-2</v>
      </c>
      <c r="X13" s="33">
        <f t="shared" si="3"/>
        <v>0.13902153347148394</v>
      </c>
      <c r="Y13" s="33">
        <f t="shared" si="3"/>
        <v>0.14400142399430405</v>
      </c>
      <c r="Z13" s="33">
        <f t="shared" si="3"/>
        <v>0.14182853315472202</v>
      </c>
      <c r="AA13" s="33">
        <f t="shared" si="3"/>
        <v>0.17217217217217218</v>
      </c>
      <c r="AB13" s="33">
        <f t="shared" si="3"/>
        <v>0.16540983606557377</v>
      </c>
      <c r="AC13" s="33">
        <f t="shared" ref="AC13:AC29" si="4">AVERAGE(W13:AA13)</f>
        <v>0.12746222007693417</v>
      </c>
    </row>
    <row r="14" spans="1:30" ht="15" x14ac:dyDescent="0.2">
      <c r="A14" s="30" t="s">
        <v>72</v>
      </c>
      <c r="B14" s="26"/>
      <c r="C14" s="103">
        <v>106.97799999999999</v>
      </c>
      <c r="D14" s="103">
        <v>92.153999999999996</v>
      </c>
      <c r="E14" s="103">
        <v>100.7</v>
      </c>
      <c r="F14" s="103">
        <v>191.2</v>
      </c>
      <c r="G14" s="103">
        <v>57.3</v>
      </c>
      <c r="H14" s="103">
        <v>82.1</v>
      </c>
      <c r="I14" s="103">
        <v>91.4</v>
      </c>
      <c r="J14" s="103">
        <v>96.2</v>
      </c>
      <c r="K14" s="103">
        <v>118.6</v>
      </c>
      <c r="L14" s="103">
        <v>42.4</v>
      </c>
      <c r="M14" s="103">
        <v>49.2</v>
      </c>
      <c r="N14" s="103">
        <v>59.5</v>
      </c>
      <c r="O14" s="103">
        <v>-5.0999999999999996</v>
      </c>
      <c r="P14" s="31"/>
      <c r="Q14" s="32" t="str">
        <f t="shared" si="1"/>
        <v xml:space="preserve">       Deferred income taxes and investment tax credits - net</v>
      </c>
      <c r="R14" s="33" t="e">
        <f t="shared" si="3"/>
        <v>#REF!</v>
      </c>
      <c r="S14" s="33">
        <f t="shared" si="3"/>
        <v>5.6261836479998481E-2</v>
      </c>
      <c r="T14" s="33">
        <f t="shared" si="3"/>
        <v>3.3819371658578262E-2</v>
      </c>
      <c r="U14" s="33">
        <f t="shared" si="3"/>
        <v>3.5512766257582172E-2</v>
      </c>
      <c r="V14" s="33">
        <f t="shared" si="3"/>
        <v>7.0123963911098069E-2</v>
      </c>
      <c r="W14" s="33">
        <f t="shared" si="3"/>
        <v>1.6536319298144357E-2</v>
      </c>
      <c r="X14" s="33">
        <f t="shared" si="3"/>
        <v>7.3970627984503115E-2</v>
      </c>
      <c r="Y14" s="33">
        <f t="shared" si="3"/>
        <v>8.1345674617301536E-2</v>
      </c>
      <c r="Z14" s="33">
        <f t="shared" si="3"/>
        <v>8.0542531815137305E-2</v>
      </c>
      <c r="AA14" s="33">
        <f t="shared" si="3"/>
        <v>0.10792610792610793</v>
      </c>
      <c r="AB14" s="33">
        <f t="shared" si="3"/>
        <v>3.4754098360655739E-2</v>
      </c>
      <c r="AC14" s="33">
        <f t="shared" si="4"/>
        <v>7.2064252328238848E-2</v>
      </c>
    </row>
    <row r="15" spans="1:30" ht="15" x14ac:dyDescent="0.2">
      <c r="A15" s="34" t="s">
        <v>94</v>
      </c>
      <c r="B15" s="26"/>
      <c r="C15" s="103">
        <v>-0.36599999999999999</v>
      </c>
      <c r="D15" s="103">
        <v>-4.742</v>
      </c>
      <c r="E15" s="103">
        <v>-25.3</v>
      </c>
      <c r="F15" s="103">
        <v>0.9</v>
      </c>
      <c r="G15" s="103">
        <f>-4.3-0.6</f>
        <v>-4.8999999999999995</v>
      </c>
      <c r="H15" s="103">
        <v>-0.2</v>
      </c>
      <c r="I15" s="103">
        <v>-0.4</v>
      </c>
      <c r="J15" s="103">
        <v>-0.2</v>
      </c>
      <c r="K15" s="103">
        <v>-5.0999999999999996</v>
      </c>
      <c r="L15" s="103">
        <v>0.2</v>
      </c>
      <c r="M15" s="103">
        <v>-1.2</v>
      </c>
      <c r="N15" s="103">
        <v>-1.8</v>
      </c>
      <c r="O15" s="103">
        <v>-0.3</v>
      </c>
      <c r="P15" s="31"/>
      <c r="Q15" s="32" t="str">
        <f t="shared" si="1"/>
        <v xml:space="preserve">       (Gain) Loss on sale of assets</v>
      </c>
      <c r="R15" s="33" t="e">
        <f t="shared" si="3"/>
        <v>#REF!</v>
      </c>
      <c r="S15" s="33">
        <f t="shared" si="3"/>
        <v>-1.9248660614032273E-4</v>
      </c>
      <c r="T15" s="33">
        <f t="shared" si="3"/>
        <v>-1.7402550123161026E-3</v>
      </c>
      <c r="U15" s="33">
        <f t="shared" si="3"/>
        <v>-8.922273945549444E-3</v>
      </c>
      <c r="V15" s="33">
        <f t="shared" si="3"/>
        <v>3.3008142008362064E-4</v>
      </c>
      <c r="W15" s="33">
        <f t="shared" si="3"/>
        <v>-1.414100603157196E-3</v>
      </c>
      <c r="X15" s="33">
        <f t="shared" si="3"/>
        <v>-1.8019641409135963E-4</v>
      </c>
      <c r="Y15" s="33">
        <f t="shared" si="3"/>
        <v>-3.5599857600569605E-4</v>
      </c>
      <c r="Z15" s="33">
        <f t="shared" si="3"/>
        <v>-1.6744809109176155E-4</v>
      </c>
      <c r="AA15" s="33">
        <f t="shared" si="3"/>
        <v>-4.6410046410046415E-3</v>
      </c>
      <c r="AB15" s="33">
        <f t="shared" si="3"/>
        <v>1.639344262295082E-4</v>
      </c>
      <c r="AC15" s="33">
        <f t="shared" si="4"/>
        <v>-1.3517496650701309E-3</v>
      </c>
    </row>
    <row r="16" spans="1:30" ht="15" x14ac:dyDescent="0.2">
      <c r="A16" s="108" t="s">
        <v>141</v>
      </c>
      <c r="B16" s="26"/>
      <c r="C16" s="103">
        <v>15.757999999999999</v>
      </c>
      <c r="D16" s="103">
        <f>7.931+16</f>
        <v>23.931000000000001</v>
      </c>
      <c r="E16" s="103">
        <v>7.6</v>
      </c>
      <c r="F16" s="103">
        <v>11.2</v>
      </c>
      <c r="G16" s="103">
        <v>14</v>
      </c>
      <c r="H16" s="103"/>
      <c r="I16" s="103"/>
      <c r="J16" s="103"/>
      <c r="K16" s="103"/>
      <c r="L16" s="103">
        <v>80.599999999999994</v>
      </c>
      <c r="M16" s="103">
        <v>2</v>
      </c>
      <c r="N16" s="103">
        <v>12.5</v>
      </c>
      <c r="O16" s="103">
        <v>0.2</v>
      </c>
      <c r="P16" s="31"/>
      <c r="Q16" s="32" t="str">
        <f t="shared" si="1"/>
        <v xml:space="preserve">       Abandonment and Imparement</v>
      </c>
      <c r="R16" s="33"/>
      <c r="S16" s="33">
        <f t="shared" ref="S16:S19" si="5">C16/S$8</f>
        <v>8.2874424578120373E-3</v>
      </c>
      <c r="T16" s="33">
        <f t="shared" ref="T16:T19" si="6">D16/T$8</f>
        <v>8.7823793124708251E-3</v>
      </c>
      <c r="U16" s="33">
        <f t="shared" ref="U16:U19" si="7">E16/U$8</f>
        <v>2.680208774157145E-3</v>
      </c>
      <c r="V16" s="33">
        <f t="shared" ref="V16:V20" si="8">F16/V$8</f>
        <v>4.1076798943739451E-3</v>
      </c>
      <c r="W16" s="33">
        <f t="shared" ref="W16:W17" si="9">G16/W$8</f>
        <v>4.0402874375919896E-3</v>
      </c>
      <c r="X16" s="33"/>
      <c r="Y16" s="33"/>
      <c r="Z16" s="33"/>
      <c r="AA16" s="33"/>
      <c r="AB16" s="33"/>
      <c r="AC16" s="33">
        <f t="shared" si="4"/>
        <v>4.0402874375919896E-3</v>
      </c>
    </row>
    <row r="17" spans="1:29" ht="15" x14ac:dyDescent="0.2">
      <c r="A17" s="108" t="s">
        <v>150</v>
      </c>
      <c r="B17" s="26"/>
      <c r="C17" s="103"/>
      <c r="D17" s="103"/>
      <c r="E17" s="103"/>
      <c r="F17" s="103">
        <v>12.9</v>
      </c>
      <c r="G17" s="103">
        <v>6.2</v>
      </c>
      <c r="H17" s="103">
        <v>9.3000000000000007</v>
      </c>
      <c r="I17" s="102">
        <v>15.4</v>
      </c>
      <c r="J17" s="102">
        <v>10.1</v>
      </c>
      <c r="K17" s="102">
        <v>9.9</v>
      </c>
      <c r="L17" s="102">
        <v>10.199999999999999</v>
      </c>
      <c r="M17" s="102">
        <v>12.4</v>
      </c>
      <c r="N17" s="102">
        <v>11.4</v>
      </c>
      <c r="O17" s="102">
        <v>2.7</v>
      </c>
      <c r="P17" s="31"/>
      <c r="Q17" s="30" t="str">
        <f>+A17</f>
        <v xml:space="preserve">       Share-Based Compensation</v>
      </c>
      <c r="R17" s="33"/>
      <c r="S17" s="33"/>
      <c r="T17" s="33"/>
      <c r="U17" s="33"/>
      <c r="V17" s="33">
        <f t="shared" si="8"/>
        <v>4.7311670211985625E-3</v>
      </c>
      <c r="W17" s="33">
        <f t="shared" si="9"/>
        <v>1.7892701509335954E-3</v>
      </c>
      <c r="X17" s="33">
        <f>H17/X$8</f>
        <v>8.3791332552482223E-3</v>
      </c>
      <c r="Y17" s="33">
        <f>I17/Y$8</f>
        <v>1.3705945176219297E-2</v>
      </c>
      <c r="Z17" s="33">
        <f>J17/Z$8</f>
        <v>8.4561286001339567E-3</v>
      </c>
      <c r="AA17" s="33">
        <f>K17/AA$8</f>
        <v>9.0090090090090107E-3</v>
      </c>
      <c r="AB17" s="33">
        <f>L17/AB$8</f>
        <v>8.3606557377049178E-3</v>
      </c>
      <c r="AC17" s="33">
        <f t="shared" si="4"/>
        <v>8.2678972383088169E-3</v>
      </c>
    </row>
    <row r="18" spans="1:29" ht="15" hidden="1" x14ac:dyDescent="0.2">
      <c r="A18" s="108" t="s">
        <v>142</v>
      </c>
      <c r="B18" s="26"/>
      <c r="C18" s="103"/>
      <c r="D18" s="103"/>
      <c r="E18" s="103">
        <v>26.3</v>
      </c>
      <c r="F18" s="103">
        <v>12.3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31"/>
      <c r="Q18" s="32" t="str">
        <f t="shared" si="1"/>
        <v xml:space="preserve">       Dry Exploratory Well Expense</v>
      </c>
      <c r="R18" s="33"/>
      <c r="S18" s="33">
        <f t="shared" si="5"/>
        <v>0</v>
      </c>
      <c r="T18" s="33">
        <f t="shared" si="6"/>
        <v>0</v>
      </c>
      <c r="U18" s="33">
        <f t="shared" si="7"/>
        <v>9.2749329947806464E-3</v>
      </c>
      <c r="V18" s="33">
        <f t="shared" si="8"/>
        <v>4.5111127411428158E-3</v>
      </c>
      <c r="W18" s="33"/>
      <c r="X18" s="33"/>
      <c r="Y18" s="33"/>
      <c r="Z18" s="33"/>
      <c r="AA18" s="33"/>
      <c r="AB18" s="33"/>
      <c r="AC18" s="33"/>
    </row>
    <row r="19" spans="1:29" ht="15.75" hidden="1" x14ac:dyDescent="0.25">
      <c r="A19" s="108" t="s">
        <v>143</v>
      </c>
      <c r="B19" s="109"/>
      <c r="C19" s="110"/>
      <c r="D19" s="110"/>
      <c r="E19" s="110">
        <v>1.9</v>
      </c>
      <c r="F19" s="110">
        <v>-5.7</v>
      </c>
      <c r="G19" s="110"/>
      <c r="H19" s="110"/>
      <c r="I19" s="110"/>
      <c r="J19" s="110"/>
      <c r="K19" s="110"/>
      <c r="L19" s="110"/>
      <c r="M19" s="110"/>
      <c r="N19" s="110"/>
      <c r="O19" s="110"/>
      <c r="P19" s="31"/>
      <c r="Q19" s="32" t="str">
        <f t="shared" si="1"/>
        <v xml:space="preserve">       Net Mark-to-Market (gain) loss on swaps</v>
      </c>
      <c r="R19" s="33"/>
      <c r="S19" s="33">
        <f t="shared" si="5"/>
        <v>0</v>
      </c>
      <c r="T19" s="33">
        <f t="shared" si="6"/>
        <v>0</v>
      </c>
      <c r="U19" s="33">
        <f t="shared" si="7"/>
        <v>6.7005219353928624E-4</v>
      </c>
      <c r="V19" s="33">
        <f t="shared" si="8"/>
        <v>-2.0905156605295974E-3</v>
      </c>
      <c r="W19" s="33"/>
      <c r="X19" s="33"/>
      <c r="Y19" s="33"/>
      <c r="Z19" s="33"/>
      <c r="AA19" s="33"/>
      <c r="AB19" s="33"/>
      <c r="AC19" s="33"/>
    </row>
    <row r="20" spans="1:29" ht="15" x14ac:dyDescent="0.2">
      <c r="A20" s="108" t="s">
        <v>152</v>
      </c>
      <c r="B20" s="26"/>
      <c r="C20" s="103">
        <v>3.1640000000000001</v>
      </c>
      <c r="D20" s="103">
        <v>2.548</v>
      </c>
      <c r="E20" s="103"/>
      <c r="F20" s="103">
        <f>10.4-8.9</f>
        <v>1.5</v>
      </c>
      <c r="G20" s="103"/>
      <c r="H20" s="103">
        <f>-3.8+3.3</f>
        <v>-0.5</v>
      </c>
      <c r="I20" s="103">
        <f>-3.8+4</f>
        <v>0.20000000000000018</v>
      </c>
      <c r="J20" s="103">
        <f>-3.8+4.5</f>
        <v>0.70000000000000018</v>
      </c>
      <c r="K20" s="103">
        <f>-3.7+4.5+0.4</f>
        <v>1.1999999999999997</v>
      </c>
      <c r="L20" s="103">
        <f>-3.7+4.6+0.9</f>
        <v>1.7999999999999994</v>
      </c>
      <c r="M20" s="103">
        <f>-3.5+4.4+0.9</f>
        <v>1.8000000000000003</v>
      </c>
      <c r="N20" s="103">
        <f>-3.7+4.5+1.1</f>
        <v>1.9</v>
      </c>
      <c r="O20" s="103">
        <f>-1+1.5</f>
        <v>0.5</v>
      </c>
      <c r="P20" s="31"/>
      <c r="Q20" s="30" t="str">
        <f>+A20</f>
        <v xml:space="preserve">       Distribution (Income) from Unconsolidated affiliates</v>
      </c>
      <c r="R20" s="33"/>
      <c r="S20" s="33"/>
      <c r="T20" s="33"/>
      <c r="U20" s="33"/>
      <c r="V20" s="33">
        <f t="shared" si="8"/>
        <v>5.501357001393677E-4</v>
      </c>
      <c r="W20" s="33"/>
      <c r="X20" s="33">
        <f>H20/X$8</f>
        <v>-4.5049103522839899E-4</v>
      </c>
      <c r="Y20" s="33">
        <f>I20/Y$8</f>
        <v>1.7799928800284816E-4</v>
      </c>
      <c r="Z20" s="33">
        <f>J20/Z$8</f>
        <v>5.8606831882116557E-4</v>
      </c>
      <c r="AA20" s="33">
        <f>K20/AA$8</f>
        <v>1.0920010920010919E-3</v>
      </c>
      <c r="AB20" s="33">
        <f>L20/AB$8</f>
        <v>1.4754098360655733E-3</v>
      </c>
      <c r="AC20" s="33">
        <f t="shared" si="4"/>
        <v>3.5139441589917663E-4</v>
      </c>
    </row>
    <row r="21" spans="1:29" ht="15" x14ac:dyDescent="0.2">
      <c r="A21" s="34" t="s">
        <v>112</v>
      </c>
      <c r="B21" s="26"/>
      <c r="C21" s="103">
        <f>2.388+0.286</f>
        <v>2.6739999999999999</v>
      </c>
      <c r="D21" s="103">
        <f>4.194+0.201</f>
        <v>4.3949999999999996</v>
      </c>
      <c r="E21" s="103">
        <f>1.8+7.1-7.5+9.7</f>
        <v>11.1</v>
      </c>
      <c r="F21" s="103">
        <v>-1</v>
      </c>
      <c r="G21" s="103">
        <v>-3</v>
      </c>
      <c r="H21" s="103"/>
      <c r="I21" s="103">
        <v>-1.5</v>
      </c>
      <c r="J21" s="103"/>
      <c r="K21" s="103"/>
      <c r="L21" s="103"/>
      <c r="M21" s="103"/>
      <c r="N21" s="103"/>
      <c r="O21" s="103"/>
      <c r="P21" s="31"/>
      <c r="Q21" s="32" t="str">
        <f t="shared" si="1"/>
        <v xml:space="preserve">       Cumulative Affect of Accounting Chng and Other</v>
      </c>
      <c r="R21" s="33" t="e">
        <f t="shared" ref="R21:Y21" si="10">B21/R$8</f>
        <v>#REF!</v>
      </c>
      <c r="S21" s="33">
        <f t="shared" si="10"/>
        <v>1.4063092481399536E-3</v>
      </c>
      <c r="T21" s="33">
        <f t="shared" si="10"/>
        <v>1.6129103287914951E-3</v>
      </c>
      <c r="U21" s="33">
        <f t="shared" si="10"/>
        <v>3.9145154464663564E-3</v>
      </c>
      <c r="V21" s="33">
        <f t="shared" si="10"/>
        <v>-3.6675713342624515E-4</v>
      </c>
      <c r="W21" s="33">
        <f t="shared" si="10"/>
        <v>-8.6577587948399772E-4</v>
      </c>
      <c r="X21" s="33">
        <f t="shared" si="10"/>
        <v>0</v>
      </c>
      <c r="Y21" s="33">
        <f t="shared" si="10"/>
        <v>-1.33499466002136E-3</v>
      </c>
      <c r="Z21" s="33"/>
      <c r="AA21" s="33"/>
      <c r="AB21" s="33"/>
      <c r="AC21" s="33">
        <f t="shared" si="4"/>
        <v>-7.3359017983511924E-4</v>
      </c>
    </row>
    <row r="22" spans="1:29" ht="15" x14ac:dyDescent="0.2">
      <c r="A22" s="24" t="s">
        <v>73</v>
      </c>
      <c r="B22" s="35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31"/>
      <c r="Q22" s="32" t="str">
        <f t="shared" si="1"/>
        <v xml:space="preserve">   Changes in: 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15" x14ac:dyDescent="0.2">
      <c r="A23" s="36" t="s">
        <v>93</v>
      </c>
      <c r="B23" s="26"/>
      <c r="C23" s="103">
        <v>-37.496000000000002</v>
      </c>
      <c r="D23" s="103">
        <v>-131.702</v>
      </c>
      <c r="E23" s="103">
        <v>61.8</v>
      </c>
      <c r="F23" s="103">
        <v>-7.6</v>
      </c>
      <c r="G23" s="103">
        <v>-34.4</v>
      </c>
      <c r="H23" s="103">
        <v>21.7</v>
      </c>
      <c r="I23" s="103">
        <v>2.9</v>
      </c>
      <c r="J23" s="103">
        <v>7.7</v>
      </c>
      <c r="K23" s="103">
        <v>23.7</v>
      </c>
      <c r="L23" s="103">
        <v>-41.5</v>
      </c>
      <c r="M23" s="103">
        <v>29.5</v>
      </c>
      <c r="N23" s="103">
        <v>-11.4</v>
      </c>
      <c r="O23" s="103">
        <v>198.1</v>
      </c>
      <c r="P23" s="31"/>
      <c r="Q23" s="32" t="str">
        <f t="shared" si="1"/>
        <v xml:space="preserve">      Accounts receivable</v>
      </c>
      <c r="R23" s="33" t="e">
        <f t="shared" ref="R23:Y23" si="11">B23/R$8</f>
        <v>#REF!</v>
      </c>
      <c r="S23" s="33">
        <f t="shared" si="11"/>
        <v>-1.971988465529383E-2</v>
      </c>
      <c r="T23" s="33">
        <f t="shared" si="11"/>
        <v>-4.8332995704777594E-2</v>
      </c>
      <c r="U23" s="33">
        <f t="shared" si="11"/>
        <v>2.179432924248836E-2</v>
      </c>
      <c r="V23" s="33">
        <f t="shared" si="11"/>
        <v>-2.7873542140394629E-3</v>
      </c>
      <c r="W23" s="33">
        <f t="shared" si="11"/>
        <v>-9.9275634180831726E-3</v>
      </c>
      <c r="X23" s="33">
        <f t="shared" si="11"/>
        <v>1.9551310928912515E-2</v>
      </c>
      <c r="Y23" s="33">
        <f t="shared" si="11"/>
        <v>2.580989676041296E-3</v>
      </c>
      <c r="Z23" s="33"/>
      <c r="AA23" s="33">
        <f>K23/AA$8</f>
        <v>2.1567021567021571E-2</v>
      </c>
      <c r="AB23" s="33">
        <f>L23/AB$8</f>
        <v>-3.4016393442622951E-2</v>
      </c>
      <c r="AC23" s="33">
        <f t="shared" si="4"/>
        <v>8.4429396884730529E-3</v>
      </c>
    </row>
    <row r="24" spans="1:29" ht="15" x14ac:dyDescent="0.2">
      <c r="A24" s="36" t="s">
        <v>144</v>
      </c>
      <c r="B24" s="26"/>
      <c r="C24" s="103">
        <v>-35.301000000000002</v>
      </c>
      <c r="D24" s="103">
        <v>-3.9990000000000001</v>
      </c>
      <c r="E24" s="103">
        <v>81.7</v>
      </c>
      <c r="F24" s="103">
        <v>16.2</v>
      </c>
      <c r="G24" s="103"/>
      <c r="H24" s="103"/>
      <c r="I24" s="103"/>
      <c r="J24" s="103"/>
      <c r="K24" s="103"/>
      <c r="L24" s="103"/>
      <c r="M24" s="103"/>
      <c r="N24" s="103"/>
      <c r="O24" s="103"/>
      <c r="P24" s="31"/>
      <c r="Q24" s="32" t="str">
        <f t="shared" si="1"/>
        <v xml:space="preserve">      Purchased Gas Adjustments</v>
      </c>
      <c r="R24" s="33" t="e">
        <f t="shared" ref="R24:V25" si="12">B24/R$8</f>
        <v>#REF!</v>
      </c>
      <c r="S24" s="33">
        <f t="shared" si="12"/>
        <v>-1.8565490938140802E-2</v>
      </c>
      <c r="T24" s="33">
        <f t="shared" si="12"/>
        <v>-1.4675832547979954E-3</v>
      </c>
      <c r="U24" s="33">
        <f t="shared" si="12"/>
        <v>2.8812244322189311E-2</v>
      </c>
      <c r="V24" s="33">
        <f t="shared" si="12"/>
        <v>5.9414655615051713E-3</v>
      </c>
      <c r="W24" s="33"/>
      <c r="X24" s="33"/>
      <c r="Y24" s="33"/>
      <c r="Z24" s="33"/>
      <c r="AA24" s="33"/>
      <c r="AB24" s="33"/>
      <c r="AC24" s="33"/>
    </row>
    <row r="25" spans="1:29" ht="15" x14ac:dyDescent="0.2">
      <c r="A25" s="36" t="s">
        <v>95</v>
      </c>
      <c r="B25" s="26"/>
      <c r="C25" s="103">
        <v>95.028999999999996</v>
      </c>
      <c r="D25" s="103">
        <v>183.42</v>
      </c>
      <c r="E25" s="103">
        <v>-72.2</v>
      </c>
      <c r="F25" s="103">
        <v>-13.6</v>
      </c>
      <c r="G25" s="103">
        <v>-16.100000000000001</v>
      </c>
      <c r="H25" s="103">
        <v>-16.899999999999999</v>
      </c>
      <c r="I25" s="103">
        <v>-18.399999999999999</v>
      </c>
      <c r="J25" s="103">
        <v>11.7</v>
      </c>
      <c r="K25" s="103">
        <v>-5.0999999999999996</v>
      </c>
      <c r="L25" s="103">
        <v>33.700000000000003</v>
      </c>
      <c r="M25" s="103">
        <v>-19.600000000000001</v>
      </c>
      <c r="N25" s="103">
        <v>-15.1</v>
      </c>
      <c r="O25" s="103"/>
      <c r="P25" s="31"/>
      <c r="Q25" s="32" t="str">
        <f t="shared" si="1"/>
        <v xml:space="preserve">      Accounts payable and accrued expenses</v>
      </c>
      <c r="R25" s="33" t="e">
        <f t="shared" si="12"/>
        <v>#REF!</v>
      </c>
      <c r="S25" s="33">
        <f t="shared" si="12"/>
        <v>4.9977622117236963E-2</v>
      </c>
      <c r="T25" s="33">
        <f t="shared" si="12"/>
        <v>6.7312858363352907E-2</v>
      </c>
      <c r="U25" s="33">
        <f t="shared" si="12"/>
        <v>-2.5461983354492877E-2</v>
      </c>
      <c r="V25" s="33">
        <f t="shared" si="12"/>
        <v>-4.9878970145969337E-3</v>
      </c>
      <c r="W25" s="33">
        <f>G25/W$8</f>
        <v>-4.6463305532307882E-3</v>
      </c>
      <c r="X25" s="33">
        <f>H25/X$8</f>
        <v>-1.5226596990719885E-2</v>
      </c>
      <c r="Y25" s="33">
        <f>I25/Y$8</f>
        <v>-1.6375934496262016E-2</v>
      </c>
      <c r="Z25" s="33"/>
      <c r="AA25" s="33">
        <f>K25/AA$8</f>
        <v>-4.6410046410046415E-3</v>
      </c>
      <c r="AB25" s="33">
        <f>L25/AB$8</f>
        <v>2.7622950819672133E-2</v>
      </c>
      <c r="AC25" s="33">
        <f t="shared" si="4"/>
        <v>-1.0222466670304332E-2</v>
      </c>
    </row>
    <row r="26" spans="1:29" ht="15" x14ac:dyDescent="0.2">
      <c r="A26" s="122" t="s">
        <v>151</v>
      </c>
      <c r="B26" s="26"/>
      <c r="C26" s="103"/>
      <c r="D26" s="103"/>
      <c r="E26" s="103"/>
      <c r="F26" s="103">
        <v>3.3</v>
      </c>
      <c r="G26" s="103">
        <v>-0.6</v>
      </c>
      <c r="H26" s="103">
        <v>-0.2</v>
      </c>
      <c r="I26" s="103"/>
      <c r="J26" s="103">
        <v>-2.1</v>
      </c>
      <c r="K26" s="103">
        <v>-2.8</v>
      </c>
      <c r="L26" s="103">
        <v>3.6</v>
      </c>
      <c r="M26" s="103">
        <v>-1.7</v>
      </c>
      <c r="N26" s="103">
        <v>-1.1000000000000001</v>
      </c>
      <c r="O26" s="103"/>
      <c r="P26" s="31"/>
      <c r="Q26" s="32" t="str">
        <f t="shared" si="1"/>
        <v xml:space="preserve">      Prepaid Expenses</v>
      </c>
      <c r="R26" s="33"/>
      <c r="S26" s="33"/>
      <c r="T26" s="33"/>
      <c r="U26" s="33"/>
      <c r="V26" s="33">
        <f t="shared" ref="V26:W29" si="13">F26/V$8</f>
        <v>1.210298540306609E-3</v>
      </c>
      <c r="W26" s="33">
        <f t="shared" si="13"/>
        <v>-1.7315517589679954E-4</v>
      </c>
      <c r="X26" s="33"/>
      <c r="Y26" s="33"/>
      <c r="Z26" s="33"/>
      <c r="AA26" s="33"/>
      <c r="AB26" s="33"/>
      <c r="AC26" s="33">
        <f t="shared" si="4"/>
        <v>-1.7315517589679954E-4</v>
      </c>
    </row>
    <row r="27" spans="1:29" ht="15" x14ac:dyDescent="0.2">
      <c r="A27" s="36" t="s">
        <v>140</v>
      </c>
      <c r="B27" s="26"/>
      <c r="C27" s="103">
        <v>-1.4319999999999999</v>
      </c>
      <c r="D27" s="103">
        <v>0.4</v>
      </c>
      <c r="E27" s="103">
        <v>1.3</v>
      </c>
      <c r="F27" s="103">
        <v>3.4</v>
      </c>
      <c r="G27" s="103">
        <v>-10</v>
      </c>
      <c r="H27" s="103">
        <v>10.199999999999999</v>
      </c>
      <c r="I27" s="103">
        <v>-33.799999999999997</v>
      </c>
      <c r="J27" s="103">
        <v>37.1</v>
      </c>
      <c r="K27" s="103">
        <v>-10.7</v>
      </c>
      <c r="L27" s="103">
        <v>6.2</v>
      </c>
      <c r="M27" s="103">
        <v>-24</v>
      </c>
      <c r="N27" s="103">
        <v>-32.799999999999997</v>
      </c>
      <c r="O27" s="103"/>
      <c r="P27" s="31"/>
      <c r="Q27" s="32" t="str">
        <f t="shared" si="1"/>
        <v xml:space="preserve">      Federal Income Taxes</v>
      </c>
      <c r="R27" s="33" t="e">
        <f t="shared" ref="R27:U29" si="14">B27/R$8</f>
        <v>#REF!</v>
      </c>
      <c r="S27" s="33">
        <f t="shared" si="14"/>
        <v>-7.5311699451623539E-4</v>
      </c>
      <c r="T27" s="33">
        <f t="shared" si="14"/>
        <v>1.4679502423585851E-4</v>
      </c>
      <c r="U27" s="33">
        <f t="shared" si="14"/>
        <v>4.584567640005643E-4</v>
      </c>
      <c r="V27" s="33">
        <f t="shared" si="13"/>
        <v>1.2469742536492334E-3</v>
      </c>
      <c r="W27" s="33">
        <f t="shared" si="13"/>
        <v>-2.8859195982799922E-3</v>
      </c>
      <c r="X27" s="33">
        <f t="shared" ref="X27:Y29" si="15">H27/X$8</f>
        <v>9.1900171186593393E-3</v>
      </c>
      <c r="Y27" s="33">
        <f t="shared" si="15"/>
        <v>-3.0081879672481309E-2</v>
      </c>
      <c r="Z27" s="33"/>
      <c r="AA27" s="33"/>
      <c r="AB27" s="33"/>
      <c r="AC27" s="33">
        <f t="shared" si="4"/>
        <v>-7.9259273840339862E-3</v>
      </c>
    </row>
    <row r="28" spans="1:29" ht="15" x14ac:dyDescent="0.2">
      <c r="A28" s="36" t="s">
        <v>139</v>
      </c>
      <c r="B28" s="26"/>
      <c r="C28" s="103">
        <v>-32.942</v>
      </c>
      <c r="D28" s="103">
        <v>-39.985999999999997</v>
      </c>
      <c r="E28" s="103">
        <v>-8</v>
      </c>
      <c r="F28" s="103">
        <v>26.7</v>
      </c>
      <c r="G28" s="103">
        <v>-24.9</v>
      </c>
      <c r="H28" s="103">
        <v>24.1</v>
      </c>
      <c r="I28" s="103">
        <v>0.1</v>
      </c>
      <c r="J28" s="103">
        <v>-3.3</v>
      </c>
      <c r="K28" s="103">
        <v>2.5</v>
      </c>
      <c r="L28" s="103">
        <v>-0.2</v>
      </c>
      <c r="M28" s="103">
        <v>-10.4</v>
      </c>
      <c r="N28" s="103">
        <v>0.6</v>
      </c>
      <c r="O28" s="103"/>
      <c r="P28" s="31"/>
      <c r="Q28" s="32" t="str">
        <f t="shared" si="1"/>
        <v xml:space="preserve">      Inventories</v>
      </c>
      <c r="R28" s="33" t="e">
        <f t="shared" si="14"/>
        <v>#REF!</v>
      </c>
      <c r="S28" s="33">
        <f t="shared" si="14"/>
        <v>-1.7324846392006862E-2</v>
      </c>
      <c r="T28" s="33">
        <f t="shared" si="14"/>
        <v>-1.4674364597737594E-2</v>
      </c>
      <c r="U28" s="33">
        <f t="shared" si="14"/>
        <v>-2.8212723938496262E-3</v>
      </c>
      <c r="V28" s="33">
        <f t="shared" si="13"/>
        <v>9.7924154624807452E-3</v>
      </c>
      <c r="W28" s="33">
        <f t="shared" si="13"/>
        <v>-7.1859397997171802E-3</v>
      </c>
      <c r="X28" s="33">
        <f t="shared" si="15"/>
        <v>2.1713667898008833E-2</v>
      </c>
      <c r="Y28" s="33">
        <f t="shared" si="15"/>
        <v>8.8999644001424013E-5</v>
      </c>
      <c r="Z28" s="33"/>
      <c r="AA28" s="33"/>
      <c r="AB28" s="33"/>
      <c r="AC28" s="33">
        <f t="shared" si="4"/>
        <v>4.8722425807643591E-3</v>
      </c>
    </row>
    <row r="29" spans="1:29" ht="15" x14ac:dyDescent="0.2">
      <c r="A29" s="36" t="s">
        <v>149</v>
      </c>
      <c r="B29" s="26"/>
      <c r="C29" s="103">
        <f>-7.312+0.404-1.832+19.278</f>
        <v>10.537999999999998</v>
      </c>
      <c r="D29" s="103">
        <f>-6.653-25.343+11.006+11.61</f>
        <v>-9.379999999999999</v>
      </c>
      <c r="E29" s="103">
        <f>2.4+15.5</f>
        <v>17.899999999999999</v>
      </c>
      <c r="F29" s="103">
        <v>6.1</v>
      </c>
      <c r="G29" s="103">
        <f>-23.2-0.7</f>
        <v>-23.9</v>
      </c>
      <c r="H29" s="103">
        <f>-38.2+2.6</f>
        <v>-35.6</v>
      </c>
      <c r="I29" s="103">
        <f>-34.8-24.3</f>
        <v>-59.099999999999994</v>
      </c>
      <c r="J29" s="103">
        <f>-37.3+31.2-40.1</f>
        <v>-46.2</v>
      </c>
      <c r="K29" s="103">
        <f>7.6-24.6-48.7</f>
        <v>-65.7</v>
      </c>
      <c r="L29" s="103">
        <f>19.2-17.1</f>
        <v>2.0999999999999979</v>
      </c>
      <c r="M29" s="103">
        <f>-44.5-10.8</f>
        <v>-55.3</v>
      </c>
      <c r="N29" s="103">
        <f>2.6-47.1</f>
        <v>-44.5</v>
      </c>
      <c r="O29" s="103"/>
      <c r="P29" s="31"/>
      <c r="Q29" s="32" t="str">
        <f t="shared" si="1"/>
        <v xml:space="preserve">      Regulatory Assets and Liabilities &amp; Other</v>
      </c>
      <c r="R29" s="33" t="e">
        <f t="shared" si="14"/>
        <v>#REF!</v>
      </c>
      <c r="S29" s="33">
        <f t="shared" si="14"/>
        <v>5.5421416817123519E-3</v>
      </c>
      <c r="T29" s="33">
        <f t="shared" si="14"/>
        <v>-3.4423433183308817E-3</v>
      </c>
      <c r="U29" s="33">
        <f t="shared" si="14"/>
        <v>6.3125969812385385E-3</v>
      </c>
      <c r="V29" s="33">
        <f t="shared" si="13"/>
        <v>2.2372185139000952E-3</v>
      </c>
      <c r="W29" s="33">
        <f t="shared" si="13"/>
        <v>-6.8973478398891815E-3</v>
      </c>
      <c r="X29" s="33">
        <f t="shared" si="15"/>
        <v>-3.2074961708262011E-2</v>
      </c>
      <c r="Y29" s="33">
        <f t="shared" si="15"/>
        <v>-5.259878960484158E-2</v>
      </c>
      <c r="Z29" s="33">
        <f>J29/Z$8</f>
        <v>-3.8680509042196921E-2</v>
      </c>
      <c r="AA29" s="33">
        <f>K29/AA$8</f>
        <v>-5.9787059787059796E-2</v>
      </c>
      <c r="AB29" s="33">
        <f>L29/AB$8</f>
        <v>1.7213114754098342E-3</v>
      </c>
      <c r="AC29" s="33">
        <f t="shared" si="4"/>
        <v>-3.8007733596449898E-2</v>
      </c>
    </row>
    <row r="30" spans="1:29" ht="12.75" customHeight="1" x14ac:dyDescent="0.2">
      <c r="A30" s="30"/>
      <c r="B30" s="26"/>
      <c r="C30" s="103"/>
      <c r="D30" s="103"/>
      <c r="E30" s="103"/>
      <c r="F30" s="103"/>
      <c r="G30" s="103"/>
      <c r="H30" s="103"/>
      <c r="I30" s="103"/>
      <c r="J30" s="133"/>
      <c r="K30" s="133"/>
      <c r="L30" s="133"/>
      <c r="M30" s="133"/>
      <c r="N30" s="133"/>
      <c r="O30" s="133"/>
      <c r="P30" s="37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7"/>
    </row>
    <row r="31" spans="1:29" ht="15" x14ac:dyDescent="0.2">
      <c r="A31" s="30" t="s">
        <v>74</v>
      </c>
      <c r="B31" s="38">
        <f t="shared" ref="B31:E31" si="16">SUM(B9:B30)</f>
        <v>0</v>
      </c>
      <c r="C31" s="105">
        <f t="shared" si="16"/>
        <v>581.78389999999968</v>
      </c>
      <c r="D31" s="105">
        <f t="shared" si="16"/>
        <v>698.25999999999976</v>
      </c>
      <c r="E31" s="105">
        <f t="shared" si="16"/>
        <v>965.00000000000034</v>
      </c>
      <c r="F31" s="105">
        <f t="shared" ref="F31:K31" si="17">SUM(F9:F30)</f>
        <v>1141.0000000000005</v>
      </c>
      <c r="G31" s="105">
        <f t="shared" si="17"/>
        <v>271.49999999999932</v>
      </c>
      <c r="H31" s="105">
        <f t="shared" si="17"/>
        <v>428.8</v>
      </c>
      <c r="I31" s="105">
        <f t="shared" si="17"/>
        <v>350.9</v>
      </c>
      <c r="J31" s="105">
        <f t="shared" si="17"/>
        <v>489.00000000000017</v>
      </c>
      <c r="K31" s="105">
        <f t="shared" si="17"/>
        <v>467.69999999999987</v>
      </c>
      <c r="L31" s="105">
        <f t="shared" ref="L31:M31" si="18">SUM(L9:L30)</f>
        <v>502.09999999999997</v>
      </c>
      <c r="M31" s="105">
        <f t="shared" si="18"/>
        <v>443.59999999999951</v>
      </c>
      <c r="N31" s="105">
        <f t="shared" ref="N31" si="19">SUM(N9:N30)</f>
        <v>411.40000000000015</v>
      </c>
      <c r="O31" s="105">
        <f t="shared" ref="O31" si="20">SUM(O9:O30)</f>
        <v>332.99999999999994</v>
      </c>
      <c r="P31" s="31"/>
      <c r="Q31" s="32" t="s">
        <v>74</v>
      </c>
      <c r="R31" s="39" t="e">
        <f t="shared" ref="R31:AB31" si="21">(B31/R$8)</f>
        <v>#REF!</v>
      </c>
      <c r="S31" s="39">
        <f t="shared" si="21"/>
        <v>0.30597160769967446</v>
      </c>
      <c r="T31" s="39">
        <f t="shared" si="21"/>
        <v>0.25625273405732629</v>
      </c>
      <c r="U31" s="39">
        <f t="shared" si="21"/>
        <v>0.34031598250811129</v>
      </c>
      <c r="V31" s="39">
        <f t="shared" si="21"/>
        <v>0.41846988923934586</v>
      </c>
      <c r="W31" s="39">
        <f t="shared" si="21"/>
        <v>7.8352717093301591E-2</v>
      </c>
      <c r="X31" s="39">
        <f t="shared" si="21"/>
        <v>0.38634111181187503</v>
      </c>
      <c r="Y31" s="39">
        <f t="shared" si="21"/>
        <v>0.31229975080099681</v>
      </c>
      <c r="Z31" s="39">
        <f t="shared" si="21"/>
        <v>0.4094105827193571</v>
      </c>
      <c r="AA31" s="39">
        <f t="shared" si="21"/>
        <v>0.42560742560742554</v>
      </c>
      <c r="AB31" s="39">
        <f t="shared" si="21"/>
        <v>0.41155737704918027</v>
      </c>
      <c r="AC31" s="33">
        <f>AVERAGE(W31:AA31)</f>
        <v>0.32240231760659122</v>
      </c>
    </row>
    <row r="32" spans="1:29" ht="12" customHeight="1" x14ac:dyDescent="0.2">
      <c r="A32" s="30"/>
      <c r="B32" s="26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31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3"/>
    </row>
    <row r="33" spans="1:29" ht="15" x14ac:dyDescent="0.2">
      <c r="A33" s="24" t="s">
        <v>75</v>
      </c>
      <c r="B33" s="26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31"/>
      <c r="Q33" s="28" t="s">
        <v>75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23"/>
    </row>
    <row r="34" spans="1:29" ht="15" x14ac:dyDescent="0.2">
      <c r="A34" s="30" t="s">
        <v>76</v>
      </c>
      <c r="B34" s="26"/>
      <c r="C34" s="103">
        <v>-441.483</v>
      </c>
      <c r="D34" s="103">
        <v>-715.88599999999997</v>
      </c>
      <c r="E34" s="103">
        <v>-916.1</v>
      </c>
      <c r="F34" s="103">
        <v>-1383.5</v>
      </c>
      <c r="G34" s="103">
        <v>-322</v>
      </c>
      <c r="H34" s="103">
        <v>-299.8</v>
      </c>
      <c r="I34" s="103">
        <v>-320.3</v>
      </c>
      <c r="J34" s="103">
        <v>-367.7</v>
      </c>
      <c r="K34" s="103">
        <v>-370.7</v>
      </c>
      <c r="L34" s="103">
        <v>-399.4</v>
      </c>
      <c r="M34" s="103">
        <v>-319.10000000000002</v>
      </c>
      <c r="N34" s="103">
        <v>-306.8</v>
      </c>
      <c r="O34" s="103">
        <v>-68.5</v>
      </c>
      <c r="P34" s="31"/>
      <c r="Q34" s="28" t="str">
        <f>A34</f>
        <v xml:space="preserve">     Capital expenditures</v>
      </c>
      <c r="R34" s="33" t="e">
        <f t="shared" ref="R34:AB34" si="22">(B34/R$8)</f>
        <v>#REF!</v>
      </c>
      <c r="S34" s="33">
        <f t="shared" si="22"/>
        <v>-0.23218460201816421</v>
      </c>
      <c r="T34" s="33">
        <f t="shared" si="22"/>
        <v>-0.26272125680027947</v>
      </c>
      <c r="U34" s="33">
        <f t="shared" si="22"/>
        <v>-0.32307095500070532</v>
      </c>
      <c r="V34" s="33">
        <f t="shared" si="22"/>
        <v>-0.50740849409521016</v>
      </c>
      <c r="W34" s="33">
        <f t="shared" si="22"/>
        <v>-9.2926611064615749E-2</v>
      </c>
      <c r="X34" s="33">
        <f t="shared" si="22"/>
        <v>-0.27011442472294805</v>
      </c>
      <c r="Y34" s="33">
        <f t="shared" si="22"/>
        <v>-0.28506585973656107</v>
      </c>
      <c r="Z34" s="33">
        <f t="shared" si="22"/>
        <v>-0.30785331547220357</v>
      </c>
      <c r="AA34" s="33">
        <f t="shared" si="22"/>
        <v>-0.3373373373373374</v>
      </c>
      <c r="AB34" s="33">
        <f t="shared" si="22"/>
        <v>-0.32737704918032784</v>
      </c>
      <c r="AC34" s="33">
        <f>AVERAGE(W34:AA34)</f>
        <v>-0.25865950966673318</v>
      </c>
    </row>
    <row r="35" spans="1:29" ht="15" x14ac:dyDescent="0.2">
      <c r="A35" s="30" t="s">
        <v>196</v>
      </c>
      <c r="B35" s="26"/>
      <c r="C35" s="103"/>
      <c r="D35" s="103"/>
      <c r="E35" s="103"/>
      <c r="F35" s="103"/>
      <c r="G35" s="103"/>
      <c r="H35" s="103"/>
      <c r="I35" s="103"/>
      <c r="J35" s="103"/>
      <c r="K35" s="103"/>
      <c r="L35" s="103">
        <v>-104.3</v>
      </c>
      <c r="M35" s="103">
        <v>-52.4</v>
      </c>
      <c r="N35" s="103">
        <v>-12.2</v>
      </c>
      <c r="O35" s="103"/>
      <c r="P35" s="31"/>
      <c r="Q35" s="2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5" x14ac:dyDescent="0.2">
      <c r="A36" s="30" t="s">
        <v>210</v>
      </c>
      <c r="B36" s="26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>
        <v>-11.4</v>
      </c>
      <c r="O36" s="103"/>
      <c r="P36" s="31"/>
      <c r="Q36" s="28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5" x14ac:dyDescent="0.2">
      <c r="A37" s="30" t="s">
        <v>171</v>
      </c>
      <c r="B37" s="26"/>
      <c r="C37" s="103"/>
      <c r="D37" s="103"/>
      <c r="E37" s="103"/>
      <c r="F37" s="103"/>
      <c r="G37" s="103"/>
      <c r="H37" s="103"/>
      <c r="I37" s="103">
        <v>-250</v>
      </c>
      <c r="J37" s="103"/>
      <c r="K37" s="103"/>
      <c r="L37" s="103"/>
      <c r="M37" s="103"/>
      <c r="N37" s="103"/>
      <c r="O37" s="103"/>
      <c r="P37" s="31"/>
      <c r="Q37" s="24" t="str">
        <f>+A37</f>
        <v xml:space="preserve">     Equity Investment in QEP Resources, Inc.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23"/>
    </row>
    <row r="38" spans="1:29" ht="15" x14ac:dyDescent="0.2">
      <c r="A38" s="30" t="s">
        <v>172</v>
      </c>
      <c r="B38" s="26"/>
      <c r="C38" s="103"/>
      <c r="D38" s="103"/>
      <c r="E38" s="103"/>
      <c r="F38" s="103"/>
      <c r="G38" s="103">
        <v>-31.8</v>
      </c>
      <c r="H38" s="103">
        <v>50.1</v>
      </c>
      <c r="I38" s="103">
        <v>39.299999999999997</v>
      </c>
      <c r="J38" s="103"/>
      <c r="K38" s="103"/>
      <c r="L38" s="103"/>
      <c r="M38" s="103"/>
      <c r="N38" s="103"/>
      <c r="O38" s="103"/>
      <c r="P38" s="31"/>
      <c r="Q38" s="24" t="str">
        <f>+A38</f>
        <v xml:space="preserve">     Change in Notes Receivable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23"/>
    </row>
    <row r="39" spans="1:29" ht="15" x14ac:dyDescent="0.2">
      <c r="A39" s="30" t="s">
        <v>77</v>
      </c>
      <c r="B39" s="26"/>
      <c r="C39" s="103">
        <v>7.1890000000000001</v>
      </c>
      <c r="D39" s="103">
        <v>19.228000000000002</v>
      </c>
      <c r="E39" s="103">
        <f>35.3-0.7</f>
        <v>34.599999999999994</v>
      </c>
      <c r="F39" s="103">
        <f>14.5-1.3</f>
        <v>13.2</v>
      </c>
      <c r="G39" s="103">
        <f>27.5-3.7</f>
        <v>23.8</v>
      </c>
      <c r="H39" s="103">
        <v>-0.1</v>
      </c>
      <c r="I39" s="103">
        <v>0.6</v>
      </c>
      <c r="J39" s="103">
        <v>0.3</v>
      </c>
      <c r="K39" s="103">
        <f>-3+8.4</f>
        <v>5.4</v>
      </c>
      <c r="L39" s="103">
        <f>-4.9+0.6</f>
        <v>-4.3000000000000007</v>
      </c>
      <c r="M39" s="103">
        <f>-4.8+9.5</f>
        <v>4.7</v>
      </c>
      <c r="N39" s="103">
        <f>-6.2+1.1</f>
        <v>-5.0999999999999996</v>
      </c>
      <c r="O39" s="103">
        <f>-0.9+0.3</f>
        <v>-0.60000000000000009</v>
      </c>
      <c r="P39" s="31"/>
      <c r="Q39" s="28" t="str">
        <f>A39</f>
        <v xml:space="preserve">     Proceeds from sales of assets</v>
      </c>
      <c r="R39" s="33" t="e">
        <f t="shared" ref="R39:AB39" si="23">(B39/R$8)</f>
        <v>#REF!</v>
      </c>
      <c r="S39" s="33">
        <f t="shared" si="23"/>
        <v>3.7808366435595087E-3</v>
      </c>
      <c r="T39" s="33">
        <f t="shared" si="23"/>
        <v>7.0564368150177192E-3</v>
      </c>
      <c r="U39" s="33">
        <f t="shared" si="23"/>
        <v>1.2202003103399632E-2</v>
      </c>
      <c r="V39" s="33">
        <f t="shared" si="23"/>
        <v>4.8411941612264359E-3</v>
      </c>
      <c r="W39" s="33">
        <f t="shared" si="23"/>
        <v>6.8684886439063821E-3</v>
      </c>
      <c r="X39" s="33">
        <f t="shared" si="23"/>
        <v>-9.0098207045679813E-5</v>
      </c>
      <c r="Y39" s="33">
        <f t="shared" si="23"/>
        <v>5.3399786400854399E-4</v>
      </c>
      <c r="Z39" s="33">
        <f t="shared" si="23"/>
        <v>2.5117213663764231E-4</v>
      </c>
      <c r="AA39" s="33">
        <f t="shared" si="23"/>
        <v>4.9140049140049148E-3</v>
      </c>
      <c r="AB39" s="33">
        <f t="shared" si="23"/>
        <v>-3.524590163934427E-3</v>
      </c>
      <c r="AC39" s="33">
        <f t="shared" ref="AC39:AC40" si="24">AVERAGE(W39:AA39)</f>
        <v>2.4955130703023607E-3</v>
      </c>
    </row>
    <row r="40" spans="1:29" ht="15" x14ac:dyDescent="0.2">
      <c r="A40" s="30" t="s">
        <v>78</v>
      </c>
      <c r="B40" s="26"/>
      <c r="C40" s="103">
        <v>-1</v>
      </c>
      <c r="D40" s="103"/>
      <c r="E40" s="103"/>
      <c r="F40" s="103">
        <v>-14.8</v>
      </c>
      <c r="G40" s="103">
        <f>-27</f>
        <v>-27</v>
      </c>
      <c r="H40" s="103"/>
      <c r="I40" s="103">
        <f>7.3-2.6</f>
        <v>4.6999999999999993</v>
      </c>
      <c r="J40" s="103">
        <f>-3.5</f>
        <v>-3.5</v>
      </c>
      <c r="K40" s="103"/>
      <c r="L40" s="103"/>
      <c r="M40" s="103"/>
      <c r="N40" s="103"/>
      <c r="O40" s="103"/>
      <c r="P40" s="31"/>
      <c r="Q40" s="28" t="str">
        <f>A40</f>
        <v xml:space="preserve">     Other</v>
      </c>
      <c r="R40" s="33" t="e">
        <f>(B40/R$8)</f>
        <v>#REF!</v>
      </c>
      <c r="S40" s="33">
        <f>(C40/S$8)</f>
        <v>-5.2591968890798558E-4</v>
      </c>
      <c r="T40" s="33"/>
      <c r="U40" s="33"/>
      <c r="V40" s="33">
        <f t="shared" ref="V40:AB40" si="25">(F40/V$8)</f>
        <v>-5.4280055747084289E-3</v>
      </c>
      <c r="W40" s="33">
        <f t="shared" si="25"/>
        <v>-7.7919829153559796E-3</v>
      </c>
      <c r="X40" s="33">
        <f t="shared" si="25"/>
        <v>0</v>
      </c>
      <c r="Y40" s="33">
        <f t="shared" si="25"/>
        <v>4.1829832680669275E-3</v>
      </c>
      <c r="Z40" s="33">
        <f t="shared" si="25"/>
        <v>-2.930341594105827E-3</v>
      </c>
      <c r="AA40" s="33">
        <f t="shared" si="25"/>
        <v>0</v>
      </c>
      <c r="AB40" s="33">
        <f t="shared" si="25"/>
        <v>0</v>
      </c>
      <c r="AC40" s="33">
        <f t="shared" si="24"/>
        <v>-1.3078682482789757E-3</v>
      </c>
    </row>
    <row r="41" spans="1:29" ht="12.75" customHeight="1" x14ac:dyDescent="0.2">
      <c r="A41" s="30"/>
      <c r="B41" s="26"/>
      <c r="C41" s="103"/>
      <c r="D41" s="103"/>
      <c r="E41" s="103"/>
      <c r="F41" s="103"/>
      <c r="G41" s="103"/>
      <c r="H41" s="103"/>
      <c r="I41" s="103"/>
      <c r="J41" s="133"/>
      <c r="K41" s="133"/>
      <c r="L41" s="133"/>
      <c r="M41" s="133"/>
      <c r="N41" s="133"/>
      <c r="O41" s="133"/>
      <c r="P41" s="37"/>
      <c r="Q41" s="32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7"/>
    </row>
    <row r="42" spans="1:29" ht="15" x14ac:dyDescent="0.2">
      <c r="A42" s="30" t="s">
        <v>79</v>
      </c>
      <c r="B42" s="38">
        <f t="shared" ref="B42:H42" si="26">SUM(B33:B41)</f>
        <v>0</v>
      </c>
      <c r="C42" s="105">
        <f t="shared" si="26"/>
        <v>-435.29399999999998</v>
      </c>
      <c r="D42" s="105">
        <f t="shared" si="26"/>
        <v>-696.65800000000002</v>
      </c>
      <c r="E42" s="105">
        <f t="shared" si="26"/>
        <v>-881.5</v>
      </c>
      <c r="F42" s="105">
        <f t="shared" si="26"/>
        <v>-1385.1</v>
      </c>
      <c r="G42" s="105">
        <f t="shared" si="26"/>
        <v>-357</v>
      </c>
      <c r="H42" s="105">
        <f t="shared" si="26"/>
        <v>-249.8</v>
      </c>
      <c r="I42" s="105">
        <f t="shared" ref="I42:J42" si="27">SUM(I33:I41)</f>
        <v>-525.69999999999993</v>
      </c>
      <c r="J42" s="105">
        <f t="shared" si="27"/>
        <v>-370.9</v>
      </c>
      <c r="K42" s="105">
        <f t="shared" ref="K42:L42" si="28">SUM(K33:K41)</f>
        <v>-365.3</v>
      </c>
      <c r="L42" s="105">
        <f t="shared" si="28"/>
        <v>-508</v>
      </c>
      <c r="M42" s="105">
        <f t="shared" ref="M42:N42" si="29">SUM(M33:M41)</f>
        <v>-366.8</v>
      </c>
      <c r="N42" s="105">
        <f t="shared" si="29"/>
        <v>-335.5</v>
      </c>
      <c r="O42" s="105">
        <f t="shared" ref="O42" si="30">SUM(O33:O41)</f>
        <v>-69.099999999999994</v>
      </c>
      <c r="P42" s="31"/>
      <c r="Q42" s="32" t="s">
        <v>79</v>
      </c>
      <c r="R42" s="39" t="e">
        <f t="shared" ref="R42:AB42" si="31">B42/R$8</f>
        <v>#REF!</v>
      </c>
      <c r="S42" s="39">
        <f t="shared" si="31"/>
        <v>-0.22892968506351269</v>
      </c>
      <c r="T42" s="39">
        <f t="shared" si="31"/>
        <v>-0.2556648199852618</v>
      </c>
      <c r="U42" s="39">
        <f t="shared" si="31"/>
        <v>-0.31086895189730568</v>
      </c>
      <c r="V42" s="39">
        <f t="shared" si="31"/>
        <v>-0.5079953055086921</v>
      </c>
      <c r="W42" s="39">
        <f t="shared" si="31"/>
        <v>-0.10302732965859573</v>
      </c>
      <c r="X42" s="39">
        <f t="shared" si="31"/>
        <v>-0.22506532120010816</v>
      </c>
      <c r="Y42" s="39">
        <f t="shared" si="31"/>
        <v>-0.4678711285154859</v>
      </c>
      <c r="Z42" s="39">
        <f t="shared" si="31"/>
        <v>-0.31053248492967178</v>
      </c>
      <c r="AA42" s="39">
        <f t="shared" si="31"/>
        <v>-0.3324233324233325</v>
      </c>
      <c r="AB42" s="39">
        <f t="shared" si="31"/>
        <v>-0.4163934426229508</v>
      </c>
      <c r="AC42" s="33">
        <f>AVERAGE(W42:AA42)</f>
        <v>-0.28778391934543884</v>
      </c>
    </row>
    <row r="43" spans="1:29" ht="13.5" customHeight="1" x14ac:dyDescent="0.2">
      <c r="A43" s="30"/>
      <c r="B43" s="26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31"/>
      <c r="Q43" s="32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23"/>
    </row>
    <row r="44" spans="1:29" ht="15" x14ac:dyDescent="0.2">
      <c r="A44" s="24" t="s">
        <v>80</v>
      </c>
      <c r="B44" s="26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31"/>
      <c r="Q44" s="28" t="s">
        <v>80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23"/>
    </row>
    <row r="45" spans="1:29" ht="15" x14ac:dyDescent="0.2">
      <c r="A45" s="36" t="s">
        <v>99</v>
      </c>
      <c r="B45" s="26"/>
      <c r="C45" s="103">
        <f>29.145-4.778</f>
        <v>24.367000000000001</v>
      </c>
      <c r="D45" s="103">
        <f>16.941-9.736</f>
        <v>7.2049999999999983</v>
      </c>
      <c r="E45" s="103">
        <f>10.8-6.2</f>
        <v>4.6000000000000005</v>
      </c>
      <c r="F45" s="103">
        <v>5.9</v>
      </c>
      <c r="G45" s="103">
        <v>7.1</v>
      </c>
      <c r="H45" s="103">
        <v>16.3</v>
      </c>
      <c r="I45" s="103">
        <v>17.899999999999999</v>
      </c>
      <c r="J45" s="103">
        <v>7.6</v>
      </c>
      <c r="K45" s="103">
        <v>7.2</v>
      </c>
      <c r="L45" s="103">
        <v>2.2999999999999998</v>
      </c>
      <c r="M45" s="103">
        <v>2.9</v>
      </c>
      <c r="N45" s="103">
        <v>3.5</v>
      </c>
      <c r="O45" s="103">
        <v>0.7</v>
      </c>
      <c r="P45" s="31"/>
      <c r="Q45" s="28" t="str">
        <f t="shared" ref="Q45:Q53" si="32">A45</f>
        <v xml:space="preserve">     Issuance of Common Stock</v>
      </c>
      <c r="R45" s="33" t="e">
        <f t="shared" ref="R45:AB45" si="33">B45/R$8</f>
        <v>#REF!</v>
      </c>
      <c r="S45" s="33">
        <f t="shared" si="33"/>
        <v>1.2815085059620885E-2</v>
      </c>
      <c r="T45" s="33">
        <f t="shared" si="33"/>
        <v>2.6441453740484008E-3</v>
      </c>
      <c r="U45" s="33">
        <f t="shared" si="33"/>
        <v>1.6222316264635354E-3</v>
      </c>
      <c r="V45" s="33">
        <f t="shared" si="33"/>
        <v>2.1638670872148463E-3</v>
      </c>
      <c r="W45" s="33">
        <f t="shared" si="33"/>
        <v>2.0490029147787947E-3</v>
      </c>
      <c r="X45" s="33">
        <f t="shared" si="33"/>
        <v>1.4686007748445808E-2</v>
      </c>
      <c r="Y45" s="33">
        <f t="shared" si="33"/>
        <v>1.5930936276254894E-2</v>
      </c>
      <c r="Z45" s="33">
        <f t="shared" si="33"/>
        <v>6.3630274614869383E-3</v>
      </c>
      <c r="AA45" s="33">
        <f t="shared" si="33"/>
        <v>6.5520065520065533E-3</v>
      </c>
      <c r="AB45" s="33">
        <f t="shared" si="33"/>
        <v>1.8852459016393442E-3</v>
      </c>
      <c r="AC45" s="33">
        <f t="shared" ref="AC45:AC46" si="34">AVERAGE(W45:AA45)</f>
        <v>9.1161961905945974E-3</v>
      </c>
    </row>
    <row r="46" spans="1:29" ht="15" x14ac:dyDescent="0.2">
      <c r="A46" s="122" t="s">
        <v>153</v>
      </c>
      <c r="B46" s="26"/>
      <c r="C46" s="103"/>
      <c r="D46" s="103"/>
      <c r="E46" s="103"/>
      <c r="F46" s="103">
        <v>-10.199999999999999</v>
      </c>
      <c r="G46" s="103">
        <v>-15.3</v>
      </c>
      <c r="H46" s="103">
        <v>-7.2</v>
      </c>
      <c r="I46" s="103">
        <v>-11.1</v>
      </c>
      <c r="J46" s="103">
        <v>-4.9000000000000004</v>
      </c>
      <c r="K46" s="102">
        <v>-87.5</v>
      </c>
      <c r="L46" s="102">
        <v>-4.2</v>
      </c>
      <c r="M46" s="102">
        <v>-4.0999999999999996</v>
      </c>
      <c r="N46" s="102">
        <v>-23.3</v>
      </c>
      <c r="O46" s="102"/>
      <c r="P46" s="31"/>
      <c r="Q46" s="24" t="str">
        <f>+A46</f>
        <v xml:space="preserve">    Common Stock Repurchase</v>
      </c>
      <c r="R46" s="33"/>
      <c r="S46" s="33"/>
      <c r="T46" s="33"/>
      <c r="U46" s="33"/>
      <c r="V46" s="33">
        <f t="shared" ref="V46" si="35">F46/V$8</f>
        <v>-3.7409227609477005E-3</v>
      </c>
      <c r="W46" s="33">
        <f>G46/W$8</f>
        <v>-4.4154569853683883E-3</v>
      </c>
      <c r="X46" s="33">
        <f>H46/X$8</f>
        <v>-6.4870709072889455E-3</v>
      </c>
      <c r="Y46" s="33">
        <f>I46/Y$8</f>
        <v>-9.8789604841580635E-3</v>
      </c>
      <c r="Z46" s="33"/>
      <c r="AA46" s="33">
        <f>K46/AA$8</f>
        <v>-7.9625079625079628E-2</v>
      </c>
      <c r="AB46" s="33">
        <f>L46/AB$8</f>
        <v>-3.4426229508196723E-3</v>
      </c>
      <c r="AC46" s="33">
        <f t="shared" si="34"/>
        <v>-2.5101642000473757E-2</v>
      </c>
    </row>
    <row r="47" spans="1:29" ht="15" x14ac:dyDescent="0.2">
      <c r="A47" s="122" t="s">
        <v>173</v>
      </c>
      <c r="B47" s="2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>
        <v>-1.2</v>
      </c>
      <c r="P47" s="31"/>
      <c r="Q47" s="24" t="str">
        <f>+A47</f>
        <v xml:space="preserve">     Long-term Debt Issuance Costs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23"/>
    </row>
    <row r="48" spans="1:29" ht="15" x14ac:dyDescent="0.2">
      <c r="A48" s="36" t="s">
        <v>96</v>
      </c>
      <c r="B48" s="26"/>
      <c r="C48" s="103"/>
      <c r="D48" s="103">
        <v>250</v>
      </c>
      <c r="E48" s="103">
        <v>247</v>
      </c>
      <c r="F48" s="103">
        <v>100</v>
      </c>
      <c r="G48" s="103">
        <v>346.5</v>
      </c>
      <c r="H48" s="103">
        <v>50.8</v>
      </c>
      <c r="I48" s="103">
        <v>244.6</v>
      </c>
      <c r="J48" s="103">
        <v>174.9</v>
      </c>
      <c r="K48" s="103">
        <v>148.80000000000001</v>
      </c>
      <c r="L48" s="103">
        <v>147.30000000000001</v>
      </c>
      <c r="M48" s="103"/>
      <c r="N48" s="103"/>
      <c r="O48" s="103"/>
      <c r="P48" s="31"/>
      <c r="Q48" s="32" t="str">
        <f t="shared" si="32"/>
        <v xml:space="preserve">     Proceeds from long-term debt</v>
      </c>
      <c r="R48" s="33" t="e">
        <f t="shared" ref="R48:AB48" si="36">B48/R$8</f>
        <v>#REF!</v>
      </c>
      <c r="S48" s="33">
        <f t="shared" si="36"/>
        <v>0</v>
      </c>
      <c r="T48" s="33">
        <f t="shared" si="36"/>
        <v>9.1746890147411567E-2</v>
      </c>
      <c r="U48" s="33">
        <f t="shared" si="36"/>
        <v>8.7106785160107211E-2</v>
      </c>
      <c r="V48" s="33">
        <f t="shared" si="36"/>
        <v>3.6675713342624518E-2</v>
      </c>
      <c r="W48" s="33">
        <f t="shared" si="36"/>
        <v>9.9997114080401739E-2</v>
      </c>
      <c r="X48" s="33">
        <f t="shared" si="36"/>
        <v>4.5769889179205339E-2</v>
      </c>
      <c r="Y48" s="33">
        <f t="shared" si="36"/>
        <v>0.2176931292274831</v>
      </c>
      <c r="Z48" s="33">
        <f t="shared" si="36"/>
        <v>0.14643335565974547</v>
      </c>
      <c r="AA48" s="33">
        <f t="shared" si="36"/>
        <v>0.13540813540813543</v>
      </c>
      <c r="AB48" s="33">
        <f t="shared" si="36"/>
        <v>0.12073770491803279</v>
      </c>
      <c r="AC48" s="33">
        <f>AVERAGE(W48:AA48)</f>
        <v>0.12906032471099421</v>
      </c>
    </row>
    <row r="49" spans="1:29" ht="15" x14ac:dyDescent="0.2">
      <c r="A49" s="122" t="s">
        <v>174</v>
      </c>
      <c r="B49" s="26"/>
      <c r="C49" s="103"/>
      <c r="D49" s="103"/>
      <c r="E49" s="103"/>
      <c r="F49" s="103"/>
      <c r="G49" s="103">
        <v>-62.5</v>
      </c>
      <c r="H49" s="103">
        <v>12.2</v>
      </c>
      <c r="I49" s="103">
        <v>-52.9</v>
      </c>
      <c r="J49" s="103"/>
      <c r="K49" s="103"/>
      <c r="L49" s="103"/>
      <c r="M49" s="103"/>
      <c r="N49" s="103"/>
      <c r="O49" s="103"/>
      <c r="P49" s="31"/>
      <c r="Q49" s="32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23"/>
    </row>
    <row r="50" spans="1:29" ht="15" x14ac:dyDescent="0.2">
      <c r="A50" s="36" t="s">
        <v>97</v>
      </c>
      <c r="B50" s="26"/>
      <c r="C50" s="103">
        <v>-71.992999999999995</v>
      </c>
      <c r="D50" s="103">
        <v>-200.012</v>
      </c>
      <c r="E50" s="103">
        <v>-200</v>
      </c>
      <c r="F50" s="103">
        <v>-10</v>
      </c>
      <c r="G50" s="103">
        <v>-151.30000000000001</v>
      </c>
      <c r="H50" s="103">
        <v>-42</v>
      </c>
      <c r="I50" s="103"/>
      <c r="J50" s="103">
        <v>-182</v>
      </c>
      <c r="K50" s="103">
        <f>-91.5-0.8</f>
        <v>-92.3</v>
      </c>
      <c r="L50" s="103">
        <v>-42.7</v>
      </c>
      <c r="M50" s="103">
        <v>-0.9</v>
      </c>
      <c r="N50" s="103">
        <f>-25.1-1.2</f>
        <v>-26.3</v>
      </c>
      <c r="O50" s="103">
        <f>-250-0.3</f>
        <v>-250.3</v>
      </c>
      <c r="P50" s="31"/>
      <c r="Q50" s="32" t="str">
        <f t="shared" si="32"/>
        <v xml:space="preserve">     Long-term debt repaid</v>
      </c>
      <c r="R50" s="33" t="e">
        <f t="shared" ref="R50:X52" si="37">B50/R$8</f>
        <v>#REF!</v>
      </c>
      <c r="S50" s="33">
        <f t="shared" si="37"/>
        <v>-3.7862536163552604E-2</v>
      </c>
      <c r="T50" s="33">
        <f t="shared" si="37"/>
        <v>-7.3401915968656334E-2</v>
      </c>
      <c r="U50" s="33">
        <f t="shared" si="37"/>
        <v>-7.0531809846240662E-2</v>
      </c>
      <c r="V50" s="33">
        <f t="shared" si="37"/>
        <v>-3.6675713342624516E-3</v>
      </c>
      <c r="W50" s="33">
        <f t="shared" si="37"/>
        <v>-4.3663963521976289E-2</v>
      </c>
      <c r="X50" s="33">
        <f t="shared" si="37"/>
        <v>-3.7841246959185518E-2</v>
      </c>
      <c r="Y50" s="33"/>
      <c r="Z50" s="33">
        <f t="shared" ref="Z50:AB53" si="38">J50/Z$8</f>
        <v>-0.15237776289350299</v>
      </c>
      <c r="AA50" s="33">
        <f t="shared" si="38"/>
        <v>-8.3993083993084E-2</v>
      </c>
      <c r="AB50" s="33">
        <f t="shared" si="38"/>
        <v>-3.5000000000000003E-2</v>
      </c>
      <c r="AC50" s="33">
        <f t="shared" ref="AC50:AC53" si="39">AVERAGE(W50:AA50)</f>
        <v>-7.9469014341937205E-2</v>
      </c>
    </row>
    <row r="51" spans="1:29" ht="15" x14ac:dyDescent="0.2">
      <c r="A51" s="36" t="s">
        <v>138</v>
      </c>
      <c r="B51" s="26"/>
      <c r="C51" s="103">
        <v>-37.5</v>
      </c>
      <c r="D51" s="103">
        <v>26.5</v>
      </c>
      <c r="E51" s="103">
        <v>-54.5</v>
      </c>
      <c r="F51" s="103">
        <v>220.6</v>
      </c>
      <c r="G51" s="103">
        <f>-29.5+1.2</f>
        <v>-28.3</v>
      </c>
      <c r="H51" s="103">
        <f>-62.1-1.2</f>
        <v>-63.300000000000004</v>
      </c>
      <c r="I51" s="103">
        <v>73</v>
      </c>
      <c r="J51" s="103">
        <v>-23</v>
      </c>
      <c r="K51" s="103">
        <v>44</v>
      </c>
      <c r="L51" s="103">
        <v>13</v>
      </c>
      <c r="M51" s="103">
        <v>71</v>
      </c>
      <c r="N51" s="103">
        <v>110.6</v>
      </c>
      <c r="O51" s="103">
        <v>0.9</v>
      </c>
      <c r="P51" s="31"/>
      <c r="Q51" s="32" t="str">
        <f t="shared" si="32"/>
        <v xml:space="preserve">     Change in Short Term Debt</v>
      </c>
      <c r="R51" s="33" t="e">
        <f t="shared" si="37"/>
        <v>#REF!</v>
      </c>
      <c r="S51" s="33">
        <f t="shared" si="37"/>
        <v>-1.9721988334049461E-2</v>
      </c>
      <c r="T51" s="33">
        <f t="shared" si="37"/>
        <v>9.7251703556256262E-3</v>
      </c>
      <c r="U51" s="33">
        <f t="shared" si="37"/>
        <v>-1.9219918183100579E-2</v>
      </c>
      <c r="V51" s="33">
        <f t="shared" si="37"/>
        <v>8.090662363382968E-2</v>
      </c>
      <c r="W51" s="33">
        <f t="shared" si="37"/>
        <v>-8.1671524631323784E-3</v>
      </c>
      <c r="X51" s="33">
        <f t="shared" si="37"/>
        <v>-5.7032165059915318E-2</v>
      </c>
      <c r="Y51" s="33">
        <f>I51/Y$8</f>
        <v>6.4969740121039524E-2</v>
      </c>
      <c r="Z51" s="33">
        <f t="shared" si="38"/>
        <v>-1.9256530475552577E-2</v>
      </c>
      <c r="AA51" s="33">
        <f t="shared" si="38"/>
        <v>4.0040040040040047E-2</v>
      </c>
      <c r="AB51" s="33">
        <f t="shared" si="38"/>
        <v>1.0655737704918032E-2</v>
      </c>
      <c r="AC51" s="33">
        <f t="shared" si="39"/>
        <v>4.1107864324958594E-3</v>
      </c>
    </row>
    <row r="52" spans="1:29" ht="12.75" customHeight="1" x14ac:dyDescent="0.2">
      <c r="A52" s="30" t="s">
        <v>81</v>
      </c>
      <c r="B52" s="26"/>
      <c r="C52" s="103">
        <v>-71.363</v>
      </c>
      <c r="D52" s="103">
        <v>-75.616</v>
      </c>
      <c r="E52" s="103">
        <v>-79.7</v>
      </c>
      <c r="F52" s="103">
        <v>-83.7</v>
      </c>
      <c r="G52" s="103">
        <v>-85.4</v>
      </c>
      <c r="H52" s="103">
        <v>-87.9</v>
      </c>
      <c r="I52" s="103">
        <v>-94.8</v>
      </c>
      <c r="J52" s="103">
        <v>-110.1</v>
      </c>
      <c r="K52" s="103">
        <v>-117.4</v>
      </c>
      <c r="L52" s="103">
        <v>-124.6</v>
      </c>
      <c r="M52" s="103">
        <v>-131.9</v>
      </c>
      <c r="N52" s="103">
        <v>-148</v>
      </c>
      <c r="O52" s="103">
        <v>-38.700000000000003</v>
      </c>
      <c r="P52" s="31"/>
      <c r="Q52" s="32" t="str">
        <f t="shared" si="32"/>
        <v xml:space="preserve">     Dividends paid</v>
      </c>
      <c r="R52" s="33" t="e">
        <f t="shared" si="37"/>
        <v>#REF!</v>
      </c>
      <c r="S52" s="33">
        <f t="shared" si="37"/>
        <v>-3.7531206759540574E-2</v>
      </c>
      <c r="T52" s="33">
        <f t="shared" si="37"/>
        <v>-2.7750131381546691E-2</v>
      </c>
      <c r="U52" s="33">
        <f t="shared" si="37"/>
        <v>-2.8106926223726902E-2</v>
      </c>
      <c r="V52" s="33">
        <f t="shared" si="37"/>
        <v>-3.0697572067776721E-2</v>
      </c>
      <c r="W52" s="33">
        <f t="shared" si="37"/>
        <v>-2.4645753369311137E-2</v>
      </c>
      <c r="X52" s="33">
        <f t="shared" si="37"/>
        <v>-7.9196323993152545E-2</v>
      </c>
      <c r="Y52" s="33">
        <f>I52/Y$8</f>
        <v>-8.4371662513349946E-2</v>
      </c>
      <c r="Z52" s="33">
        <f t="shared" si="38"/>
        <v>-9.2180174146014718E-2</v>
      </c>
      <c r="AA52" s="33">
        <f t="shared" si="38"/>
        <v>-0.10683410683410685</v>
      </c>
      <c r="AB52" s="33">
        <f t="shared" si="38"/>
        <v>-0.1021311475409836</v>
      </c>
      <c r="AC52" s="33">
        <f t="shared" si="39"/>
        <v>-7.7445604171187038E-2</v>
      </c>
    </row>
    <row r="53" spans="1:29" ht="12.75" customHeight="1" x14ac:dyDescent="0.2">
      <c r="A53" s="30" t="s">
        <v>78</v>
      </c>
      <c r="B53" s="26"/>
      <c r="C53" s="103">
        <v>-0.255</v>
      </c>
      <c r="D53" s="103"/>
      <c r="E53" s="103">
        <f>12-1.7</f>
        <v>10.3</v>
      </c>
      <c r="F53" s="103">
        <v>11.1</v>
      </c>
      <c r="G53" s="103">
        <f>50+13.2</f>
        <v>63.2</v>
      </c>
      <c r="H53" s="103">
        <f>-50+3.6</f>
        <v>-46.4</v>
      </c>
      <c r="I53" s="103">
        <f>8.4</f>
        <v>8.4</v>
      </c>
      <c r="J53" s="103">
        <v>9.1999999999999993</v>
      </c>
      <c r="K53" s="103"/>
      <c r="L53" s="103">
        <v>14</v>
      </c>
      <c r="M53" s="103">
        <v>2.2000000000000002</v>
      </c>
      <c r="N53" s="103">
        <v>0.6</v>
      </c>
      <c r="O53" s="103">
        <v>0.1</v>
      </c>
      <c r="P53" s="31"/>
      <c r="Q53" s="32" t="str">
        <f t="shared" si="32"/>
        <v xml:space="preserve">     Other</v>
      </c>
      <c r="R53" s="33" t="e">
        <f>B53/R$8</f>
        <v>#REF!</v>
      </c>
      <c r="S53" s="33">
        <f>C53/S$8</f>
        <v>-1.3410952067153634E-4</v>
      </c>
      <c r="T53" s="33"/>
      <c r="U53" s="33">
        <f>E53/U$8</f>
        <v>3.632388207081394E-3</v>
      </c>
      <c r="V53" s="33">
        <f>F53/V$8</f>
        <v>4.0710041810313215E-3</v>
      </c>
      <c r="W53" s="33">
        <f>G53/W$8</f>
        <v>1.8239011861129552E-2</v>
      </c>
      <c r="X53" s="33">
        <f>H53/X$8</f>
        <v>-4.1805568069195428E-2</v>
      </c>
      <c r="Y53" s="33">
        <f>I53/Y$8</f>
        <v>7.4759700961196168E-3</v>
      </c>
      <c r="Z53" s="33">
        <f t="shared" si="38"/>
        <v>7.7026121902210301E-3</v>
      </c>
      <c r="AA53" s="33">
        <f t="shared" si="38"/>
        <v>0</v>
      </c>
      <c r="AB53" s="33">
        <f t="shared" si="38"/>
        <v>1.1475409836065573E-2</v>
      </c>
      <c r="AC53" s="33">
        <f t="shared" si="39"/>
        <v>-1.6775947843450454E-3</v>
      </c>
    </row>
    <row r="54" spans="1:29" ht="12.75" customHeight="1" x14ac:dyDescent="0.2">
      <c r="A54" s="30"/>
      <c r="B54" s="26"/>
      <c r="C54" s="103"/>
      <c r="D54" s="103"/>
      <c r="E54" s="103"/>
      <c r="F54" s="103"/>
      <c r="G54" s="103"/>
      <c r="H54" s="103"/>
      <c r="I54" s="103"/>
      <c r="J54" s="133"/>
      <c r="K54" s="133"/>
      <c r="L54" s="133"/>
      <c r="M54" s="133"/>
      <c r="N54" s="133"/>
      <c r="O54" s="133"/>
      <c r="P54" s="37"/>
      <c r="Q54" s="32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7"/>
    </row>
    <row r="55" spans="1:29" ht="12.75" customHeight="1" x14ac:dyDescent="0.2">
      <c r="A55" s="30" t="s">
        <v>82</v>
      </c>
      <c r="B55" s="40">
        <f t="shared" ref="B55:G55" si="40">SUM(B44:B54)</f>
        <v>0</v>
      </c>
      <c r="C55" s="106">
        <f t="shared" si="40"/>
        <v>-156.74399999999997</v>
      </c>
      <c r="D55" s="106">
        <f t="shared" si="40"/>
        <v>8.076999999999984</v>
      </c>
      <c r="E55" s="106">
        <f t="shared" si="40"/>
        <v>-72.300000000000011</v>
      </c>
      <c r="F55" s="106">
        <f t="shared" si="40"/>
        <v>233.70000000000002</v>
      </c>
      <c r="G55" s="106">
        <f t="shared" si="40"/>
        <v>74</v>
      </c>
      <c r="H55" s="106">
        <f t="shared" ref="H55:I55" si="41">SUM(H44:H54)</f>
        <v>-167.50000000000003</v>
      </c>
      <c r="I55" s="106">
        <f t="shared" si="41"/>
        <v>185.1</v>
      </c>
      <c r="J55" s="106">
        <f t="shared" ref="J55:K55" si="42">SUM(J44:J54)</f>
        <v>-128.30000000000001</v>
      </c>
      <c r="K55" s="106">
        <f t="shared" si="42"/>
        <v>-97.199999999999989</v>
      </c>
      <c r="L55" s="106">
        <f t="shared" ref="L55:M55" si="43">SUM(L44:L54)</f>
        <v>5.1000000000000085</v>
      </c>
      <c r="M55" s="106">
        <f t="shared" si="43"/>
        <v>-60.8</v>
      </c>
      <c r="N55" s="106">
        <f t="shared" ref="N55" si="44">SUM(N44:N54)</f>
        <v>-82.9</v>
      </c>
      <c r="O55" s="106">
        <f t="shared" ref="O55" si="45">SUM(O44:O54)</f>
        <v>-288.5</v>
      </c>
      <c r="P55" s="31"/>
      <c r="Q55" s="32" t="s">
        <v>82</v>
      </c>
      <c r="R55" s="39" t="e">
        <f t="shared" ref="R55:AB55" si="46">B55/R$8</f>
        <v>#REF!</v>
      </c>
      <c r="S55" s="39">
        <f t="shared" si="46"/>
        <v>-8.2434755718193281E-2</v>
      </c>
      <c r="T55" s="39">
        <f t="shared" si="46"/>
        <v>2.9641585268825668E-3</v>
      </c>
      <c r="U55" s="39">
        <f t="shared" si="46"/>
        <v>-2.5497249259416002E-2</v>
      </c>
      <c r="V55" s="39">
        <f t="shared" si="46"/>
        <v>8.5711142081713501E-2</v>
      </c>
      <c r="W55" s="39">
        <f t="shared" si="46"/>
        <v>2.1355805027271944E-2</v>
      </c>
      <c r="X55" s="39">
        <f t="shared" si="46"/>
        <v>-0.1509144968015137</v>
      </c>
      <c r="Y55" s="39">
        <f t="shared" si="46"/>
        <v>0.16473834104663582</v>
      </c>
      <c r="Z55" s="39">
        <f t="shared" si="46"/>
        <v>-0.10741795043536503</v>
      </c>
      <c r="AA55" s="39">
        <f t="shared" si="46"/>
        <v>-8.8452088452088448E-2</v>
      </c>
      <c r="AB55" s="39">
        <f t="shared" si="46"/>
        <v>4.1803278688524658E-3</v>
      </c>
      <c r="AC55" s="33">
        <f>AVERAGE(W55:AA55)</f>
        <v>-3.213807792301189E-2</v>
      </c>
    </row>
    <row r="56" spans="1:29" ht="12.75" customHeight="1" x14ac:dyDescent="0.2">
      <c r="A56" s="30"/>
      <c r="B56" s="26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37"/>
      <c r="Q56" s="3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7"/>
    </row>
    <row r="57" spans="1:29" ht="12.75" customHeight="1" x14ac:dyDescent="0.2">
      <c r="A57" s="30" t="s">
        <v>83</v>
      </c>
      <c r="B57" s="41">
        <f t="shared" ref="B57:F57" si="47">B31+B42+B55</f>
        <v>0</v>
      </c>
      <c r="C57" s="107">
        <f t="shared" si="47"/>
        <v>-10.254100000000278</v>
      </c>
      <c r="D57" s="107">
        <f t="shared" si="47"/>
        <v>9.678999999999732</v>
      </c>
      <c r="E57" s="107">
        <f t="shared" si="47"/>
        <v>11.20000000000033</v>
      </c>
      <c r="F57" s="107">
        <f t="shared" si="47"/>
        <v>-10.399999999999437</v>
      </c>
      <c r="G57" s="107">
        <f t="shared" ref="G57:H57" si="48">G31+G42+G55</f>
        <v>-11.500000000000682</v>
      </c>
      <c r="H57" s="107">
        <f t="shared" si="48"/>
        <v>11.499999999999972</v>
      </c>
      <c r="I57" s="107">
        <f t="shared" ref="I57:J57" si="49">I31+I42+I55</f>
        <v>10.30000000000004</v>
      </c>
      <c r="J57" s="107">
        <f t="shared" si="49"/>
        <v>-10.199999999999818</v>
      </c>
      <c r="K57" s="107">
        <f t="shared" ref="K57:L57" si="50">K31+K42+K55</f>
        <v>5.1999999999998749</v>
      </c>
      <c r="L57" s="107">
        <f t="shared" si="50"/>
        <v>-0.80000000000002558</v>
      </c>
      <c r="M57" s="107">
        <f t="shared" ref="M57:N57" si="51">M31+M42+M55</f>
        <v>15.999999999999503</v>
      </c>
      <c r="N57" s="107">
        <f t="shared" si="51"/>
        <v>-6.9999999999998579</v>
      </c>
      <c r="O57" s="107">
        <f t="shared" ref="O57" si="52">O31+O42+O55</f>
        <v>-24.600000000000023</v>
      </c>
      <c r="P57" s="31"/>
      <c r="Q57" s="32" t="s">
        <v>83</v>
      </c>
      <c r="R57" s="39" t="e">
        <f t="shared" ref="R57:AB57" si="53">B57/R$8</f>
        <v>#REF!</v>
      </c>
      <c r="S57" s="39">
        <f t="shared" si="53"/>
        <v>-5.3928330820315219E-3</v>
      </c>
      <c r="T57" s="39">
        <f t="shared" si="53"/>
        <v>3.552072598947088E-3</v>
      </c>
      <c r="U57" s="39">
        <f t="shared" si="53"/>
        <v>3.9497813513895931E-3</v>
      </c>
      <c r="V57" s="39">
        <f t="shared" si="53"/>
        <v>-3.814274187632743E-3</v>
      </c>
      <c r="W57" s="39">
        <f t="shared" si="53"/>
        <v>-3.318807538022188E-3</v>
      </c>
      <c r="X57" s="39">
        <f t="shared" si="53"/>
        <v>1.0361293810253152E-2</v>
      </c>
      <c r="Y57" s="39">
        <f t="shared" si="53"/>
        <v>9.1669633321467079E-3</v>
      </c>
      <c r="Z57" s="39">
        <f t="shared" si="53"/>
        <v>-8.5398526456796856E-3</v>
      </c>
      <c r="AA57" s="39">
        <f t="shared" si="53"/>
        <v>4.732004732004619E-3</v>
      </c>
      <c r="AB57" s="39">
        <f t="shared" si="53"/>
        <v>-6.5573770491805371E-4</v>
      </c>
      <c r="AC57" s="33">
        <f>AVERAGE(W57:AA57)</f>
        <v>2.4803203381405215E-3</v>
      </c>
    </row>
    <row r="58" spans="1:29" ht="12.75" customHeight="1" x14ac:dyDescent="0.2">
      <c r="A58" s="30"/>
      <c r="B58" s="26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31"/>
      <c r="Q58" s="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23"/>
    </row>
    <row r="59" spans="1:29" ht="12.75" customHeight="1" x14ac:dyDescent="0.2">
      <c r="A59" s="30" t="s">
        <v>177</v>
      </c>
      <c r="B59" s="26"/>
      <c r="C59" s="103"/>
      <c r="D59" s="103"/>
      <c r="E59" s="103"/>
      <c r="F59" s="103"/>
      <c r="G59" s="103">
        <v>-22.4</v>
      </c>
      <c r="H59" s="103">
        <v>5.8</v>
      </c>
      <c r="I59" s="103">
        <v>19.3</v>
      </c>
      <c r="J59" s="103"/>
      <c r="K59" s="103"/>
      <c r="L59" s="103"/>
      <c r="M59" s="103"/>
      <c r="N59" s="103"/>
      <c r="O59" s="103"/>
      <c r="P59" s="31"/>
      <c r="Q59" s="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23"/>
    </row>
    <row r="60" spans="1:29" ht="12" customHeight="1" x14ac:dyDescent="0.2">
      <c r="A60" s="30"/>
      <c r="B60" s="26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37"/>
      <c r="Q60" s="32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7"/>
    </row>
    <row r="61" spans="1:29" ht="12.75" customHeight="1" x14ac:dyDescent="0.2">
      <c r="A61" s="30" t="s">
        <v>84</v>
      </c>
      <c r="B61" s="41" t="e">
        <f>#REF!</f>
        <v>#REF!</v>
      </c>
      <c r="C61" s="107">
        <f>B63</f>
        <v>0</v>
      </c>
      <c r="D61" s="107">
        <f>C63</f>
        <v>3.681</v>
      </c>
      <c r="E61" s="107">
        <f>D63</f>
        <v>13.359999999999733</v>
      </c>
      <c r="F61" s="107">
        <f>E63</f>
        <v>24.560000000000063</v>
      </c>
      <c r="G61" s="107">
        <f>+F63</f>
        <v>11.5</v>
      </c>
      <c r="H61" s="107">
        <f>+G63</f>
        <v>-6.8212102632969618E-13</v>
      </c>
      <c r="I61" s="107">
        <f t="shared" ref="I61:N61" si="54">H63</f>
        <v>11.499999999999289</v>
      </c>
      <c r="J61" s="107">
        <f t="shared" si="54"/>
        <v>21.799999999999329</v>
      </c>
      <c r="K61" s="107">
        <f t="shared" si="54"/>
        <v>11.599999999999511</v>
      </c>
      <c r="L61" s="107">
        <f t="shared" si="54"/>
        <v>16.799999999999386</v>
      </c>
      <c r="M61" s="107">
        <f t="shared" si="54"/>
        <v>15.999999999999361</v>
      </c>
      <c r="N61" s="107">
        <f t="shared" si="54"/>
        <v>31.999999999998863</v>
      </c>
      <c r="O61" s="107">
        <f>N63</f>
        <v>24.999999999999005</v>
      </c>
      <c r="P61" s="31"/>
      <c r="Q61" s="32" t="s">
        <v>84</v>
      </c>
      <c r="R61" s="39" t="e">
        <f t="shared" ref="R61:AB61" si="55">B61/R$8</f>
        <v>#REF!</v>
      </c>
      <c r="S61" s="39">
        <f t="shared" si="55"/>
        <v>0</v>
      </c>
      <c r="T61" s="39">
        <f t="shared" si="55"/>
        <v>1.350881210530488E-3</v>
      </c>
      <c r="U61" s="39">
        <f t="shared" si="55"/>
        <v>4.7115248977287819E-3</v>
      </c>
      <c r="V61" s="39">
        <f t="shared" si="55"/>
        <v>9.0075551969486037E-3</v>
      </c>
      <c r="W61" s="39">
        <f t="shared" si="55"/>
        <v>3.3188075380219911E-3</v>
      </c>
      <c r="X61" s="39">
        <f t="shared" si="55"/>
        <v>-6.1457881460464573E-16</v>
      </c>
      <c r="Y61" s="39">
        <f t="shared" si="55"/>
        <v>1.0234959060163128E-2</v>
      </c>
      <c r="Z61" s="39">
        <f t="shared" si="55"/>
        <v>1.8251841929001447E-2</v>
      </c>
      <c r="AA61" s="39">
        <f t="shared" si="55"/>
        <v>1.0556010556010112E-2</v>
      </c>
      <c r="AB61" s="39">
        <f t="shared" si="55"/>
        <v>1.3770491803278185E-2</v>
      </c>
      <c r="AC61" s="33">
        <f>AVERAGE(W61:AA61)</f>
        <v>8.4723238166392115E-3</v>
      </c>
    </row>
    <row r="62" spans="1:29" ht="12" customHeight="1" x14ac:dyDescent="0.2">
      <c r="A62" s="30"/>
      <c r="B62" s="2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37"/>
      <c r="Q62" s="32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7"/>
    </row>
    <row r="63" spans="1:29" ht="12.75" customHeight="1" thickBot="1" x14ac:dyDescent="0.25">
      <c r="A63" s="30" t="s">
        <v>85</v>
      </c>
      <c r="B63" s="41"/>
      <c r="C63" s="107">
        <v>3.681</v>
      </c>
      <c r="D63" s="107">
        <f>D57+D61</f>
        <v>13.359999999999733</v>
      </c>
      <c r="E63" s="107">
        <f>E57+E61</f>
        <v>24.560000000000063</v>
      </c>
      <c r="F63" s="107">
        <v>11.5</v>
      </c>
      <c r="G63" s="107">
        <f t="shared" ref="G63:L63" si="56">G57+G61</f>
        <v>-6.8212102632969618E-13</v>
      </c>
      <c r="H63" s="107">
        <f t="shared" si="56"/>
        <v>11.499999999999289</v>
      </c>
      <c r="I63" s="107">
        <f t="shared" si="56"/>
        <v>21.799999999999329</v>
      </c>
      <c r="J63" s="107">
        <f t="shared" si="56"/>
        <v>11.599999999999511</v>
      </c>
      <c r="K63" s="107">
        <f t="shared" si="56"/>
        <v>16.799999999999386</v>
      </c>
      <c r="L63" s="107">
        <f t="shared" si="56"/>
        <v>15.999999999999361</v>
      </c>
      <c r="M63" s="107">
        <f t="shared" ref="M63:N63" si="57">M57+M61</f>
        <v>31.999999999998863</v>
      </c>
      <c r="N63" s="107">
        <f t="shared" si="57"/>
        <v>24.999999999999005</v>
      </c>
      <c r="O63" s="107">
        <f t="shared" ref="O63" si="58">O57+O61</f>
        <v>0.3999999999989825</v>
      </c>
      <c r="P63" s="31"/>
      <c r="Q63" s="32" t="s">
        <v>85</v>
      </c>
      <c r="R63" s="39" t="e">
        <f t="shared" ref="R63:AB63" si="59">B63/R$8</f>
        <v>#REF!</v>
      </c>
      <c r="S63" s="39">
        <f t="shared" si="59"/>
        <v>1.9359103748702951E-3</v>
      </c>
      <c r="T63" s="39">
        <f t="shared" si="59"/>
        <v>4.9029538094775759E-3</v>
      </c>
      <c r="U63" s="39">
        <f t="shared" si="59"/>
        <v>8.6613062491183741E-3</v>
      </c>
      <c r="V63" s="39">
        <f t="shared" si="59"/>
        <v>4.2177070344018193E-3</v>
      </c>
      <c r="W63" s="39">
        <f t="shared" si="59"/>
        <v>-1.9685464382837329E-16</v>
      </c>
      <c r="X63" s="39">
        <f t="shared" si="59"/>
        <v>1.0361293810252538E-2</v>
      </c>
      <c r="Y63" s="39">
        <f t="shared" si="59"/>
        <v>1.9401922392309836E-2</v>
      </c>
      <c r="Z63" s="39">
        <f t="shared" si="59"/>
        <v>9.7119892833217609E-3</v>
      </c>
      <c r="AA63" s="39">
        <f t="shared" si="59"/>
        <v>1.528801528801473E-2</v>
      </c>
      <c r="AB63" s="39">
        <f t="shared" si="59"/>
        <v>1.3114754098360132E-2</v>
      </c>
      <c r="AC63" s="33">
        <f>AVERAGE(W63:AA63)</f>
        <v>1.0952644154779733E-2</v>
      </c>
    </row>
    <row r="64" spans="1:29" ht="12.75" customHeight="1" thickTop="1" x14ac:dyDescent="0.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4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</row>
  </sheetData>
  <mergeCells count="7">
    <mergeCell ref="B6:C6"/>
    <mergeCell ref="Q3:AB3"/>
    <mergeCell ref="Q4:AB4"/>
    <mergeCell ref="Q5:AB5"/>
    <mergeCell ref="A3:O3"/>
    <mergeCell ref="A4:O4"/>
    <mergeCell ref="A5:O5"/>
  </mergeCells>
  <phoneticPr fontId="0" type="noConversion"/>
  <printOptions horizontalCentered="1"/>
  <pageMargins left="0.75" right="0.75" top="1" bottom="1" header="0.5" footer="0.5"/>
  <pageSetup scale="70" fitToWidth="2" orientation="portrait" r:id="rId1"/>
  <headerFooter alignWithMargins="0"/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laurieharris</cp:lastModifiedBy>
  <cp:lastPrinted>2016-07-06T18:21:26Z</cp:lastPrinted>
  <dcterms:created xsi:type="dcterms:W3CDTF">2005-09-19T14:11:29Z</dcterms:created>
  <dcterms:modified xsi:type="dcterms:W3CDTF">2016-07-07T22:03:08Z</dcterms:modified>
</cp:coreProperties>
</file>