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6docs\1605701\"/>
    </mc:Choice>
  </mc:AlternateContent>
  <bookViews>
    <workbookView xWindow="0" yWindow="0" windowWidth="19200" windowHeight="12180"/>
  </bookViews>
  <sheets>
    <sheet name="Historical" sheetId="1" r:id="rId1"/>
    <sheet name="Cash Flow" sheetId="11" r:id="rId2"/>
  </sheets>
  <definedNames>
    <definedName name="_xlnm.Print_Area" localSheetId="0">Historical!$A$1:$J$172</definedName>
  </definedNames>
  <calcPr calcId="152511"/>
</workbook>
</file>

<file path=xl/calcChain.xml><?xml version="1.0" encoding="utf-8"?>
<calcChain xmlns="http://schemas.openxmlformats.org/spreadsheetml/2006/main">
  <c r="G1" i="11" l="1"/>
  <c r="A3" i="11"/>
  <c r="J83" i="1"/>
  <c r="J125" i="1" s="1"/>
  <c r="I155" i="1" l="1"/>
  <c r="I154" i="1"/>
  <c r="I146" i="1"/>
  <c r="I136" i="1"/>
  <c r="I122" i="1"/>
  <c r="I103" i="1"/>
  <c r="I104" i="1" s="1"/>
  <c r="I142" i="1" s="1"/>
  <c r="I62" i="1"/>
  <c r="I166" i="1" s="1"/>
  <c r="I35" i="1"/>
  <c r="I30" i="1"/>
  <c r="I165" i="1" l="1"/>
  <c r="I167" i="1"/>
  <c r="I70" i="1"/>
  <c r="I161" i="1"/>
  <c r="I162" i="1"/>
  <c r="J121" i="1"/>
  <c r="J120" i="1"/>
  <c r="J122" i="1" l="1"/>
  <c r="H155" i="1"/>
  <c r="H154" i="1"/>
  <c r="H146" i="1"/>
  <c r="H136" i="1"/>
  <c r="J11" i="1" l="1"/>
  <c r="E113" i="1" l="1"/>
  <c r="H122" i="1"/>
  <c r="G122" i="1"/>
  <c r="F122" i="1"/>
  <c r="E122" i="1"/>
  <c r="D122" i="1"/>
  <c r="C122" i="1"/>
  <c r="G146" i="1" l="1"/>
  <c r="H30" i="1"/>
  <c r="F30" i="1"/>
  <c r="B30" i="1"/>
  <c r="G30" i="1"/>
  <c r="L8" i="11" l="1"/>
  <c r="J76" i="1"/>
  <c r="J74" i="1"/>
  <c r="J69" i="1"/>
  <c r="J68" i="1"/>
  <c r="J67" i="1"/>
  <c r="J66" i="1"/>
  <c r="J65" i="1"/>
  <c r="J64" i="1"/>
  <c r="J59" i="1"/>
  <c r="J54" i="1"/>
  <c r="J53" i="1"/>
  <c r="J52" i="1"/>
  <c r="J51" i="1"/>
  <c r="J42" i="1"/>
  <c r="J41" i="1"/>
  <c r="J40" i="1"/>
  <c r="J39" i="1"/>
  <c r="J38" i="1"/>
  <c r="J34" i="1"/>
  <c r="J33" i="1"/>
  <c r="J28" i="1"/>
  <c r="J27" i="1"/>
  <c r="J22" i="1"/>
  <c r="J21" i="1"/>
  <c r="J18" i="1"/>
  <c r="J17" i="1"/>
  <c r="J16" i="1"/>
  <c r="J15" i="1"/>
  <c r="J13" i="1"/>
  <c r="C155" i="1"/>
  <c r="C154" i="1"/>
  <c r="C146" i="1"/>
  <c r="C136" i="1"/>
  <c r="B75" i="1"/>
  <c r="B77" i="1" s="1"/>
  <c r="B79" i="1" s="1"/>
  <c r="B60" i="1"/>
  <c r="B62" i="1" s="1"/>
  <c r="B70" i="1" s="1"/>
  <c r="B56" i="1"/>
  <c r="B57" i="1" s="1"/>
  <c r="C75" i="1"/>
  <c r="C60" i="1"/>
  <c r="J60" i="1" s="1"/>
  <c r="C56" i="1"/>
  <c r="B23" i="1"/>
  <c r="B24" i="1" s="1"/>
  <c r="C29" i="1"/>
  <c r="C30" i="1" s="1"/>
  <c r="J30" i="1" s="1"/>
  <c r="B108" i="1"/>
  <c r="B103" i="1"/>
  <c r="B104" i="1" s="1"/>
  <c r="B45" i="1"/>
  <c r="B35" i="1"/>
  <c r="B8" i="1"/>
  <c r="B90" i="1" s="1"/>
  <c r="B131" i="1" s="1"/>
  <c r="D75" i="1"/>
  <c r="D59" i="1"/>
  <c r="E75" i="1"/>
  <c r="E50" i="1"/>
  <c r="D33" i="1"/>
  <c r="D29" i="1"/>
  <c r="D30" i="1" s="1"/>
  <c r="E33" i="1"/>
  <c r="E29" i="1"/>
  <c r="E30" i="1" s="1"/>
  <c r="C103" i="1"/>
  <c r="F155" i="1"/>
  <c r="E155" i="1"/>
  <c r="D155" i="1"/>
  <c r="G155" i="1"/>
  <c r="F154" i="1"/>
  <c r="E154" i="1"/>
  <c r="D154" i="1"/>
  <c r="G154" i="1"/>
  <c r="F146" i="1"/>
  <c r="E146" i="1"/>
  <c r="D146" i="1"/>
  <c r="G136" i="1"/>
  <c r="F136" i="1"/>
  <c r="E136" i="1"/>
  <c r="D136" i="1"/>
  <c r="J75" i="1" l="1"/>
  <c r="J29" i="1"/>
  <c r="B110" i="1"/>
  <c r="B115" i="1" s="1"/>
  <c r="B117" i="1" s="1"/>
  <c r="B71" i="1"/>
  <c r="B80" i="1" s="1"/>
  <c r="B46" i="1"/>
  <c r="B47" i="1" s="1"/>
  <c r="B48" i="1" l="1"/>
  <c r="F45" i="1" l="1"/>
  <c r="E45" i="1"/>
  <c r="D45" i="1"/>
  <c r="C45" i="1"/>
  <c r="H45" i="1"/>
  <c r="G45" i="1"/>
  <c r="G35" i="1"/>
  <c r="F35" i="1"/>
  <c r="G157" i="1" s="1"/>
  <c r="E35" i="1"/>
  <c r="D35" i="1"/>
  <c r="C35" i="1"/>
  <c r="H35" i="1"/>
  <c r="I157" i="1" s="1"/>
  <c r="H157" i="1" l="1"/>
  <c r="E157" i="1"/>
  <c r="D157" i="1"/>
  <c r="C157" i="1"/>
  <c r="F157" i="1"/>
  <c r="J35" i="1"/>
  <c r="E46" i="1"/>
  <c r="C46" i="1"/>
  <c r="D46" i="1"/>
  <c r="H46" i="1"/>
  <c r="F46" i="1"/>
  <c r="G46" i="1"/>
  <c r="F62" i="1" l="1"/>
  <c r="E62" i="1"/>
  <c r="D62" i="1"/>
  <c r="C62" i="1"/>
  <c r="H62" i="1"/>
  <c r="G62" i="1"/>
  <c r="A88" i="1"/>
  <c r="C161" i="1" l="1"/>
  <c r="C166" i="1"/>
  <c r="C165" i="1"/>
  <c r="C167" i="1"/>
  <c r="C162" i="1"/>
  <c r="D166" i="1"/>
  <c r="D165" i="1"/>
  <c r="D161" i="1"/>
  <c r="D167" i="1"/>
  <c r="D162" i="1"/>
  <c r="G161" i="1"/>
  <c r="G167" i="1"/>
  <c r="G166" i="1"/>
  <c r="G165" i="1"/>
  <c r="G162" i="1"/>
  <c r="E166" i="1"/>
  <c r="E161" i="1"/>
  <c r="E167" i="1"/>
  <c r="E162" i="1"/>
  <c r="E165" i="1"/>
  <c r="H161" i="1"/>
  <c r="H70" i="1"/>
  <c r="J70" i="1" s="1"/>
  <c r="H167" i="1"/>
  <c r="H166" i="1"/>
  <c r="H162" i="1"/>
  <c r="H165" i="1"/>
  <c r="F165" i="1"/>
  <c r="F162" i="1"/>
  <c r="F167" i="1"/>
  <c r="F161" i="1"/>
  <c r="F166" i="1"/>
  <c r="J62" i="1"/>
  <c r="C70" i="1"/>
  <c r="D70" i="1"/>
  <c r="G70" i="1"/>
  <c r="E70" i="1"/>
  <c r="F70" i="1"/>
  <c r="J162" i="1" l="1"/>
  <c r="J161" i="1"/>
  <c r="I45" i="1" l="1"/>
  <c r="I46" i="1" s="1"/>
  <c r="H7" i="11" l="1"/>
  <c r="J99" i="1"/>
  <c r="J97" i="1"/>
  <c r="J96" i="1"/>
  <c r="J95" i="1"/>
  <c r="J92" i="1"/>
  <c r="J12" i="1"/>
  <c r="D108" i="1"/>
  <c r="F49" i="11"/>
  <c r="H68" i="11"/>
  <c r="G68" i="11"/>
  <c r="F68" i="11"/>
  <c r="E68" i="11"/>
  <c r="D68" i="11"/>
  <c r="C68" i="11"/>
  <c r="H49" i="11"/>
  <c r="G49" i="11"/>
  <c r="E49" i="11"/>
  <c r="D49" i="11"/>
  <c r="C49" i="11"/>
  <c r="F108" i="1"/>
  <c r="G108" i="1"/>
  <c r="H108" i="1" l="1"/>
  <c r="J112" i="1"/>
  <c r="J44" i="1"/>
  <c r="J106" i="1"/>
  <c r="E108" i="1"/>
  <c r="J56" i="1"/>
  <c r="G77" i="1"/>
  <c r="F77" i="1"/>
  <c r="E77" i="1"/>
  <c r="D77" i="1"/>
  <c r="G57" i="1"/>
  <c r="G135" i="1" s="1"/>
  <c r="F57" i="1"/>
  <c r="E57" i="1"/>
  <c r="D57" i="1"/>
  <c r="D135" i="1" s="1"/>
  <c r="G24" i="1"/>
  <c r="F24" i="1"/>
  <c r="G156" i="1" s="1"/>
  <c r="E24" i="1"/>
  <c r="D24" i="1"/>
  <c r="H103" i="1"/>
  <c r="G103" i="1"/>
  <c r="G104" i="1" s="1"/>
  <c r="G142" i="1" s="1"/>
  <c r="F103" i="1"/>
  <c r="F104" i="1" s="1"/>
  <c r="E103" i="1"/>
  <c r="E104" i="1" s="1"/>
  <c r="D103" i="1"/>
  <c r="D104" i="1" s="1"/>
  <c r="E156" i="1" l="1"/>
  <c r="F156" i="1"/>
  <c r="E135" i="1"/>
  <c r="E134" i="1"/>
  <c r="D47" i="1"/>
  <c r="D134" i="1"/>
  <c r="D140" i="1"/>
  <c r="D141" i="1"/>
  <c r="D139" i="1"/>
  <c r="E47" i="1"/>
  <c r="E140" i="1"/>
  <c r="E141" i="1"/>
  <c r="E139" i="1"/>
  <c r="F47" i="1"/>
  <c r="F143" i="1" s="1"/>
  <c r="F134" i="1"/>
  <c r="F71" i="1"/>
  <c r="F135" i="1"/>
  <c r="F141" i="1"/>
  <c r="F139" i="1"/>
  <c r="F140" i="1"/>
  <c r="G47" i="1"/>
  <c r="G134" i="1"/>
  <c r="G140" i="1"/>
  <c r="G141" i="1"/>
  <c r="G139" i="1"/>
  <c r="G79" i="1"/>
  <c r="D79" i="1"/>
  <c r="E79" i="1"/>
  <c r="F79" i="1"/>
  <c r="H104" i="1"/>
  <c r="J45" i="1"/>
  <c r="J146" i="1"/>
  <c r="J23" i="1"/>
  <c r="H77" i="1"/>
  <c r="H24" i="1"/>
  <c r="J50" i="1"/>
  <c r="H57" i="1"/>
  <c r="H135" i="1" s="1"/>
  <c r="E71" i="1"/>
  <c r="D71" i="1"/>
  <c r="E142" i="1"/>
  <c r="G71" i="1"/>
  <c r="H134" i="1" l="1"/>
  <c r="H142" i="1"/>
  <c r="H139" i="1"/>
  <c r="J139" i="1" s="1"/>
  <c r="H141" i="1"/>
  <c r="J141" i="1" s="1"/>
  <c r="H140" i="1"/>
  <c r="J140" i="1" s="1"/>
  <c r="H156" i="1"/>
  <c r="E158" i="1"/>
  <c r="E143" i="1"/>
  <c r="F158" i="1"/>
  <c r="G143" i="1"/>
  <c r="G158" i="1"/>
  <c r="J134" i="1"/>
  <c r="H71" i="1"/>
  <c r="J135" i="1"/>
  <c r="D143" i="1"/>
  <c r="H47" i="1"/>
  <c r="G80" i="1"/>
  <c r="G48" i="1" s="1"/>
  <c r="E80" i="1"/>
  <c r="E48" i="1" s="1"/>
  <c r="J167" i="1"/>
  <c r="J166" i="1"/>
  <c r="J165" i="1"/>
  <c r="F80" i="1"/>
  <c r="F48" i="1" s="1"/>
  <c r="D80" i="1"/>
  <c r="D48" i="1" s="1"/>
  <c r="H79" i="1"/>
  <c r="J155" i="1"/>
  <c r="J154" i="1"/>
  <c r="F142" i="1"/>
  <c r="D142" i="1"/>
  <c r="E110" i="1"/>
  <c r="D110" i="1"/>
  <c r="G110" i="1"/>
  <c r="H110" i="1"/>
  <c r="H147" i="1" s="1"/>
  <c r="F110" i="1"/>
  <c r="F147" i="1" s="1"/>
  <c r="H143" i="1" l="1"/>
  <c r="J143" i="1" s="1"/>
  <c r="H158" i="1"/>
  <c r="H115" i="1"/>
  <c r="G147" i="1"/>
  <c r="G115" i="1"/>
  <c r="H80" i="1"/>
  <c r="H48" i="1" s="1"/>
  <c r="D147" i="1"/>
  <c r="D115" i="1"/>
  <c r="E115" i="1"/>
  <c r="E147" i="1"/>
  <c r="F115" i="1"/>
  <c r="J142" i="1"/>
  <c r="D8" i="11" l="1"/>
  <c r="E117" i="1"/>
  <c r="E150" i="1" s="1"/>
  <c r="C8" i="11"/>
  <c r="D117" i="1"/>
  <c r="D148" i="1" s="1"/>
  <c r="H117" i="1"/>
  <c r="G8" i="11"/>
  <c r="F8" i="11"/>
  <c r="G117" i="1"/>
  <c r="G151" i="1" s="1"/>
  <c r="F117" i="1"/>
  <c r="F150" i="1" s="1"/>
  <c r="E8" i="11"/>
  <c r="G149" i="1"/>
  <c r="J147" i="1"/>
  <c r="H149" i="1" l="1"/>
  <c r="H148" i="1"/>
  <c r="H151" i="1"/>
  <c r="H150" i="1"/>
  <c r="E148" i="1"/>
  <c r="F151" i="1"/>
  <c r="E149" i="1"/>
  <c r="E151" i="1"/>
  <c r="G148" i="1"/>
  <c r="G150" i="1"/>
  <c r="F149" i="1"/>
  <c r="F148" i="1"/>
  <c r="F33" i="11"/>
  <c r="F70" i="11" s="1"/>
  <c r="C33" i="11"/>
  <c r="C70" i="11" s="1"/>
  <c r="G33" i="11"/>
  <c r="G70" i="11" s="1"/>
  <c r="D33" i="11"/>
  <c r="D70" i="11" s="1"/>
  <c r="E33" i="11"/>
  <c r="E70" i="11" s="1"/>
  <c r="J148" i="1" l="1"/>
  <c r="B68" i="11" l="1"/>
  <c r="B49" i="11"/>
  <c r="I108" i="1"/>
  <c r="I77" i="1"/>
  <c r="I57" i="1"/>
  <c r="I135" i="1" s="1"/>
  <c r="I90" i="1"/>
  <c r="I131" i="1" s="1"/>
  <c r="I89" i="1"/>
  <c r="I130" i="1" s="1"/>
  <c r="I140" i="1" l="1"/>
  <c r="I139" i="1"/>
  <c r="I141" i="1"/>
  <c r="I79" i="1"/>
  <c r="H6" i="11"/>
  <c r="I24" i="1"/>
  <c r="I71" i="1"/>
  <c r="I134" i="1" l="1"/>
  <c r="I47" i="1"/>
  <c r="I156" i="1"/>
  <c r="I80" i="1"/>
  <c r="I48" i="1" l="1"/>
  <c r="I143" i="1"/>
  <c r="I158" i="1"/>
  <c r="I110" i="1"/>
  <c r="I115" i="1" l="1"/>
  <c r="I147" i="1"/>
  <c r="I117" i="1" l="1"/>
  <c r="H8" i="11"/>
  <c r="H33" i="11"/>
  <c r="H70" i="11" s="1"/>
  <c r="I150" i="1" l="1"/>
  <c r="I149" i="1"/>
  <c r="I148" i="1"/>
  <c r="I151" i="1"/>
  <c r="C77" i="1"/>
  <c r="C108" i="1"/>
  <c r="C104" i="1"/>
  <c r="C24" i="1"/>
  <c r="J88" i="1"/>
  <c r="A129" i="1"/>
  <c r="A87" i="1"/>
  <c r="J77" i="1" l="1"/>
  <c r="D150" i="1"/>
  <c r="J150" i="1" s="1"/>
  <c r="C141" i="1"/>
  <c r="C139" i="1"/>
  <c r="C140" i="1"/>
  <c r="D151" i="1"/>
  <c r="J151" i="1" s="1"/>
  <c r="C47" i="1"/>
  <c r="C79" i="1"/>
  <c r="J79" i="1" s="1"/>
  <c r="C142" i="1"/>
  <c r="J24" i="1"/>
  <c r="J108" i="1"/>
  <c r="J103" i="1"/>
  <c r="J136" i="1"/>
  <c r="A127" i="1"/>
  <c r="C57" i="1"/>
  <c r="C134" i="1" s="1"/>
  <c r="A85" i="1"/>
  <c r="D156" i="1" l="1"/>
  <c r="C156" i="1"/>
  <c r="D158" i="1"/>
  <c r="C158" i="1"/>
  <c r="J156" i="1"/>
  <c r="C135" i="1"/>
  <c r="C143" i="1"/>
  <c r="D149" i="1"/>
  <c r="J157" i="1"/>
  <c r="C7" i="11"/>
  <c r="D7" i="11" s="1"/>
  <c r="E7" i="11" s="1"/>
  <c r="F7" i="11" s="1"/>
  <c r="G7" i="11" s="1"/>
  <c r="J57" i="1"/>
  <c r="J104" i="1"/>
  <c r="C110" i="1"/>
  <c r="C71" i="1"/>
  <c r="D8" i="1"/>
  <c r="C80" i="1" l="1"/>
  <c r="J71" i="1"/>
  <c r="C147" i="1"/>
  <c r="C115" i="1"/>
  <c r="C48" i="1"/>
  <c r="J47" i="1"/>
  <c r="J46" i="1"/>
  <c r="J110" i="1"/>
  <c r="E8" i="1"/>
  <c r="D90" i="1"/>
  <c r="D131" i="1" s="1"/>
  <c r="J158" i="1"/>
  <c r="J149" i="1"/>
  <c r="C90" i="1"/>
  <c r="C131" i="1" s="1"/>
  <c r="J115" i="1" l="1"/>
  <c r="B8" i="11"/>
  <c r="B33" i="11" s="1"/>
  <c r="C117" i="1"/>
  <c r="J80" i="1"/>
  <c r="J116" i="1"/>
  <c r="F8" i="1"/>
  <c r="E90" i="1"/>
  <c r="E131" i="1" s="1"/>
  <c r="C150" i="1" l="1"/>
  <c r="J117" i="1"/>
  <c r="C148" i="1"/>
  <c r="C151" i="1"/>
  <c r="C149" i="1"/>
  <c r="B70" i="11"/>
  <c r="B73" i="11" s="1"/>
  <c r="G8" i="1"/>
  <c r="F90" i="1"/>
  <c r="F131" i="1" s="1"/>
  <c r="H8" i="1" l="1"/>
  <c r="G90" i="1"/>
  <c r="G131" i="1" s="1"/>
  <c r="C72" i="11"/>
  <c r="C73" i="11" s="1"/>
  <c r="D72" i="11" l="1"/>
  <c r="D73" i="11" s="1"/>
  <c r="H90" i="1"/>
  <c r="H131" i="1" s="1"/>
  <c r="E72" i="11" l="1"/>
  <c r="E73" i="11" s="1"/>
  <c r="F72" i="11" s="1"/>
  <c r="F73" i="11" l="1"/>
  <c r="G72" i="11" s="1"/>
  <c r="G73" i="11" s="1"/>
  <c r="H72" i="11" s="1"/>
  <c r="H73" i="11" s="1"/>
</calcChain>
</file>

<file path=xl/sharedStrings.xml><?xml version="1.0" encoding="utf-8"?>
<sst xmlns="http://schemas.openxmlformats.org/spreadsheetml/2006/main" count="218" uniqueCount="205">
  <si>
    <t>Historical Balance Sheets</t>
  </si>
  <si>
    <t>Years Ended December 31</t>
  </si>
  <si>
    <t>Avg. Annual</t>
  </si>
  <si>
    <t>Account Name</t>
  </si>
  <si>
    <t>Pct. Change</t>
  </si>
  <si>
    <t>Cash &amp; Equivalents</t>
  </si>
  <si>
    <t>Accounts Receivable, net</t>
  </si>
  <si>
    <t>Other Current Assets</t>
  </si>
  <si>
    <t>Total Current Assets</t>
  </si>
  <si>
    <t>Regulatory Assets</t>
  </si>
  <si>
    <t>Goodwill</t>
  </si>
  <si>
    <t>Other Non-Current Assets</t>
  </si>
  <si>
    <t>Total Other Assets</t>
  </si>
  <si>
    <t>Total Non-Current Assets</t>
  </si>
  <si>
    <t xml:space="preserve">Other </t>
  </si>
  <si>
    <t>Total Current Liabilities</t>
  </si>
  <si>
    <t>Long-Term Debt</t>
  </si>
  <si>
    <t>Deferred Income Taxes</t>
  </si>
  <si>
    <t>Retained Earnings</t>
  </si>
  <si>
    <t>Historical Income Statements</t>
  </si>
  <si>
    <t>Operating Revenues</t>
  </si>
  <si>
    <t>Operating Expenses:</t>
  </si>
  <si>
    <t>Total Operating Expenses</t>
  </si>
  <si>
    <t>Earnings From Operations</t>
  </si>
  <si>
    <t>Average</t>
  </si>
  <si>
    <t>Historical Financial Ratios</t>
  </si>
  <si>
    <t>Ratio Group And Name</t>
  </si>
  <si>
    <t>Short-term Liquidity Ratios:</t>
  </si>
  <si>
    <t>Current</t>
  </si>
  <si>
    <t>Quick</t>
  </si>
  <si>
    <t>Days Revenues Receivable</t>
  </si>
  <si>
    <t>Long-term Solvency Ratios:</t>
  </si>
  <si>
    <t>Net Worth/Total Debt</t>
  </si>
  <si>
    <t>Net Worth/Non Current Debt</t>
  </si>
  <si>
    <t>Net Worth/Fixed Assets</t>
  </si>
  <si>
    <t>Profitability Ratios:</t>
  </si>
  <si>
    <t>Return On Total Assets</t>
  </si>
  <si>
    <t>Return On Total Capital</t>
  </si>
  <si>
    <t>Asset-utilization Ratios:</t>
  </si>
  <si>
    <t>Sales/Cash</t>
  </si>
  <si>
    <t>Sales/Accounts Receivable</t>
  </si>
  <si>
    <t>Sales/Working Capital</t>
  </si>
  <si>
    <t>Sales/Fixed Assets</t>
  </si>
  <si>
    <t>Sales/Total Assets</t>
  </si>
  <si>
    <t>Capital Structure (Regulatory):</t>
  </si>
  <si>
    <t>Common Equity</t>
  </si>
  <si>
    <t>Capital Structure:</t>
  </si>
  <si>
    <t>Short-Term Debt</t>
  </si>
  <si>
    <t>Accounts Payable</t>
  </si>
  <si>
    <t>Current Portion LTD</t>
  </si>
  <si>
    <t>Deferred Compensation</t>
  </si>
  <si>
    <t>Net Margin</t>
  </si>
  <si>
    <t>Gross Margin</t>
  </si>
  <si>
    <t>Net Operating Margin</t>
  </si>
  <si>
    <t>Times Interest Earned (Operations)</t>
  </si>
  <si>
    <t>page 1 of 6</t>
  </si>
  <si>
    <t>Cash Flow from Operations</t>
  </si>
  <si>
    <t>Net Cash Provided (Used) Operations</t>
  </si>
  <si>
    <t>Financing Activities</t>
  </si>
  <si>
    <t>Net Increase (Decrease) in Cash</t>
  </si>
  <si>
    <t>Cash Beginning of the Year</t>
  </si>
  <si>
    <t>Cash End of the Year</t>
  </si>
  <si>
    <t>Statement of Cash Flows</t>
  </si>
  <si>
    <t>Prepayments</t>
  </si>
  <si>
    <t>Other Deferred Debits</t>
  </si>
  <si>
    <t>Asset Retirement Obligation</t>
  </si>
  <si>
    <t>Other Current and Accrued Liabilities</t>
  </si>
  <si>
    <t>Total Debt / Total Assets</t>
  </si>
  <si>
    <t>page 4 of 4</t>
  </si>
  <si>
    <t>page 3 of 4</t>
  </si>
  <si>
    <t>page 2 of 4</t>
  </si>
  <si>
    <t>5 Year</t>
  </si>
  <si>
    <t xml:space="preserve">Dominion Resources, Inc. </t>
  </si>
  <si>
    <t>`</t>
  </si>
  <si>
    <t>(Dollars in Millions)</t>
  </si>
  <si>
    <t>Accrued Interest, Payroll &amp; Taxes</t>
  </si>
  <si>
    <t>Derivative Liabilities</t>
  </si>
  <si>
    <t>Junior Subordinated Notes</t>
  </si>
  <si>
    <t xml:space="preserve">     Total Long-Term Debt</t>
  </si>
  <si>
    <t>Regulatory Liabilities</t>
  </si>
  <si>
    <t>Total Deferred Credits and Other Liabilities</t>
  </si>
  <si>
    <t>Pension &amp; Post Retirement Benefits</t>
  </si>
  <si>
    <t>Equity:</t>
  </si>
  <si>
    <t>Common Stock-no par</t>
  </si>
  <si>
    <t>Accumulated Other Comprensive Loss</t>
  </si>
  <si>
    <t xml:space="preserve">     Total Common Shareholder Equity</t>
  </si>
  <si>
    <t>Noncontrolling Interest</t>
  </si>
  <si>
    <t xml:space="preserve">     Total Equity</t>
  </si>
  <si>
    <t>Subsidiary Preferred Stock</t>
  </si>
  <si>
    <t>Other Receivables</t>
  </si>
  <si>
    <t>Inventories:</t>
  </si>
  <si>
    <t xml:space="preserve">     Materials &amp; Supplies</t>
  </si>
  <si>
    <t xml:space="preserve">     Fossil Fuel</t>
  </si>
  <si>
    <t xml:space="preserve">     Gas Stored</t>
  </si>
  <si>
    <t>Derivative Assets</t>
  </si>
  <si>
    <t>Margin Deposit Assets</t>
  </si>
  <si>
    <t>Deferred Income Tax</t>
  </si>
  <si>
    <t>Investments</t>
  </si>
  <si>
    <t xml:space="preserve">    Nuclear decommissioning trust fund</t>
  </si>
  <si>
    <t xml:space="preserve">    Investment in equity method affiliates</t>
  </si>
  <si>
    <t xml:space="preserve">    Other </t>
  </si>
  <si>
    <t xml:space="preserve">          Total Investments</t>
  </si>
  <si>
    <t>Property Plant &amp; Equipment</t>
  </si>
  <si>
    <t xml:space="preserve">     Property Pland &amp; Equipment</t>
  </si>
  <si>
    <t xml:space="preserve">     Accumulated Depreciation &amp; Amort.</t>
  </si>
  <si>
    <t xml:space="preserve">          Net Property Plant &amp; Equipment</t>
  </si>
  <si>
    <t>Other Assets</t>
  </si>
  <si>
    <t>Current Liabilities</t>
  </si>
  <si>
    <t>Current Assets</t>
  </si>
  <si>
    <t>Pension and other post-retirement benefits</t>
  </si>
  <si>
    <t>Intangible assets</t>
  </si>
  <si>
    <t>Regulatory assets</t>
  </si>
  <si>
    <t>Electric fuel and other energy purchases</t>
  </si>
  <si>
    <t>Purchased electric capacity</t>
  </si>
  <si>
    <t>Purchased gas</t>
  </si>
  <si>
    <t>Operations and Maintenance</t>
  </si>
  <si>
    <t>Depreciation, depletion and amortization</t>
  </si>
  <si>
    <t>Taxes, other than income taxes</t>
  </si>
  <si>
    <t>Other</t>
  </si>
  <si>
    <t>Interest expense (net)</t>
  </si>
  <si>
    <t>Other (Income) Expense</t>
  </si>
  <si>
    <t xml:space="preserve">   Total Other Income/Expense</t>
  </si>
  <si>
    <t>Income from continuing operations</t>
  </si>
  <si>
    <t>Income Tax Expense</t>
  </si>
  <si>
    <t>Net income including noncontrolling interest</t>
  </si>
  <si>
    <t>Noncontrolling interests</t>
  </si>
  <si>
    <t xml:space="preserve">     Total Assets</t>
  </si>
  <si>
    <t>Long Term Liabilities</t>
  </si>
  <si>
    <t xml:space="preserve">     Total Liabilities</t>
  </si>
  <si>
    <t xml:space="preserve">     Total Liabilities &amp; Equity</t>
  </si>
  <si>
    <t>Net income attributable to Dominion</t>
  </si>
  <si>
    <t xml:space="preserve">Net income per common share </t>
  </si>
  <si>
    <t>Return On Equity</t>
  </si>
  <si>
    <t>(Gain) Loss on sale of assets</t>
  </si>
  <si>
    <t>Remarketable Subordinated Notes</t>
  </si>
  <si>
    <t xml:space="preserve">Long-Term Debt </t>
  </si>
  <si>
    <t>Gain (Loss) from discontinued operations</t>
  </si>
  <si>
    <t>Net Margin including noncontrolling interest</t>
  </si>
  <si>
    <t>Operating Activities</t>
  </si>
  <si>
    <t xml:space="preserve">Investing Activities </t>
  </si>
  <si>
    <t>Imparement of generation assets</t>
  </si>
  <si>
    <t>Net payments related to rate refunds</t>
  </si>
  <si>
    <t>Depreciation, depletion (including nuclear fuel)</t>
  </si>
  <si>
    <t>Deferred income tax and investment credit</t>
  </si>
  <si>
    <t>Gain on the sale of assets and businesses</t>
  </si>
  <si>
    <t>Charges associated with North Anna &amp; wind</t>
  </si>
  <si>
    <t>Charges associated with Liability Management</t>
  </si>
  <si>
    <t>Charges associated with ask pond closure</t>
  </si>
  <si>
    <t>Other adjustments</t>
  </si>
  <si>
    <t>Changes in:</t>
  </si>
  <si>
    <t xml:space="preserve">   Inventories</t>
  </si>
  <si>
    <t xml:space="preserve">   Deferred fuel and purchased gas cost</t>
  </si>
  <si>
    <t xml:space="preserve">   Prepayments </t>
  </si>
  <si>
    <t xml:space="preserve">   Accrued Interest, payroll and taxes</t>
  </si>
  <si>
    <t xml:space="preserve">   Accounts payable</t>
  </si>
  <si>
    <t xml:space="preserve">   Accounts receivable</t>
  </si>
  <si>
    <t xml:space="preserve">   Margin deposit assets and liabilities</t>
  </si>
  <si>
    <t xml:space="preserve">   Other operating assets and liabilities</t>
  </si>
  <si>
    <t>Plant construction and other property additions</t>
  </si>
  <si>
    <t>Acquisition of solar development projects</t>
  </si>
  <si>
    <t>Proceeds from sales of securities</t>
  </si>
  <si>
    <t>Purchase of securities</t>
  </si>
  <si>
    <t>Proceeds from sale Bryant Point, Kincaid &amp; Elwood</t>
  </si>
  <si>
    <t>Proceeds from sale of electric energy marketing</t>
  </si>
  <si>
    <t>Proceeds from Blue Racer</t>
  </si>
  <si>
    <t>Restricted cash equivalents</t>
  </si>
  <si>
    <t>Net Cash Provided (Used) in investing activities</t>
  </si>
  <si>
    <t>Issuance (repayment) of short-term debt</t>
  </si>
  <si>
    <t>Issuance of short-term notes</t>
  </si>
  <si>
    <t>Repayment of short-term notes</t>
  </si>
  <si>
    <t>Issuance of long-term debt</t>
  </si>
  <si>
    <t>Repayment and repurchase of long-term debt</t>
  </si>
  <si>
    <t>Repayment of junior subordinated notes</t>
  </si>
  <si>
    <t>Acquisition of Juniper noncontrolling interest</t>
  </si>
  <si>
    <t>Proceeds from issuance of Dominion Midstream common units</t>
  </si>
  <si>
    <t>Subsidiary preferred stock redemption</t>
  </si>
  <si>
    <t>Issuance of common stock</t>
  </si>
  <si>
    <t>Common dividend payments</t>
  </si>
  <si>
    <t>Subsidiary preferred dividend payments</t>
  </si>
  <si>
    <t xml:space="preserve">Net cash provided (used in) financing activities </t>
  </si>
  <si>
    <t>Contributions to pension plans</t>
  </si>
  <si>
    <t>Charges (payments) related to workforce reduction program</t>
  </si>
  <si>
    <t>Gain on sale of Appalachian E&amp;P operations</t>
  </si>
  <si>
    <t>Loss on sale of Peoples</t>
  </si>
  <si>
    <t>Proceeds from sale of Appalachian E&amp;P operations</t>
  </si>
  <si>
    <t>Proceeds from sale of Peoples</t>
  </si>
  <si>
    <t>Repurchase of common stock</t>
  </si>
  <si>
    <t>Other Financial Indicators:</t>
  </si>
  <si>
    <t>A-</t>
  </si>
  <si>
    <t>BBB+</t>
  </si>
  <si>
    <t>Baa2</t>
  </si>
  <si>
    <t>Fitch  - Bond Rating</t>
  </si>
  <si>
    <t>Standard &amp; Poors - Bond Rating</t>
  </si>
  <si>
    <t>Moody's - Bond Rating</t>
  </si>
  <si>
    <t>Earnings and Dividends per share</t>
  </si>
  <si>
    <t>Dividend Payout Ratio</t>
  </si>
  <si>
    <t>Million shares</t>
  </si>
  <si>
    <t>Dividends per common share</t>
  </si>
  <si>
    <t>2010 to 2015</t>
  </si>
  <si>
    <t>Acquisition of DCG</t>
  </si>
  <si>
    <t>Proceeds from assignment of shale development rights</t>
  </si>
  <si>
    <t>Contribution from SunEdison to Four Brothers &amp; Three Cedars</t>
  </si>
  <si>
    <t>Proceeds from sale of interest in merchant solar projects</t>
  </si>
  <si>
    <t>1st Qrtr</t>
  </si>
  <si>
    <t>DPU Exhibit 1.7 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</si>
</sst>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5" fillId="2" borderId="0"/>
    <xf numFmtId="0" fontId="6" fillId="2" borderId="0"/>
    <xf numFmtId="9" fontId="1" fillId="0" borderId="0" applyFont="0" applyFill="0" applyBorder="0" applyAlignment="0" applyProtection="0"/>
    <xf numFmtId="0" fontId="1" fillId="2" borderId="1"/>
  </cellStyleXfs>
  <cellXfs count="112">
    <xf numFmtId="0" fontId="0" fillId="0" borderId="0" xfId="0"/>
    <xf numFmtId="0" fontId="3" fillId="0" borderId="0" xfId="0" applyFont="1" applyBorder="1"/>
    <xf numFmtId="5" fontId="6" fillId="0" borderId="0" xfId="0" applyNumberFormat="1" applyFont="1" applyBorder="1" applyAlignment="1">
      <alignment horizontal="centerContinuous"/>
    </xf>
    <xf numFmtId="164" fontId="6" fillId="0" borderId="0" xfId="0" applyNumberFormat="1" applyFont="1" applyBorder="1" applyAlignment="1">
      <alignment horizontal="centerContinuous"/>
    </xf>
    <xf numFmtId="10" fontId="6" fillId="0" borderId="0" xfId="0" applyNumberFormat="1" applyFont="1" applyBorder="1" applyAlignment="1">
      <alignment horizontal="centerContinuous"/>
    </xf>
    <xf numFmtId="5" fontId="7" fillId="0" borderId="0" xfId="0" applyNumberFormat="1" applyFont="1" applyBorder="1"/>
    <xf numFmtId="10" fontId="7" fillId="0" borderId="0" xfId="0" applyNumberFormat="1" applyFont="1" applyBorder="1"/>
    <xf numFmtId="5" fontId="6" fillId="0" borderId="0" xfId="0" applyNumberFormat="1" applyFont="1" applyBorder="1"/>
    <xf numFmtId="5" fontId="7" fillId="0" borderId="0" xfId="0" applyNumberFormat="1" applyFont="1" applyBorder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0" fontId="6" fillId="0" borderId="0" xfId="0" applyFont="1" applyBorder="1"/>
    <xf numFmtId="0" fontId="6" fillId="0" borderId="0" xfId="0" quotePrefix="1" applyFont="1" applyBorder="1" applyAlignment="1">
      <alignment horizontal="right"/>
    </xf>
    <xf numFmtId="0" fontId="7" fillId="0" borderId="0" xfId="0" applyFont="1" applyBorder="1"/>
    <xf numFmtId="5" fontId="7" fillId="0" borderId="3" xfId="0" applyNumberFormat="1" applyFont="1" applyBorder="1"/>
    <xf numFmtId="10" fontId="7" fillId="0" borderId="3" xfId="0" applyNumberFormat="1" applyFont="1" applyBorder="1"/>
    <xf numFmtId="39" fontId="7" fillId="0" borderId="0" xfId="0" applyNumberFormat="1" applyFont="1" applyBorder="1"/>
    <xf numFmtId="5" fontId="7" fillId="0" borderId="4" xfId="0" applyNumberFormat="1" applyFont="1" applyBorder="1"/>
    <xf numFmtId="5" fontId="7" fillId="0" borderId="0" xfId="0" quotePrefix="1" applyNumberFormat="1" applyFont="1" applyBorder="1" applyAlignment="1">
      <alignment horizontal="left"/>
    </xf>
    <xf numFmtId="10" fontId="7" fillId="0" borderId="0" xfId="0" quotePrefix="1" applyNumberFormat="1" applyFont="1" applyBorder="1" applyAlignment="1">
      <alignment horizontal="left"/>
    </xf>
    <xf numFmtId="0" fontId="7" fillId="0" borderId="3" xfId="0" applyFont="1" applyBorder="1"/>
    <xf numFmtId="5" fontId="6" fillId="0" borderId="0" xfId="0" applyNumberFormat="1" applyFont="1" applyBorder="1" applyAlignment="1">
      <alignment horizontal="right"/>
    </xf>
    <xf numFmtId="5" fontId="7" fillId="0" borderId="3" xfId="0" applyNumberFormat="1" applyFont="1" applyBorder="1" applyAlignment="1"/>
    <xf numFmtId="10" fontId="7" fillId="0" borderId="3" xfId="0" applyNumberFormat="1" applyFont="1" applyBorder="1" applyAlignment="1"/>
    <xf numFmtId="0" fontId="6" fillId="0" borderId="0" xfId="0" applyFont="1" applyBorder="1" applyAlignment="1">
      <alignment horizontal="right"/>
    </xf>
    <xf numFmtId="10" fontId="7" fillId="0" borderId="0" xfId="0" applyNumberFormat="1" applyFont="1" applyFill="1" applyBorder="1"/>
    <xf numFmtId="2" fontId="7" fillId="0" borderId="0" xfId="0" applyNumberFormat="1" applyFont="1" applyBorder="1"/>
    <xf numFmtId="165" fontId="7" fillId="0" borderId="0" xfId="1" applyNumberFormat="1" applyFont="1" applyBorder="1"/>
    <xf numFmtId="165" fontId="7" fillId="0" borderId="0" xfId="1" applyNumberFormat="1" applyFont="1" applyFill="1" applyBorder="1"/>
    <xf numFmtId="165" fontId="7" fillId="0" borderId="2" xfId="1" applyNumberFormat="1" applyFont="1" applyBorder="1"/>
    <xf numFmtId="165" fontId="7" fillId="0" borderId="0" xfId="1" applyNumberFormat="1" applyFont="1"/>
    <xf numFmtId="165" fontId="7" fillId="0" borderId="0" xfId="1" applyNumberFormat="1" applyFont="1" applyFill="1"/>
    <xf numFmtId="166" fontId="7" fillId="0" borderId="0" xfId="8" applyNumberFormat="1" applyFont="1" applyBorder="1"/>
    <xf numFmtId="10" fontId="7" fillId="0" borderId="0" xfId="0" applyNumberFormat="1" applyFont="1" applyBorder="1" applyAlignment="1">
      <alignment horizontal="right"/>
    </xf>
    <xf numFmtId="10" fontId="8" fillId="0" borderId="0" xfId="0" quotePrefix="1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1" fontId="7" fillId="0" borderId="0" xfId="0" applyNumberFormat="1" applyFont="1" applyBorder="1"/>
    <xf numFmtId="5" fontId="7" fillId="0" borderId="0" xfId="0" applyNumberFormat="1" applyFont="1" applyFill="1" applyBorder="1"/>
    <xf numFmtId="0" fontId="7" fillId="0" borderId="0" xfId="0" applyFont="1"/>
    <xf numFmtId="165" fontId="1" fillId="0" borderId="0" xfId="1" applyNumberFormat="1" applyFont="1"/>
    <xf numFmtId="43" fontId="1" fillId="0" borderId="0" xfId="0" applyNumberFormat="1" applyFont="1"/>
    <xf numFmtId="165" fontId="9" fillId="0" borderId="0" xfId="1" applyNumberFormat="1" applyFont="1" applyBorder="1"/>
    <xf numFmtId="165" fontId="9" fillId="0" borderId="0" xfId="1" applyNumberFormat="1" applyFont="1" applyFill="1" applyBorder="1"/>
    <xf numFmtId="0" fontId="6" fillId="0" borderId="2" xfId="0" applyFont="1" applyBorder="1"/>
    <xf numFmtId="0" fontId="6" fillId="0" borderId="2" xfId="0" quotePrefix="1" applyFont="1" applyBorder="1" applyAlignment="1">
      <alignment horizontal="right"/>
    </xf>
    <xf numFmtId="5" fontId="6" fillId="0" borderId="0" xfId="0" applyNumberFormat="1" applyFont="1" applyFill="1" applyBorder="1"/>
    <xf numFmtId="0" fontId="6" fillId="0" borderId="0" xfId="0" applyFont="1"/>
    <xf numFmtId="165" fontId="3" fillId="0" borderId="0" xfId="0" applyNumberFormat="1" applyFont="1" applyBorder="1"/>
    <xf numFmtId="9" fontId="3" fillId="0" borderId="0" xfId="8" applyFont="1" applyBorder="1"/>
    <xf numFmtId="165" fontId="9" fillId="0" borderId="3" xfId="1" applyNumberFormat="1" applyFont="1" applyBorder="1"/>
    <xf numFmtId="165" fontId="9" fillId="0" borderId="4" xfId="1" applyNumberFormat="1" applyFont="1" applyBorder="1"/>
    <xf numFmtId="165" fontId="9" fillId="0" borderId="2" xfId="1" applyNumberFormat="1" applyFont="1" applyBorder="1"/>
    <xf numFmtId="10" fontId="7" fillId="0" borderId="0" xfId="8" applyNumberFormat="1" applyFont="1" applyFill="1" applyBorder="1"/>
    <xf numFmtId="5" fontId="6" fillId="0" borderId="2" xfId="0" applyNumberFormat="1" applyFont="1" applyBorder="1"/>
    <xf numFmtId="5" fontId="6" fillId="0" borderId="0" xfId="0" quotePrefix="1" applyNumberFormat="1" applyFont="1" applyBorder="1" applyAlignment="1">
      <alignment horizontal="left"/>
    </xf>
    <xf numFmtId="5" fontId="7" fillId="0" borderId="0" xfId="0" applyNumberFormat="1" applyFont="1" applyBorder="1" applyAlignment="1">
      <alignment horizontal="right"/>
    </xf>
    <xf numFmtId="165" fontId="7" fillId="0" borderId="4" xfId="1" applyNumberFormat="1" applyFont="1" applyFill="1" applyBorder="1"/>
    <xf numFmtId="166" fontId="7" fillId="0" borderId="0" xfId="8" applyNumberFormat="1" applyFont="1" applyFill="1" applyBorder="1"/>
    <xf numFmtId="5" fontId="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166" fontId="7" fillId="0" borderId="0" xfId="0" applyNumberFormat="1" applyFont="1" applyBorder="1"/>
    <xf numFmtId="9" fontId="1" fillId="0" borderId="0" xfId="8" applyFont="1" applyBorder="1"/>
    <xf numFmtId="10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center"/>
    </xf>
    <xf numFmtId="165" fontId="10" fillId="0" borderId="3" xfId="1" applyNumberFormat="1" applyFont="1" applyFill="1" applyBorder="1"/>
    <xf numFmtId="165" fontId="10" fillId="0" borderId="3" xfId="1" applyNumberFormat="1" applyFont="1" applyBorder="1"/>
    <xf numFmtId="165" fontId="10" fillId="0" borderId="2" xfId="1" applyNumberFormat="1" applyFont="1" applyBorder="1"/>
    <xf numFmtId="165" fontId="10" fillId="0" borderId="0" xfId="1" applyNumberFormat="1" applyFont="1" applyBorder="1"/>
    <xf numFmtId="0" fontId="4" fillId="0" borderId="0" xfId="0" applyFont="1" applyBorder="1"/>
    <xf numFmtId="43" fontId="9" fillId="0" borderId="0" xfId="1" applyFont="1" applyBorder="1"/>
    <xf numFmtId="5" fontId="7" fillId="0" borderId="0" xfId="0" applyNumberFormat="1" applyFont="1" applyBorder="1" applyAlignment="1"/>
    <xf numFmtId="165" fontId="10" fillId="0" borderId="0" xfId="1" applyNumberFormat="1" applyFont="1" applyBorder="1" applyAlignment="1">
      <alignment horizontal="centerContinuous"/>
    </xf>
    <xf numFmtId="165" fontId="10" fillId="0" borderId="0" xfId="1" applyNumberFormat="1" applyFont="1" applyBorder="1" applyAlignment="1">
      <alignment horizontal="center"/>
    </xf>
    <xf numFmtId="0" fontId="10" fillId="0" borderId="2" xfId="1" applyNumberFormat="1" applyFont="1" applyBorder="1"/>
    <xf numFmtId="165" fontId="9" fillId="0" borderId="4" xfId="1" applyNumberFormat="1" applyFont="1" applyFill="1" applyBorder="1"/>
    <xf numFmtId="165" fontId="9" fillId="0" borderId="0" xfId="1" applyNumberFormat="1" applyFont="1" applyFill="1" applyBorder="1" applyAlignment="1">
      <alignment horizontal="right"/>
    </xf>
    <xf numFmtId="165" fontId="10" fillId="0" borderId="2" xfId="1" quotePrefix="1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9" fillId="0" borderId="0" xfId="0" applyNumberFormat="1" applyFont="1" applyBorder="1"/>
    <xf numFmtId="1" fontId="9" fillId="0" borderId="0" xfId="0" applyNumberFormat="1" applyFont="1" applyBorder="1"/>
    <xf numFmtId="166" fontId="9" fillId="0" borderId="0" xfId="8" applyNumberFormat="1" applyFont="1" applyBorder="1"/>
    <xf numFmtId="166" fontId="9" fillId="0" borderId="0" xfId="0" applyNumberFormat="1" applyFont="1" applyBorder="1"/>
    <xf numFmtId="5" fontId="9" fillId="0" borderId="0" xfId="0" applyNumberFormat="1" applyFont="1" applyBorder="1"/>
    <xf numFmtId="165" fontId="11" fillId="0" borderId="0" xfId="1" applyNumberFormat="1" applyFont="1" applyBorder="1"/>
    <xf numFmtId="2" fontId="9" fillId="0" borderId="0" xfId="0" applyNumberFormat="1" applyFont="1" applyFill="1" applyBorder="1"/>
    <xf numFmtId="2" fontId="7" fillId="0" borderId="0" xfId="0" applyNumberFormat="1" applyFont="1" applyFill="1" applyBorder="1"/>
    <xf numFmtId="166" fontId="9" fillId="0" borderId="0" xfId="8" applyNumberFormat="1" applyFont="1" applyFill="1" applyBorder="1"/>
    <xf numFmtId="165" fontId="6" fillId="0" borderId="0" xfId="1" applyNumberFormat="1" applyFont="1"/>
    <xf numFmtId="165" fontId="6" fillId="0" borderId="0" xfId="1" applyNumberFormat="1" applyFont="1" applyFill="1"/>
    <xf numFmtId="0" fontId="12" fillId="0" borderId="0" xfId="0" applyFont="1"/>
    <xf numFmtId="10" fontId="8" fillId="0" borderId="2" xfId="0" applyNumberFormat="1" applyFont="1" applyBorder="1" applyAlignment="1">
      <alignment horizontal="right"/>
    </xf>
    <xf numFmtId="165" fontId="9" fillId="0" borderId="2" xfId="1" applyNumberFormat="1" applyFont="1" applyFill="1" applyBorder="1"/>
    <xf numFmtId="43" fontId="7" fillId="0" borderId="0" xfId="1" applyFont="1" applyFill="1" applyBorder="1"/>
    <xf numFmtId="5" fontId="9" fillId="0" borderId="0" xfId="0" applyNumberFormat="1" applyFont="1" applyFill="1" applyBorder="1"/>
    <xf numFmtId="0" fontId="3" fillId="0" borderId="0" xfId="0" applyFont="1" applyFill="1" applyBorder="1"/>
    <xf numFmtId="166" fontId="9" fillId="0" borderId="0" xfId="0" applyNumberFormat="1" applyFont="1" applyFill="1" applyBorder="1"/>
    <xf numFmtId="166" fontId="7" fillId="0" borderId="0" xfId="0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44" fontId="9" fillId="0" borderId="0" xfId="1" applyNumberFormat="1" applyFont="1" applyFill="1" applyBorder="1"/>
    <xf numFmtId="166" fontId="10" fillId="0" borderId="0" xfId="8" applyNumberFormat="1" applyFont="1" applyFill="1" applyBorder="1"/>
    <xf numFmtId="165" fontId="9" fillId="0" borderId="3" xfId="1" applyNumberFormat="1" applyFont="1" applyFill="1" applyBorder="1"/>
    <xf numFmtId="0" fontId="7" fillId="0" borderId="0" xfId="0" applyFont="1" applyFill="1" applyBorder="1" applyAlignment="1">
      <alignment horizontal="center"/>
    </xf>
    <xf numFmtId="10" fontId="9" fillId="0" borderId="0" xfId="0" applyNumberFormat="1" applyFont="1" applyBorder="1"/>
    <xf numFmtId="10" fontId="9" fillId="0" borderId="2" xfId="0" applyNumberFormat="1" applyFont="1" applyBorder="1"/>
    <xf numFmtId="10" fontId="9" fillId="0" borderId="5" xfId="0" applyNumberFormat="1" applyFont="1" applyBorder="1"/>
    <xf numFmtId="10" fontId="10" fillId="0" borderId="0" xfId="0" applyNumberFormat="1" applyFont="1" applyBorder="1"/>
    <xf numFmtId="10" fontId="9" fillId="0" borderId="4" xfId="0" applyNumberFormat="1" applyFont="1" applyBorder="1"/>
    <xf numFmtId="10" fontId="9" fillId="0" borderId="0" xfId="0" applyNumberFormat="1" applyFont="1" applyBorder="1" applyAlignment="1">
      <alignment vertical="center"/>
    </xf>
    <xf numFmtId="44" fontId="9" fillId="0" borderId="0" xfId="0" applyNumberFormat="1" applyFont="1" applyFill="1" applyBorder="1"/>
    <xf numFmtId="5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</cellXfs>
  <cellStyles count="10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3"/>
  <sheetViews>
    <sheetView tabSelected="1" view="pageBreakPreview" topLeftCell="A14" zoomScaleNormal="100" zoomScaleSheetLayoutView="100" workbookViewId="0">
      <selection activeCell="L8" sqref="L8"/>
    </sheetView>
  </sheetViews>
  <sheetFormatPr defaultColWidth="12.7109375" defaultRowHeight="15" x14ac:dyDescent="0.25"/>
  <cols>
    <col min="1" max="1" width="43.140625" style="1" customWidth="1"/>
    <col min="2" max="2" width="13.5703125" style="83" hidden="1" customWidth="1"/>
    <col min="3" max="8" width="11.140625" style="1" customWidth="1"/>
    <col min="9" max="9" width="11.7109375" style="1" hidden="1" customWidth="1"/>
    <col min="10" max="10" width="11.7109375" style="1" customWidth="1"/>
    <col min="11" max="11" width="10.7109375" style="1" customWidth="1"/>
    <col min="12" max="16384" width="12.7109375" style="1"/>
  </cols>
  <sheetData>
    <row r="1" spans="1:14" x14ac:dyDescent="0.2">
      <c r="A1" s="5"/>
      <c r="B1" s="40"/>
      <c r="C1" s="5"/>
      <c r="D1" s="5"/>
      <c r="E1" s="5"/>
      <c r="F1" s="5"/>
      <c r="G1" s="5"/>
      <c r="H1" s="5"/>
      <c r="I1" s="5"/>
      <c r="J1" s="32" t="s">
        <v>204</v>
      </c>
      <c r="K1" s="5"/>
    </row>
    <row r="2" spans="1:14" ht="15.75" x14ac:dyDescent="0.25">
      <c r="A2" s="7"/>
      <c r="B2" s="67"/>
      <c r="C2" s="5"/>
      <c r="D2" s="5"/>
      <c r="E2" s="5"/>
      <c r="F2" s="5"/>
      <c r="G2" s="5"/>
      <c r="H2" s="5"/>
      <c r="I2" s="5"/>
      <c r="J2" s="32" t="s">
        <v>70</v>
      </c>
      <c r="K2" s="5"/>
    </row>
    <row r="3" spans="1:14" ht="15.75" x14ac:dyDescent="0.25">
      <c r="A3" s="2" t="s">
        <v>72</v>
      </c>
      <c r="B3" s="71"/>
      <c r="C3" s="8"/>
      <c r="D3" s="8"/>
      <c r="E3" s="8"/>
      <c r="F3" s="8"/>
      <c r="G3" s="8"/>
      <c r="H3" s="8"/>
      <c r="I3" s="8"/>
      <c r="J3" s="9"/>
      <c r="K3" s="5"/>
    </row>
    <row r="4" spans="1:14" ht="15.75" x14ac:dyDescent="0.25">
      <c r="A4" s="2" t="s">
        <v>0</v>
      </c>
      <c r="B4" s="71"/>
      <c r="C4" s="8"/>
      <c r="D4" s="8"/>
      <c r="E4" s="8"/>
      <c r="F4" s="8"/>
      <c r="G4" s="8"/>
      <c r="H4" s="8"/>
      <c r="I4" s="8"/>
      <c r="J4" s="9"/>
      <c r="K4" s="5"/>
    </row>
    <row r="5" spans="1:14" ht="15.75" x14ac:dyDescent="0.25">
      <c r="A5" s="3" t="s">
        <v>1</v>
      </c>
      <c r="B5" s="71"/>
      <c r="C5" s="8"/>
      <c r="D5" s="8"/>
      <c r="E5" s="8"/>
      <c r="F5" s="8"/>
      <c r="G5" s="8"/>
      <c r="H5" s="8"/>
      <c r="I5" s="8"/>
      <c r="J5" s="9"/>
      <c r="K5" s="5"/>
    </row>
    <row r="6" spans="1:14" ht="15.75" x14ac:dyDescent="0.25">
      <c r="A6" s="63" t="s">
        <v>74</v>
      </c>
      <c r="B6" s="72"/>
      <c r="C6" s="7"/>
      <c r="D6" s="7"/>
      <c r="E6" s="7"/>
      <c r="F6" s="7"/>
      <c r="G6" s="7"/>
      <c r="H6" s="7"/>
      <c r="I6" s="7"/>
      <c r="J6" s="33" t="s">
        <v>198</v>
      </c>
      <c r="K6" s="5"/>
    </row>
    <row r="7" spans="1:14" ht="15.75" x14ac:dyDescent="0.25">
      <c r="A7" s="5"/>
      <c r="B7" s="40"/>
      <c r="C7" s="10"/>
      <c r="D7" s="10"/>
      <c r="E7" s="10"/>
      <c r="F7" s="10"/>
      <c r="G7" s="10"/>
      <c r="H7" s="10"/>
      <c r="I7" s="23" t="s">
        <v>203</v>
      </c>
      <c r="J7" s="34" t="s">
        <v>2</v>
      </c>
      <c r="K7" s="5"/>
    </row>
    <row r="8" spans="1:14" ht="15.75" x14ac:dyDescent="0.25">
      <c r="A8" s="42" t="s">
        <v>3</v>
      </c>
      <c r="B8" s="73">
        <f>+C8-1</f>
        <v>2009</v>
      </c>
      <c r="C8" s="43">
        <v>2010</v>
      </c>
      <c r="D8" s="43">
        <f t="shared" ref="D8" si="0">+C8+1</f>
        <v>2011</v>
      </c>
      <c r="E8" s="43">
        <f t="shared" ref="E8" si="1">+D8+1</f>
        <v>2012</v>
      </c>
      <c r="F8" s="43">
        <f t="shared" ref="F8" si="2">+E8+1</f>
        <v>2013</v>
      </c>
      <c r="G8" s="43">
        <f t="shared" ref="G8" si="3">+F8+1</f>
        <v>2014</v>
      </c>
      <c r="H8" s="43">
        <f t="shared" ref="H8" si="4">+G8+1</f>
        <v>2015</v>
      </c>
      <c r="I8" s="59">
        <v>2016</v>
      </c>
      <c r="J8" s="90" t="s">
        <v>4</v>
      </c>
      <c r="K8" s="5"/>
      <c r="N8" s="1" t="s">
        <v>73</v>
      </c>
    </row>
    <row r="9" spans="1:14" hidden="1" x14ac:dyDescent="0.2">
      <c r="A9" s="5"/>
      <c r="B9" s="40"/>
      <c r="C9" s="13"/>
      <c r="D9" s="13"/>
      <c r="E9" s="13"/>
      <c r="F9" s="13"/>
      <c r="G9" s="13"/>
      <c r="H9" s="13"/>
      <c r="I9" s="13"/>
      <c r="J9" s="14"/>
      <c r="K9" s="5"/>
    </row>
    <row r="10" spans="1:14" ht="15.75" x14ac:dyDescent="0.25">
      <c r="A10" s="7" t="s">
        <v>108</v>
      </c>
      <c r="B10" s="67"/>
      <c r="C10" s="5"/>
      <c r="D10" s="5"/>
      <c r="E10" s="5"/>
      <c r="F10" s="5"/>
      <c r="G10" s="5"/>
      <c r="H10" s="5"/>
      <c r="I10" s="5"/>
      <c r="J10" s="6"/>
      <c r="K10" s="5"/>
    </row>
    <row r="11" spans="1:14" x14ac:dyDescent="0.2">
      <c r="A11" s="5" t="s">
        <v>5</v>
      </c>
      <c r="B11" s="40">
        <v>48</v>
      </c>
      <c r="C11" s="40">
        <v>62</v>
      </c>
      <c r="D11" s="40">
        <v>102</v>
      </c>
      <c r="E11" s="40">
        <v>248</v>
      </c>
      <c r="F11" s="40">
        <v>316</v>
      </c>
      <c r="G11" s="40">
        <v>318</v>
      </c>
      <c r="H11" s="41">
        <v>607</v>
      </c>
      <c r="I11" s="40">
        <v>218</v>
      </c>
      <c r="J11" s="103">
        <f>RATE(5,,-C11,H11)</f>
        <v>0.57819041104072677</v>
      </c>
      <c r="K11" s="5"/>
    </row>
    <row r="12" spans="1:14" x14ac:dyDescent="0.2">
      <c r="A12" s="5" t="s">
        <v>6</v>
      </c>
      <c r="B12" s="40">
        <v>2050</v>
      </c>
      <c r="C12" s="40">
        <v>2158</v>
      </c>
      <c r="D12" s="40">
        <v>1780</v>
      </c>
      <c r="E12" s="40">
        <v>1621</v>
      </c>
      <c r="F12" s="40">
        <v>1695</v>
      </c>
      <c r="G12" s="40">
        <v>1514</v>
      </c>
      <c r="H12" s="41">
        <v>1200</v>
      </c>
      <c r="I12" s="40">
        <v>1175</v>
      </c>
      <c r="J12" s="103">
        <f t="shared" ref="J12:J23" si="5">RATE(5,,-C12,H12)</f>
        <v>-0.11074572612513162</v>
      </c>
      <c r="K12" s="5"/>
    </row>
    <row r="13" spans="1:14" x14ac:dyDescent="0.2">
      <c r="A13" s="5" t="s">
        <v>89</v>
      </c>
      <c r="B13" s="40">
        <v>130</v>
      </c>
      <c r="C13" s="40">
        <v>88</v>
      </c>
      <c r="D13" s="40">
        <v>255</v>
      </c>
      <c r="E13" s="40">
        <v>96</v>
      </c>
      <c r="F13" s="40">
        <v>141</v>
      </c>
      <c r="G13" s="40">
        <v>119</v>
      </c>
      <c r="H13" s="41">
        <v>169</v>
      </c>
      <c r="I13" s="40">
        <v>153</v>
      </c>
      <c r="J13" s="103">
        <f t="shared" si="5"/>
        <v>0.13941204582874786</v>
      </c>
      <c r="K13" s="5"/>
    </row>
    <row r="14" spans="1:14" x14ac:dyDescent="0.2">
      <c r="A14" s="5" t="s">
        <v>90</v>
      </c>
      <c r="B14" s="40"/>
      <c r="C14" s="40"/>
      <c r="D14" s="40"/>
      <c r="E14" s="40"/>
      <c r="F14" s="40"/>
      <c r="G14" s="40"/>
      <c r="H14" s="41"/>
      <c r="I14" s="40">
        <v>1304</v>
      </c>
      <c r="J14" s="103"/>
      <c r="K14" s="5"/>
    </row>
    <row r="15" spans="1:14" x14ac:dyDescent="0.2">
      <c r="A15" s="5" t="s">
        <v>91</v>
      </c>
      <c r="B15" s="40">
        <v>590</v>
      </c>
      <c r="C15" s="40">
        <v>609</v>
      </c>
      <c r="D15" s="40">
        <v>641</v>
      </c>
      <c r="E15" s="40">
        <v>684</v>
      </c>
      <c r="F15" s="40">
        <v>689</v>
      </c>
      <c r="G15" s="40">
        <v>923</v>
      </c>
      <c r="H15" s="41">
        <v>902</v>
      </c>
      <c r="I15" s="40"/>
      <c r="J15" s="103">
        <f t="shared" si="5"/>
        <v>8.1727446124774061E-2</v>
      </c>
      <c r="K15" s="5"/>
    </row>
    <row r="16" spans="1:14" x14ac:dyDescent="0.2">
      <c r="A16" s="5" t="s">
        <v>92</v>
      </c>
      <c r="B16" s="40">
        <v>408</v>
      </c>
      <c r="C16" s="40">
        <v>354</v>
      </c>
      <c r="D16" s="40">
        <v>541</v>
      </c>
      <c r="E16" s="40">
        <v>467</v>
      </c>
      <c r="F16" s="40">
        <v>393</v>
      </c>
      <c r="G16" s="40">
        <v>413</v>
      </c>
      <c r="H16" s="41">
        <v>381</v>
      </c>
      <c r="I16" s="40"/>
      <c r="J16" s="103">
        <f t="shared" si="5"/>
        <v>1.4809076062284885E-2</v>
      </c>
      <c r="K16" s="5"/>
    </row>
    <row r="17" spans="1:11" x14ac:dyDescent="0.2">
      <c r="A17" s="5" t="s">
        <v>93</v>
      </c>
      <c r="B17" s="40">
        <v>187</v>
      </c>
      <c r="C17" s="40">
        <v>200</v>
      </c>
      <c r="D17" s="40">
        <v>166</v>
      </c>
      <c r="E17" s="40">
        <v>108</v>
      </c>
      <c r="F17" s="40">
        <v>94</v>
      </c>
      <c r="G17" s="40">
        <v>74</v>
      </c>
      <c r="H17" s="41">
        <v>65</v>
      </c>
      <c r="I17" s="40"/>
      <c r="J17" s="103">
        <f t="shared" si="5"/>
        <v>-0.20131289592308477</v>
      </c>
      <c r="K17" s="5"/>
    </row>
    <row r="18" spans="1:11" x14ac:dyDescent="0.2">
      <c r="A18" s="5" t="s">
        <v>94</v>
      </c>
      <c r="B18" s="40">
        <v>1128</v>
      </c>
      <c r="C18" s="40">
        <v>739</v>
      </c>
      <c r="D18" s="40">
        <v>705</v>
      </c>
      <c r="E18" s="40">
        <v>518</v>
      </c>
      <c r="F18" s="40">
        <v>687</v>
      </c>
      <c r="G18" s="40">
        <v>536</v>
      </c>
      <c r="H18" s="41">
        <v>255</v>
      </c>
      <c r="I18" s="40"/>
      <c r="J18" s="103">
        <f t="shared" si="5"/>
        <v>-0.1916877726852115</v>
      </c>
      <c r="K18" s="5"/>
    </row>
    <row r="19" spans="1:11" x14ac:dyDescent="0.2">
      <c r="A19" s="5" t="s">
        <v>95</v>
      </c>
      <c r="B19" s="40"/>
      <c r="C19" s="40"/>
      <c r="D19" s="40"/>
      <c r="E19" s="40"/>
      <c r="F19" s="40">
        <v>620</v>
      </c>
      <c r="G19" s="40">
        <v>287</v>
      </c>
      <c r="H19" s="41">
        <v>16</v>
      </c>
      <c r="I19" s="40"/>
      <c r="J19" s="103"/>
      <c r="K19" s="5"/>
    </row>
    <row r="20" spans="1:11" x14ac:dyDescent="0.2">
      <c r="A20" s="5" t="s">
        <v>96</v>
      </c>
      <c r="B20" s="40"/>
      <c r="C20" s="40"/>
      <c r="D20" s="40">
        <v>9</v>
      </c>
      <c r="E20" s="40">
        <v>573</v>
      </c>
      <c r="F20" s="40">
        <v>778</v>
      </c>
      <c r="G20" s="40">
        <v>800</v>
      </c>
      <c r="H20" s="41"/>
      <c r="I20" s="40"/>
      <c r="J20" s="103"/>
      <c r="K20" s="5"/>
    </row>
    <row r="21" spans="1:11" x14ac:dyDescent="0.2">
      <c r="A21" s="5" t="s">
        <v>63</v>
      </c>
      <c r="B21" s="40">
        <v>405</v>
      </c>
      <c r="C21" s="40">
        <v>277</v>
      </c>
      <c r="D21" s="40">
        <v>262</v>
      </c>
      <c r="E21" s="40">
        <v>326</v>
      </c>
      <c r="F21" s="40">
        <v>192</v>
      </c>
      <c r="G21" s="40">
        <v>167</v>
      </c>
      <c r="H21" s="41">
        <v>198</v>
      </c>
      <c r="I21" s="40">
        <v>157</v>
      </c>
      <c r="J21" s="103">
        <f t="shared" si="5"/>
        <v>-6.4945156341685739E-2</v>
      </c>
      <c r="K21" s="5"/>
    </row>
    <row r="22" spans="1:11" x14ac:dyDescent="0.2">
      <c r="A22" s="5" t="s">
        <v>9</v>
      </c>
      <c r="B22" s="40">
        <v>170</v>
      </c>
      <c r="C22" s="40">
        <v>407</v>
      </c>
      <c r="D22" s="40">
        <v>541</v>
      </c>
      <c r="E22" s="40">
        <v>203</v>
      </c>
      <c r="F22" s="40">
        <v>217</v>
      </c>
      <c r="G22" s="40">
        <v>347</v>
      </c>
      <c r="H22" s="41">
        <v>351</v>
      </c>
      <c r="I22" s="40">
        <v>704</v>
      </c>
      <c r="J22" s="103">
        <f t="shared" si="5"/>
        <v>-2.91714456975436E-2</v>
      </c>
      <c r="K22" s="5"/>
    </row>
    <row r="23" spans="1:11" x14ac:dyDescent="0.2">
      <c r="A23" s="5" t="s">
        <v>7</v>
      </c>
      <c r="B23" s="40">
        <f>1018+683</f>
        <v>1701</v>
      </c>
      <c r="C23" s="40">
        <v>506</v>
      </c>
      <c r="D23" s="40">
        <v>428</v>
      </c>
      <c r="E23" s="40">
        <v>296</v>
      </c>
      <c r="F23" s="40">
        <v>118</v>
      </c>
      <c r="G23" s="40">
        <v>117</v>
      </c>
      <c r="H23" s="41">
        <v>47</v>
      </c>
      <c r="I23" s="40"/>
      <c r="J23" s="104">
        <f t="shared" si="5"/>
        <v>-0.37828768760872422</v>
      </c>
      <c r="K23" s="5"/>
    </row>
    <row r="24" spans="1:11" x14ac:dyDescent="0.2">
      <c r="A24" s="5" t="s">
        <v>8</v>
      </c>
      <c r="B24" s="48">
        <f t="shared" ref="B24:I24" si="6">SUM(B10:B23)</f>
        <v>6817</v>
      </c>
      <c r="C24" s="48">
        <f t="shared" si="6"/>
        <v>5400</v>
      </c>
      <c r="D24" s="48">
        <f t="shared" si="6"/>
        <v>5430</v>
      </c>
      <c r="E24" s="48">
        <f t="shared" si="6"/>
        <v>5140</v>
      </c>
      <c r="F24" s="48">
        <f t="shared" si="6"/>
        <v>5940</v>
      </c>
      <c r="G24" s="48">
        <f t="shared" si="6"/>
        <v>5615</v>
      </c>
      <c r="H24" s="48">
        <f t="shared" si="6"/>
        <v>4191</v>
      </c>
      <c r="I24" s="48">
        <f t="shared" si="6"/>
        <v>3711</v>
      </c>
      <c r="J24" s="103">
        <f>RATE(5,,-C24,H24)</f>
        <v>-4.9428519590011342E-2</v>
      </c>
      <c r="K24" s="5"/>
    </row>
    <row r="25" spans="1:11" hidden="1" x14ac:dyDescent="0.2">
      <c r="A25" s="5"/>
      <c r="B25" s="40"/>
      <c r="C25" s="40"/>
      <c r="D25" s="40"/>
      <c r="E25" s="40"/>
      <c r="F25" s="40"/>
      <c r="G25" s="40"/>
      <c r="H25" s="40"/>
      <c r="I25" s="40"/>
      <c r="J25" s="103"/>
      <c r="K25" s="5"/>
    </row>
    <row r="26" spans="1:11" ht="15.75" x14ac:dyDescent="0.25">
      <c r="A26" s="7" t="s">
        <v>97</v>
      </c>
      <c r="B26" s="40"/>
      <c r="C26" s="40"/>
      <c r="D26" s="40"/>
      <c r="E26" s="40"/>
      <c r="F26" s="40"/>
      <c r="G26" s="40"/>
      <c r="H26" s="40"/>
      <c r="I26" s="40"/>
      <c r="J26" s="103"/>
      <c r="K26" s="5"/>
    </row>
    <row r="27" spans="1:11" x14ac:dyDescent="0.2">
      <c r="A27" s="5" t="s">
        <v>98</v>
      </c>
      <c r="B27" s="40">
        <v>2625</v>
      </c>
      <c r="C27" s="40">
        <v>2897</v>
      </c>
      <c r="D27" s="40">
        <v>2999</v>
      </c>
      <c r="E27" s="40">
        <v>3330</v>
      </c>
      <c r="F27" s="40">
        <v>3903</v>
      </c>
      <c r="G27" s="40">
        <v>4196</v>
      </c>
      <c r="H27" s="41">
        <v>4183</v>
      </c>
      <c r="I27" s="40">
        <v>4239</v>
      </c>
      <c r="J27" s="103">
        <f t="shared" ref="J27:J30" si="7">RATE(5,,-C27,H27)</f>
        <v>7.6236889175200259E-2</v>
      </c>
      <c r="K27" s="5"/>
    </row>
    <row r="28" spans="1:11" x14ac:dyDescent="0.2">
      <c r="A28" s="5" t="s">
        <v>99</v>
      </c>
      <c r="B28" s="40">
        <v>595</v>
      </c>
      <c r="C28" s="40">
        <v>571</v>
      </c>
      <c r="D28" s="40">
        <v>553</v>
      </c>
      <c r="E28" s="40">
        <v>558</v>
      </c>
      <c r="F28" s="40">
        <v>916</v>
      </c>
      <c r="G28" s="40">
        <v>1081</v>
      </c>
      <c r="H28" s="41">
        <v>1320</v>
      </c>
      <c r="I28" s="40">
        <v>1346</v>
      </c>
      <c r="J28" s="103">
        <f t="shared" si="7"/>
        <v>0.18246301174310306</v>
      </c>
      <c r="K28" s="5"/>
    </row>
    <row r="29" spans="1:11" x14ac:dyDescent="0.2">
      <c r="A29" s="5" t="s">
        <v>100</v>
      </c>
      <c r="B29" s="50">
        <v>272</v>
      </c>
      <c r="C29" s="50">
        <f>283+400</f>
        <v>683</v>
      </c>
      <c r="D29" s="50">
        <f>141+292</f>
        <v>433</v>
      </c>
      <c r="E29" s="50">
        <f>33+270</f>
        <v>303</v>
      </c>
      <c r="F29" s="50">
        <v>283</v>
      </c>
      <c r="G29" s="50">
        <v>284</v>
      </c>
      <c r="H29" s="91">
        <v>271</v>
      </c>
      <c r="I29" s="50">
        <v>268</v>
      </c>
      <c r="J29" s="104">
        <f t="shared" si="7"/>
        <v>-0.16879199429015812</v>
      </c>
      <c r="K29" s="5"/>
    </row>
    <row r="30" spans="1:11" x14ac:dyDescent="0.2">
      <c r="A30" s="5" t="s">
        <v>101</v>
      </c>
      <c r="B30" s="40">
        <f t="shared" ref="B30:F30" si="8">SUM(B27:B29)</f>
        <v>3492</v>
      </c>
      <c r="C30" s="40">
        <f t="shared" si="8"/>
        <v>4151</v>
      </c>
      <c r="D30" s="40">
        <f t="shared" si="8"/>
        <v>3985</v>
      </c>
      <c r="E30" s="40">
        <f t="shared" si="8"/>
        <v>4191</v>
      </c>
      <c r="F30" s="40">
        <f t="shared" si="8"/>
        <v>5102</v>
      </c>
      <c r="G30" s="40">
        <f>SUM(G27:G29)</f>
        <v>5561</v>
      </c>
      <c r="H30" s="40">
        <f>SUM(H27:H29)</f>
        <v>5774</v>
      </c>
      <c r="I30" s="40">
        <f>SUM(I27:I29)</f>
        <v>5853</v>
      </c>
      <c r="J30" s="103">
        <f t="shared" si="7"/>
        <v>6.8230095367791344E-2</v>
      </c>
      <c r="K30" s="5"/>
    </row>
    <row r="31" spans="1:11" hidden="1" x14ac:dyDescent="0.2">
      <c r="A31" s="5"/>
      <c r="B31" s="40"/>
      <c r="C31" s="40"/>
      <c r="D31" s="40"/>
      <c r="E31" s="40"/>
      <c r="F31" s="40"/>
      <c r="G31" s="40"/>
      <c r="H31" s="40"/>
      <c r="I31" s="40"/>
      <c r="J31" s="103"/>
      <c r="K31" s="5"/>
    </row>
    <row r="32" spans="1:11" ht="15.75" x14ac:dyDescent="0.25">
      <c r="A32" s="7" t="s">
        <v>102</v>
      </c>
      <c r="B32" s="40"/>
      <c r="C32" s="40"/>
      <c r="D32" s="40"/>
      <c r="E32" s="40"/>
      <c r="F32" s="40"/>
      <c r="G32" s="40"/>
      <c r="H32" s="40"/>
      <c r="I32" s="40"/>
      <c r="J32" s="103"/>
      <c r="K32" s="5"/>
    </row>
    <row r="33" spans="1:11" x14ac:dyDescent="0.2">
      <c r="A33" s="5" t="s">
        <v>103</v>
      </c>
      <c r="B33" s="40">
        <v>39036</v>
      </c>
      <c r="C33" s="40">
        <v>39855</v>
      </c>
      <c r="D33" s="40">
        <f>42033+957</f>
        <v>42990</v>
      </c>
      <c r="E33" s="40">
        <f>43364+957</f>
        <v>44321</v>
      </c>
      <c r="F33" s="40">
        <v>46969</v>
      </c>
      <c r="G33" s="40">
        <v>51406</v>
      </c>
      <c r="H33" s="41">
        <v>57776</v>
      </c>
      <c r="I33" s="40">
        <v>59154</v>
      </c>
      <c r="J33" s="103">
        <f t="shared" ref="J33:J35" si="9">RATE(5,,-C33,H33)</f>
        <v>7.7092325642938511E-2</v>
      </c>
      <c r="K33" s="5"/>
    </row>
    <row r="34" spans="1:11" x14ac:dyDescent="0.2">
      <c r="A34" s="5" t="s">
        <v>104</v>
      </c>
      <c r="B34" s="50">
        <v>-13444</v>
      </c>
      <c r="C34" s="50">
        <v>-13142</v>
      </c>
      <c r="D34" s="50">
        <v>-13320</v>
      </c>
      <c r="E34" s="50">
        <v>-13548</v>
      </c>
      <c r="F34" s="50">
        <v>-14341</v>
      </c>
      <c r="G34" s="50">
        <v>-15136</v>
      </c>
      <c r="H34" s="91">
        <v>-16222</v>
      </c>
      <c r="I34" s="50">
        <v>-16531</v>
      </c>
      <c r="J34" s="104">
        <f t="shared" si="9"/>
        <v>4.3010275077424553E-2</v>
      </c>
      <c r="K34" s="46"/>
    </row>
    <row r="35" spans="1:11" x14ac:dyDescent="0.2">
      <c r="A35" s="5" t="s">
        <v>105</v>
      </c>
      <c r="B35" s="40">
        <f t="shared" ref="B35" si="10">+B33+B34</f>
        <v>25592</v>
      </c>
      <c r="C35" s="40">
        <f t="shared" ref="C35:G35" si="11">+C33+C34</f>
        <v>26713</v>
      </c>
      <c r="D35" s="40">
        <f t="shared" si="11"/>
        <v>29670</v>
      </c>
      <c r="E35" s="40">
        <f t="shared" si="11"/>
        <v>30773</v>
      </c>
      <c r="F35" s="40">
        <f t="shared" si="11"/>
        <v>32628</v>
      </c>
      <c r="G35" s="40">
        <f t="shared" si="11"/>
        <v>36270</v>
      </c>
      <c r="H35" s="41">
        <f>+H33+H34</f>
        <v>41554</v>
      </c>
      <c r="I35" s="40">
        <f>+I33+I34</f>
        <v>42623</v>
      </c>
      <c r="J35" s="103">
        <f t="shared" si="9"/>
        <v>9.2390800902658304E-2</v>
      </c>
      <c r="K35" s="47"/>
    </row>
    <row r="36" spans="1:11" hidden="1" x14ac:dyDescent="0.2">
      <c r="A36" s="5"/>
      <c r="B36" s="40"/>
      <c r="C36" s="40"/>
      <c r="D36" s="40"/>
      <c r="E36" s="40"/>
      <c r="F36" s="40"/>
      <c r="G36" s="40"/>
      <c r="H36" s="41"/>
      <c r="I36" s="40"/>
      <c r="J36" s="103"/>
      <c r="K36" s="5"/>
    </row>
    <row r="37" spans="1:11" ht="15.75" x14ac:dyDescent="0.25">
      <c r="A37" s="7" t="s">
        <v>106</v>
      </c>
      <c r="B37" s="40"/>
      <c r="C37" s="40"/>
      <c r="D37" s="40"/>
      <c r="E37" s="40"/>
      <c r="F37" s="40"/>
      <c r="G37" s="40"/>
      <c r="H37" s="41"/>
      <c r="I37" s="40"/>
      <c r="J37" s="103"/>
      <c r="K37" s="5"/>
    </row>
    <row r="38" spans="1:11" x14ac:dyDescent="0.2">
      <c r="A38" s="5" t="s">
        <v>10</v>
      </c>
      <c r="B38" s="40">
        <v>3354</v>
      </c>
      <c r="C38" s="40">
        <v>3141</v>
      </c>
      <c r="D38" s="40">
        <v>3141</v>
      </c>
      <c r="E38" s="40">
        <v>3130</v>
      </c>
      <c r="F38" s="40">
        <v>3086</v>
      </c>
      <c r="G38" s="40">
        <v>3044</v>
      </c>
      <c r="H38" s="41">
        <v>3294</v>
      </c>
      <c r="I38" s="40">
        <v>3294</v>
      </c>
      <c r="J38" s="103">
        <f t="shared" ref="J38:J42" si="12">RATE(5,,-C38,H38)</f>
        <v>9.5576677890649719E-3</v>
      </c>
      <c r="K38" s="5"/>
    </row>
    <row r="39" spans="1:11" x14ac:dyDescent="0.2">
      <c r="A39" s="36" t="s">
        <v>109</v>
      </c>
      <c r="B39" s="40">
        <v>702</v>
      </c>
      <c r="C39" s="40">
        <v>712</v>
      </c>
      <c r="D39" s="40">
        <v>681</v>
      </c>
      <c r="E39" s="40">
        <v>702</v>
      </c>
      <c r="F39" s="40">
        <v>942</v>
      </c>
      <c r="G39" s="40">
        <v>956</v>
      </c>
      <c r="H39" s="41">
        <v>943</v>
      </c>
      <c r="I39" s="40">
        <v>978</v>
      </c>
      <c r="J39" s="103">
        <f t="shared" si="12"/>
        <v>5.7806764223748398E-2</v>
      </c>
      <c r="K39" s="5"/>
    </row>
    <row r="40" spans="1:11" x14ac:dyDescent="0.2">
      <c r="A40" s="36" t="s">
        <v>110</v>
      </c>
      <c r="B40" s="40">
        <v>693</v>
      </c>
      <c r="C40" s="40">
        <v>642</v>
      </c>
      <c r="D40" s="40">
        <v>637</v>
      </c>
      <c r="E40" s="40">
        <v>536</v>
      </c>
      <c r="F40" s="40">
        <v>560</v>
      </c>
      <c r="G40" s="40">
        <v>570</v>
      </c>
      <c r="H40" s="41">
        <v>570</v>
      </c>
      <c r="I40" s="40"/>
      <c r="J40" s="103">
        <f t="shared" si="12"/>
        <v>-2.3509628151581179E-2</v>
      </c>
      <c r="K40" s="5"/>
    </row>
    <row r="41" spans="1:11" hidden="1" x14ac:dyDescent="0.2">
      <c r="A41" s="5" t="s">
        <v>50</v>
      </c>
      <c r="B41" s="40"/>
      <c r="C41" s="40"/>
      <c r="D41" s="40"/>
      <c r="E41" s="40"/>
      <c r="F41" s="40"/>
      <c r="G41" s="40"/>
      <c r="H41" s="41"/>
      <c r="I41" s="40"/>
      <c r="J41" s="103" t="e">
        <f t="shared" si="12"/>
        <v>#NUM!</v>
      </c>
      <c r="K41" s="5"/>
    </row>
    <row r="42" spans="1:11" x14ac:dyDescent="0.2">
      <c r="A42" s="5" t="s">
        <v>111</v>
      </c>
      <c r="B42" s="40">
        <v>1390</v>
      </c>
      <c r="C42" s="40">
        <v>1446</v>
      </c>
      <c r="D42" s="40">
        <v>1382</v>
      </c>
      <c r="E42" s="40">
        <v>1717</v>
      </c>
      <c r="F42" s="40">
        <v>1228</v>
      </c>
      <c r="G42" s="40">
        <v>1642</v>
      </c>
      <c r="H42" s="41">
        <v>1865</v>
      </c>
      <c r="I42" s="40">
        <v>1977</v>
      </c>
      <c r="J42" s="103">
        <f t="shared" si="12"/>
        <v>5.2209233681885923E-2</v>
      </c>
      <c r="K42" s="5"/>
    </row>
    <row r="43" spans="1:11" hidden="1" x14ac:dyDescent="0.2">
      <c r="A43" s="5" t="s">
        <v>64</v>
      </c>
      <c r="B43" s="40"/>
      <c r="C43" s="40"/>
      <c r="D43" s="40"/>
      <c r="E43" s="40"/>
      <c r="F43" s="40"/>
      <c r="G43" s="40"/>
      <c r="H43" s="41"/>
      <c r="I43" s="40"/>
      <c r="J43" s="103"/>
      <c r="K43" s="5"/>
    </row>
    <row r="44" spans="1:11" x14ac:dyDescent="0.2">
      <c r="A44" s="5" t="s">
        <v>11</v>
      </c>
      <c r="B44" s="40">
        <v>514</v>
      </c>
      <c r="C44" s="40">
        <v>612</v>
      </c>
      <c r="D44" s="40">
        <v>688</v>
      </c>
      <c r="E44" s="40">
        <v>649</v>
      </c>
      <c r="F44" s="40">
        <v>610</v>
      </c>
      <c r="G44" s="40">
        <v>669</v>
      </c>
      <c r="H44" s="41">
        <v>606</v>
      </c>
      <c r="I44" s="40">
        <v>1069</v>
      </c>
      <c r="J44" s="104">
        <f t="shared" ref="J44:J47" si="13">RATE(5,,-C44,H44)</f>
        <v>-1.9685192081904789E-3</v>
      </c>
      <c r="K44" s="5"/>
    </row>
    <row r="45" spans="1:11" x14ac:dyDescent="0.2">
      <c r="A45" s="5" t="s">
        <v>12</v>
      </c>
      <c r="B45" s="48">
        <f t="shared" ref="B45" si="14">SUM(B38:B44)</f>
        <v>6653</v>
      </c>
      <c r="C45" s="48">
        <f t="shared" ref="C45:F45" si="15">SUM(C38:C44)</f>
        <v>6553</v>
      </c>
      <c r="D45" s="48">
        <f t="shared" si="15"/>
        <v>6529</v>
      </c>
      <c r="E45" s="48">
        <f t="shared" si="15"/>
        <v>6734</v>
      </c>
      <c r="F45" s="48">
        <f t="shared" si="15"/>
        <v>6426</v>
      </c>
      <c r="G45" s="48">
        <f>SUM(G38:G44)</f>
        <v>6881</v>
      </c>
      <c r="H45" s="48">
        <f>SUM(H38:H44)</f>
        <v>7278</v>
      </c>
      <c r="I45" s="48">
        <f>SUM(I38:I44)</f>
        <v>7318</v>
      </c>
      <c r="J45" s="105">
        <f t="shared" si="13"/>
        <v>2.1208395770398823E-2</v>
      </c>
      <c r="K45" s="5"/>
    </row>
    <row r="46" spans="1:11" x14ac:dyDescent="0.2">
      <c r="A46" s="5" t="s">
        <v>13</v>
      </c>
      <c r="B46" s="48">
        <f t="shared" ref="B46" si="16">B35+B45+B30</f>
        <v>35737</v>
      </c>
      <c r="C46" s="48">
        <f t="shared" ref="C46:F46" si="17">C35+C45+C30</f>
        <v>37417</v>
      </c>
      <c r="D46" s="48">
        <f t="shared" si="17"/>
        <v>40184</v>
      </c>
      <c r="E46" s="48">
        <f t="shared" si="17"/>
        <v>41698</v>
      </c>
      <c r="F46" s="48">
        <f t="shared" si="17"/>
        <v>44156</v>
      </c>
      <c r="G46" s="48">
        <f>G35+G45+G30</f>
        <v>48712</v>
      </c>
      <c r="H46" s="48">
        <f>H35+H45+H30</f>
        <v>54606</v>
      </c>
      <c r="I46" s="48">
        <f>I35+I45+I30</f>
        <v>55794</v>
      </c>
      <c r="J46" s="105">
        <f t="shared" si="13"/>
        <v>7.8535091938367704E-2</v>
      </c>
      <c r="K46" s="15"/>
    </row>
    <row r="47" spans="1:11" ht="16.5" thickBot="1" x14ac:dyDescent="0.3">
      <c r="A47" s="7" t="s">
        <v>126</v>
      </c>
      <c r="B47" s="64">
        <f t="shared" ref="B47" si="18">+B46+B24</f>
        <v>42554</v>
      </c>
      <c r="C47" s="64">
        <f t="shared" ref="C47:F47" si="19">+C46+C24</f>
        <v>42817</v>
      </c>
      <c r="D47" s="64">
        <f t="shared" si="19"/>
        <v>45614</v>
      </c>
      <c r="E47" s="64">
        <f t="shared" si="19"/>
        <v>46838</v>
      </c>
      <c r="F47" s="64">
        <f t="shared" si="19"/>
        <v>50096</v>
      </c>
      <c r="G47" s="64">
        <f>+G46+G24</f>
        <v>54327</v>
      </c>
      <c r="H47" s="64">
        <f>+H46+H24</f>
        <v>58797</v>
      </c>
      <c r="I47" s="64">
        <f>+I46+I24</f>
        <v>59505</v>
      </c>
      <c r="J47" s="106">
        <f t="shared" si="13"/>
        <v>6.5486095406141018E-2</v>
      </c>
      <c r="K47" s="12"/>
    </row>
    <row r="48" spans="1:11" ht="15.75" thickTop="1" x14ac:dyDescent="0.2">
      <c r="A48" s="5"/>
      <c r="B48" s="49">
        <f t="shared" ref="B48" si="20">+B47-B80</f>
        <v>0</v>
      </c>
      <c r="C48" s="49">
        <f t="shared" ref="C48:F48" si="21">+C47-C80</f>
        <v>0</v>
      </c>
      <c r="D48" s="49">
        <f t="shared" si="21"/>
        <v>0</v>
      </c>
      <c r="E48" s="49">
        <f t="shared" si="21"/>
        <v>0</v>
      </c>
      <c r="F48" s="49">
        <f t="shared" si="21"/>
        <v>0</v>
      </c>
      <c r="G48" s="49">
        <f>+G47-G80</f>
        <v>0</v>
      </c>
      <c r="H48" s="49">
        <f>+H47-H80</f>
        <v>0</v>
      </c>
      <c r="I48" s="49">
        <f>+I47-I80</f>
        <v>0</v>
      </c>
      <c r="J48" s="107"/>
      <c r="K48" s="5"/>
    </row>
    <row r="49" spans="1:11" ht="15.75" x14ac:dyDescent="0.25">
      <c r="A49" s="7" t="s">
        <v>107</v>
      </c>
      <c r="B49" s="40"/>
      <c r="C49" s="40"/>
      <c r="D49" s="40"/>
      <c r="E49" s="40"/>
      <c r="F49" s="40"/>
      <c r="G49" s="41"/>
      <c r="H49" s="41"/>
      <c r="I49" s="41"/>
      <c r="J49" s="103"/>
      <c r="K49" s="5"/>
    </row>
    <row r="50" spans="1:11" x14ac:dyDescent="0.2">
      <c r="A50" s="5" t="s">
        <v>49</v>
      </c>
      <c r="B50" s="41">
        <v>1137</v>
      </c>
      <c r="C50" s="41">
        <v>497</v>
      </c>
      <c r="D50" s="41">
        <v>1479</v>
      </c>
      <c r="E50" s="41">
        <f>1363+860</f>
        <v>2223</v>
      </c>
      <c r="F50" s="41">
        <v>1519</v>
      </c>
      <c r="G50" s="41">
        <v>1375</v>
      </c>
      <c r="H50" s="41">
        <v>1826</v>
      </c>
      <c r="I50" s="41">
        <v>1774</v>
      </c>
      <c r="J50" s="103">
        <f t="shared" ref="J50:J71" si="22">RATE(5,,-C50,H50)</f>
        <v>0.29726552525132843</v>
      </c>
      <c r="K50" s="5"/>
    </row>
    <row r="51" spans="1:11" x14ac:dyDescent="0.2">
      <c r="A51" s="5" t="s">
        <v>47</v>
      </c>
      <c r="B51" s="41">
        <v>1295</v>
      </c>
      <c r="C51" s="41">
        <v>1386</v>
      </c>
      <c r="D51" s="41">
        <v>1814</v>
      </c>
      <c r="E51" s="41">
        <v>2412</v>
      </c>
      <c r="F51" s="41">
        <v>1927</v>
      </c>
      <c r="G51" s="41">
        <v>2775</v>
      </c>
      <c r="H51" s="41">
        <v>3509</v>
      </c>
      <c r="I51" s="41">
        <v>3028</v>
      </c>
      <c r="J51" s="103">
        <f t="shared" si="22"/>
        <v>0.20415953127327033</v>
      </c>
      <c r="K51" s="5"/>
    </row>
    <row r="52" spans="1:11" x14ac:dyDescent="0.2">
      <c r="A52" s="5" t="s">
        <v>48</v>
      </c>
      <c r="B52" s="41">
        <v>1401</v>
      </c>
      <c r="C52" s="41">
        <v>1562</v>
      </c>
      <c r="D52" s="41">
        <v>1250</v>
      </c>
      <c r="E52" s="41">
        <v>1137</v>
      </c>
      <c r="F52" s="41">
        <v>1168</v>
      </c>
      <c r="G52" s="41">
        <v>952</v>
      </c>
      <c r="H52" s="41">
        <v>726</v>
      </c>
      <c r="I52" s="41">
        <v>670</v>
      </c>
      <c r="J52" s="103">
        <f t="shared" si="22"/>
        <v>-0.14207145437100446</v>
      </c>
      <c r="K52" s="5"/>
    </row>
    <row r="53" spans="1:11" x14ac:dyDescent="0.2">
      <c r="A53" s="5" t="s">
        <v>75</v>
      </c>
      <c r="B53" s="41">
        <v>676</v>
      </c>
      <c r="C53" s="41">
        <v>849</v>
      </c>
      <c r="D53" s="41">
        <v>648</v>
      </c>
      <c r="E53" s="41">
        <v>636</v>
      </c>
      <c r="F53" s="41">
        <v>609</v>
      </c>
      <c r="G53" s="41">
        <v>566</v>
      </c>
      <c r="H53" s="41">
        <v>515</v>
      </c>
      <c r="I53" s="41">
        <v>583</v>
      </c>
      <c r="J53" s="103">
        <f t="shared" si="22"/>
        <v>-9.5143088958773298E-2</v>
      </c>
      <c r="K53" s="5"/>
    </row>
    <row r="54" spans="1:11" x14ac:dyDescent="0.2">
      <c r="A54" s="5" t="s">
        <v>76</v>
      </c>
      <c r="B54" s="41">
        <v>679</v>
      </c>
      <c r="C54" s="41">
        <v>633</v>
      </c>
      <c r="D54" s="41">
        <v>951</v>
      </c>
      <c r="E54" s="41">
        <v>510</v>
      </c>
      <c r="F54" s="41">
        <v>828</v>
      </c>
      <c r="G54" s="41">
        <v>591</v>
      </c>
      <c r="H54" s="41">
        <v>312</v>
      </c>
      <c r="I54" s="41"/>
      <c r="J54" s="103">
        <f t="shared" si="22"/>
        <v>-0.13193913591537196</v>
      </c>
      <c r="K54" s="5"/>
    </row>
    <row r="55" spans="1:11" x14ac:dyDescent="0.2">
      <c r="A55" s="5" t="s">
        <v>79</v>
      </c>
      <c r="B55" s="41">
        <v>536</v>
      </c>
      <c r="C55" s="41">
        <v>135</v>
      </c>
      <c r="D55" s="41">
        <v>243</v>
      </c>
      <c r="E55" s="41">
        <v>136</v>
      </c>
      <c r="F55" s="41"/>
      <c r="G55" s="41"/>
      <c r="H55" s="41"/>
      <c r="I55" s="41"/>
      <c r="J55" s="103"/>
      <c r="K55" s="5"/>
    </row>
    <row r="56" spans="1:11" x14ac:dyDescent="0.2">
      <c r="A56" s="5" t="s">
        <v>66</v>
      </c>
      <c r="B56" s="41">
        <f>677+4+428</f>
        <v>1109</v>
      </c>
      <c r="C56" s="41">
        <f>132+579</f>
        <v>711</v>
      </c>
      <c r="D56" s="41">
        <v>577</v>
      </c>
      <c r="E56" s="41">
        <v>709</v>
      </c>
      <c r="F56" s="41">
        <v>943</v>
      </c>
      <c r="G56" s="41">
        <v>939</v>
      </c>
      <c r="H56" s="41">
        <v>1232</v>
      </c>
      <c r="I56" s="41">
        <v>1463</v>
      </c>
      <c r="J56" s="104">
        <f t="shared" si="22"/>
        <v>0.11621594334119843</v>
      </c>
      <c r="K56" s="5"/>
    </row>
    <row r="57" spans="1:11" x14ac:dyDescent="0.2">
      <c r="A57" s="5" t="s">
        <v>15</v>
      </c>
      <c r="B57" s="48">
        <f>SUM(B49:B56)</f>
        <v>6833</v>
      </c>
      <c r="C57" s="48">
        <f>SUM(C49:C56)</f>
        <v>5773</v>
      </c>
      <c r="D57" s="48">
        <f t="shared" ref="D57:G57" si="23">SUM(D49:D56)</f>
        <v>6962</v>
      </c>
      <c r="E57" s="48">
        <f t="shared" si="23"/>
        <v>7763</v>
      </c>
      <c r="F57" s="48">
        <f t="shared" si="23"/>
        <v>6994</v>
      </c>
      <c r="G57" s="101">
        <f t="shared" si="23"/>
        <v>7198</v>
      </c>
      <c r="H57" s="101">
        <f t="shared" ref="H57" si="24">SUM(H49:H56)</f>
        <v>8120</v>
      </c>
      <c r="I57" s="101">
        <f>SUM(I49:I56)</f>
        <v>7518</v>
      </c>
      <c r="J57" s="103">
        <f t="shared" si="22"/>
        <v>7.0609010894646954E-2</v>
      </c>
      <c r="K57" s="5"/>
    </row>
    <row r="58" spans="1:11" ht="15.75" x14ac:dyDescent="0.25">
      <c r="A58" s="7" t="s">
        <v>127</v>
      </c>
      <c r="B58" s="40"/>
      <c r="C58" s="40"/>
      <c r="D58" s="40"/>
      <c r="E58" s="40"/>
      <c r="F58" s="40"/>
      <c r="G58" s="41"/>
      <c r="H58" s="41"/>
      <c r="I58" s="41"/>
      <c r="J58" s="103"/>
      <c r="K58" s="5"/>
    </row>
    <row r="59" spans="1:11" x14ac:dyDescent="0.2">
      <c r="A59" s="5" t="s">
        <v>135</v>
      </c>
      <c r="B59" s="40">
        <v>13730</v>
      </c>
      <c r="C59" s="40">
        <v>14023</v>
      </c>
      <c r="D59" s="40">
        <f>14785+890</f>
        <v>15675</v>
      </c>
      <c r="E59" s="40">
        <v>15478</v>
      </c>
      <c r="F59" s="40">
        <v>16877</v>
      </c>
      <c r="G59" s="41">
        <v>18348</v>
      </c>
      <c r="H59" s="41">
        <v>20172</v>
      </c>
      <c r="I59" s="41">
        <v>20807</v>
      </c>
      <c r="J59" s="103">
        <f t="shared" si="22"/>
        <v>7.5428657318998088E-2</v>
      </c>
      <c r="K59" s="5"/>
    </row>
    <row r="60" spans="1:11" x14ac:dyDescent="0.2">
      <c r="A60" s="5" t="s">
        <v>77</v>
      </c>
      <c r="B60" s="40">
        <f>268+1483</f>
        <v>1751</v>
      </c>
      <c r="C60" s="40">
        <f>268+1467</f>
        <v>1735</v>
      </c>
      <c r="D60" s="40">
        <v>1719</v>
      </c>
      <c r="E60" s="40">
        <v>1373</v>
      </c>
      <c r="F60" s="40">
        <v>1373</v>
      </c>
      <c r="G60" s="41">
        <v>1374</v>
      </c>
      <c r="H60" s="41">
        <v>1358</v>
      </c>
      <c r="I60" s="41">
        <v>1849</v>
      </c>
      <c r="J60" s="103">
        <f t="shared" si="22"/>
        <v>-4.7817800860598343E-2</v>
      </c>
      <c r="K60" s="5"/>
    </row>
    <row r="61" spans="1:11" x14ac:dyDescent="0.2">
      <c r="A61" s="5" t="s">
        <v>134</v>
      </c>
      <c r="B61" s="50"/>
      <c r="C61" s="50"/>
      <c r="D61" s="50"/>
      <c r="E61" s="50"/>
      <c r="F61" s="50">
        <v>1080</v>
      </c>
      <c r="G61" s="91">
        <v>2083</v>
      </c>
      <c r="H61" s="91">
        <v>2086</v>
      </c>
      <c r="I61" s="91">
        <v>1530</v>
      </c>
      <c r="J61" s="104"/>
      <c r="K61" s="5"/>
    </row>
    <row r="62" spans="1:11" x14ac:dyDescent="0.2">
      <c r="A62" s="5" t="s">
        <v>78</v>
      </c>
      <c r="B62" s="40">
        <f t="shared" ref="B62" si="25">+B61+B60+B59</f>
        <v>15481</v>
      </c>
      <c r="C62" s="40">
        <f t="shared" ref="C62:F62" si="26">+C61+C60+C59</f>
        <v>15758</v>
      </c>
      <c r="D62" s="40">
        <f t="shared" si="26"/>
        <v>17394</v>
      </c>
      <c r="E62" s="40">
        <f t="shared" si="26"/>
        <v>16851</v>
      </c>
      <c r="F62" s="40">
        <f t="shared" si="26"/>
        <v>19330</v>
      </c>
      <c r="G62" s="41">
        <f>+G61+G60+G59</f>
        <v>21805</v>
      </c>
      <c r="H62" s="41">
        <f>+H61+H60+H59</f>
        <v>23616</v>
      </c>
      <c r="I62" s="41">
        <f>+I61+I60+I59</f>
        <v>24186</v>
      </c>
      <c r="J62" s="103">
        <f t="shared" si="22"/>
        <v>8.427900557810411E-2</v>
      </c>
      <c r="K62" s="5"/>
    </row>
    <row r="63" spans="1:11" x14ac:dyDescent="0.2">
      <c r="A63" s="5"/>
      <c r="B63" s="40"/>
      <c r="C63" s="40"/>
      <c r="D63" s="40"/>
      <c r="E63" s="40"/>
      <c r="F63" s="40"/>
      <c r="G63" s="41"/>
      <c r="H63" s="41"/>
      <c r="I63" s="41"/>
      <c r="J63" s="108"/>
      <c r="K63" s="5"/>
    </row>
    <row r="64" spans="1:11" x14ac:dyDescent="0.2">
      <c r="A64" s="5" t="s">
        <v>81</v>
      </c>
      <c r="B64" s="40">
        <v>1260</v>
      </c>
      <c r="C64" s="40">
        <v>765</v>
      </c>
      <c r="D64" s="40">
        <v>962</v>
      </c>
      <c r="E64" s="40">
        <v>1831</v>
      </c>
      <c r="F64" s="40">
        <v>481</v>
      </c>
      <c r="G64" s="41">
        <v>1296</v>
      </c>
      <c r="H64" s="41">
        <v>1199</v>
      </c>
      <c r="I64" s="41"/>
      <c r="J64" s="103">
        <f t="shared" si="22"/>
        <v>9.4035840290069631E-2</v>
      </c>
      <c r="K64" s="5"/>
    </row>
    <row r="65" spans="1:11" x14ac:dyDescent="0.2">
      <c r="A65" s="5" t="s">
        <v>79</v>
      </c>
      <c r="B65" s="40">
        <v>1215</v>
      </c>
      <c r="C65" s="40">
        <v>1392</v>
      </c>
      <c r="D65" s="40">
        <v>1324</v>
      </c>
      <c r="E65" s="40">
        <v>1514</v>
      </c>
      <c r="F65" s="40">
        <v>2001</v>
      </c>
      <c r="G65" s="41">
        <v>1991</v>
      </c>
      <c r="H65" s="41">
        <v>2285</v>
      </c>
      <c r="I65" s="41">
        <v>2354</v>
      </c>
      <c r="J65" s="103">
        <f t="shared" si="22"/>
        <v>0.10420419775565777</v>
      </c>
      <c r="K65" s="5"/>
    </row>
    <row r="66" spans="1:11" x14ac:dyDescent="0.2">
      <c r="A66" s="5" t="s">
        <v>65</v>
      </c>
      <c r="B66" s="40">
        <v>1605</v>
      </c>
      <c r="C66" s="40">
        <v>1577</v>
      </c>
      <c r="D66" s="40">
        <v>1383</v>
      </c>
      <c r="E66" s="40">
        <v>1641</v>
      </c>
      <c r="F66" s="40">
        <v>1484</v>
      </c>
      <c r="G66" s="41">
        <v>1633</v>
      </c>
      <c r="H66" s="41">
        <v>1887</v>
      </c>
      <c r="I66" s="41">
        <v>1916</v>
      </c>
      <c r="J66" s="103">
        <f t="shared" si="22"/>
        <v>3.6544714317962065E-2</v>
      </c>
      <c r="K66" s="5"/>
    </row>
    <row r="67" spans="1:11" x14ac:dyDescent="0.2">
      <c r="A67" s="5" t="s">
        <v>17</v>
      </c>
      <c r="B67" s="40">
        <v>4244</v>
      </c>
      <c r="C67" s="40">
        <v>4708</v>
      </c>
      <c r="D67" s="40">
        <v>5216</v>
      </c>
      <c r="E67" s="40">
        <v>5800</v>
      </c>
      <c r="F67" s="40">
        <v>7114</v>
      </c>
      <c r="G67" s="41">
        <v>7444</v>
      </c>
      <c r="H67" s="41">
        <v>7414</v>
      </c>
      <c r="I67" s="41">
        <v>7536</v>
      </c>
      <c r="J67" s="103">
        <f t="shared" si="22"/>
        <v>9.5073389137648581E-2</v>
      </c>
      <c r="K67" s="5"/>
    </row>
    <row r="68" spans="1:11" x14ac:dyDescent="0.2">
      <c r="A68" s="5" t="s">
        <v>14</v>
      </c>
      <c r="B68" s="40">
        <v>474</v>
      </c>
      <c r="C68" s="40">
        <v>590</v>
      </c>
      <c r="D68" s="40">
        <v>613</v>
      </c>
      <c r="E68" s="40">
        <v>556</v>
      </c>
      <c r="F68" s="40">
        <v>793</v>
      </c>
      <c r="G68" s="41">
        <v>1003</v>
      </c>
      <c r="H68" s="41">
        <v>674</v>
      </c>
      <c r="I68" s="41">
        <v>1980</v>
      </c>
      <c r="J68" s="103">
        <f t="shared" si="22"/>
        <v>2.697903283640905E-2</v>
      </c>
      <c r="K68" s="5"/>
    </row>
    <row r="69" spans="1:11" x14ac:dyDescent="0.2">
      <c r="A69" s="5" t="s">
        <v>88</v>
      </c>
      <c r="B69" s="40">
        <v>257</v>
      </c>
      <c r="C69" s="40">
        <v>257</v>
      </c>
      <c r="D69" s="40">
        <v>257</v>
      </c>
      <c r="E69" s="40">
        <v>257</v>
      </c>
      <c r="F69" s="40">
        <v>257</v>
      </c>
      <c r="G69" s="41"/>
      <c r="H69" s="41"/>
      <c r="I69" s="41"/>
      <c r="J69" s="104">
        <f t="shared" si="22"/>
        <v>-0.99999940914518248</v>
      </c>
      <c r="K69" s="5"/>
    </row>
    <row r="70" spans="1:11" x14ac:dyDescent="0.2">
      <c r="A70" s="5" t="s">
        <v>80</v>
      </c>
      <c r="B70" s="48">
        <f t="shared" ref="B70:G70" si="27">SUM(B62:B69)</f>
        <v>24536</v>
      </c>
      <c r="C70" s="48">
        <f t="shared" si="27"/>
        <v>25047</v>
      </c>
      <c r="D70" s="48">
        <f t="shared" si="27"/>
        <v>27149</v>
      </c>
      <c r="E70" s="48">
        <f t="shared" si="27"/>
        <v>28450</v>
      </c>
      <c r="F70" s="48">
        <f t="shared" si="27"/>
        <v>31460</v>
      </c>
      <c r="G70" s="101">
        <f t="shared" si="27"/>
        <v>35172</v>
      </c>
      <c r="H70" s="101">
        <f>SUM(H62:H69)</f>
        <v>37075</v>
      </c>
      <c r="I70" s="101">
        <f>SUM(I62:I69)</f>
        <v>37972</v>
      </c>
      <c r="J70" s="105">
        <f t="shared" si="22"/>
        <v>8.1596040618183804E-2</v>
      </c>
      <c r="K70" s="5"/>
    </row>
    <row r="71" spans="1:11" ht="15.75" x14ac:dyDescent="0.25">
      <c r="A71" s="7" t="s">
        <v>128</v>
      </c>
      <c r="B71" s="65">
        <f t="shared" ref="B71:I71" si="28">B70+B57</f>
        <v>31369</v>
      </c>
      <c r="C71" s="65">
        <f t="shared" si="28"/>
        <v>30820</v>
      </c>
      <c r="D71" s="65">
        <f t="shared" si="28"/>
        <v>34111</v>
      </c>
      <c r="E71" s="65">
        <f t="shared" si="28"/>
        <v>36213</v>
      </c>
      <c r="F71" s="65">
        <f>F70+F57</f>
        <v>38454</v>
      </c>
      <c r="G71" s="64">
        <f t="shared" si="28"/>
        <v>42370</v>
      </c>
      <c r="H71" s="64">
        <f t="shared" si="28"/>
        <v>45195</v>
      </c>
      <c r="I71" s="64">
        <f t="shared" si="28"/>
        <v>45490</v>
      </c>
      <c r="J71" s="103">
        <f t="shared" si="22"/>
        <v>7.9571848836156756E-2</v>
      </c>
      <c r="K71" s="5"/>
    </row>
    <row r="72" spans="1:11" x14ac:dyDescent="0.2">
      <c r="A72" s="5"/>
      <c r="B72" s="40"/>
      <c r="C72" s="40"/>
      <c r="D72" s="40"/>
      <c r="E72" s="40"/>
      <c r="F72" s="40"/>
      <c r="G72" s="41"/>
      <c r="H72" s="41"/>
      <c r="I72" s="41"/>
      <c r="J72" s="103"/>
      <c r="K72" s="5"/>
    </row>
    <row r="73" spans="1:11" ht="15.75" x14ac:dyDescent="0.25">
      <c r="A73" s="53" t="s">
        <v>82</v>
      </c>
      <c r="B73" s="40"/>
      <c r="C73" s="40"/>
      <c r="D73" s="40"/>
      <c r="E73" s="40"/>
      <c r="F73" s="40"/>
      <c r="G73" s="41"/>
      <c r="H73" s="41"/>
      <c r="I73" s="41"/>
      <c r="J73" s="103"/>
      <c r="K73" s="5"/>
    </row>
    <row r="74" spans="1:11" x14ac:dyDescent="0.2">
      <c r="A74" s="17" t="s">
        <v>83</v>
      </c>
      <c r="B74" s="40">
        <v>6525</v>
      </c>
      <c r="C74" s="40">
        <v>5715</v>
      </c>
      <c r="D74" s="40">
        <v>5180</v>
      </c>
      <c r="E74" s="40">
        <v>5493</v>
      </c>
      <c r="F74" s="40">
        <v>5783</v>
      </c>
      <c r="G74" s="41">
        <v>5876</v>
      </c>
      <c r="H74" s="41">
        <v>6680</v>
      </c>
      <c r="I74" s="41">
        <v>6778</v>
      </c>
      <c r="J74" s="103">
        <f t="shared" ref="J74:J77" si="29">RATE(5,,-C74,H74)</f>
        <v>3.1696709849013127E-2</v>
      </c>
      <c r="K74" s="5"/>
    </row>
    <row r="75" spans="1:11" x14ac:dyDescent="0.2">
      <c r="A75" s="5" t="s">
        <v>18</v>
      </c>
      <c r="B75" s="40">
        <f>185+4686</f>
        <v>4871</v>
      </c>
      <c r="C75" s="40">
        <f>194+6418</f>
        <v>6612</v>
      </c>
      <c r="D75" s="40">
        <f>179+6697</f>
        <v>6876</v>
      </c>
      <c r="E75" s="40">
        <f>162+5790</f>
        <v>5952</v>
      </c>
      <c r="F75" s="40">
        <v>6183</v>
      </c>
      <c r="G75" s="41">
        <v>6095</v>
      </c>
      <c r="H75" s="41">
        <v>6458</v>
      </c>
      <c r="I75" s="41">
        <v>6565</v>
      </c>
      <c r="J75" s="103">
        <f t="shared" si="29"/>
        <v>-4.7022113495290034E-3</v>
      </c>
      <c r="K75" s="5"/>
    </row>
    <row r="76" spans="1:11" x14ac:dyDescent="0.2">
      <c r="A76" s="5" t="s">
        <v>84</v>
      </c>
      <c r="B76" s="40">
        <v>-211</v>
      </c>
      <c r="C76" s="40">
        <v>-330</v>
      </c>
      <c r="D76" s="40">
        <v>-610</v>
      </c>
      <c r="E76" s="40">
        <v>-877</v>
      </c>
      <c r="F76" s="40">
        <v>-324</v>
      </c>
      <c r="G76" s="41">
        <v>-416</v>
      </c>
      <c r="H76" s="41">
        <v>-474</v>
      </c>
      <c r="I76" s="41">
        <v>-463</v>
      </c>
      <c r="J76" s="104">
        <f t="shared" si="29"/>
        <v>7.5109947887239695E-2</v>
      </c>
      <c r="K76" s="5"/>
    </row>
    <row r="77" spans="1:11" ht="15.75" x14ac:dyDescent="0.25">
      <c r="A77" s="53" t="s">
        <v>85</v>
      </c>
      <c r="B77" s="48">
        <f>SUM(B73:B76)</f>
        <v>11185</v>
      </c>
      <c r="C77" s="48">
        <f>SUM(C73:C76)</f>
        <v>11997</v>
      </c>
      <c r="D77" s="48">
        <f t="shared" ref="D77:G77" si="30">SUM(D73:D76)</f>
        <v>11446</v>
      </c>
      <c r="E77" s="48">
        <f t="shared" si="30"/>
        <v>10568</v>
      </c>
      <c r="F77" s="48">
        <f t="shared" si="30"/>
        <v>11642</v>
      </c>
      <c r="G77" s="101">
        <f t="shared" si="30"/>
        <v>11555</v>
      </c>
      <c r="H77" s="101">
        <f>SUM(H73:H76)</f>
        <v>12664</v>
      </c>
      <c r="I77" s="101">
        <f>SUM(I73:I76)</f>
        <v>12880</v>
      </c>
      <c r="J77" s="103">
        <f t="shared" si="29"/>
        <v>1.0880103289298211E-2</v>
      </c>
      <c r="K77" s="5"/>
    </row>
    <row r="78" spans="1:11" x14ac:dyDescent="0.2">
      <c r="A78" s="17" t="s">
        <v>86</v>
      </c>
      <c r="B78" s="40"/>
      <c r="C78" s="40"/>
      <c r="D78" s="40">
        <v>57</v>
      </c>
      <c r="E78" s="40">
        <v>57</v>
      </c>
      <c r="F78" s="40">
        <v>0</v>
      </c>
      <c r="G78" s="40">
        <v>402</v>
      </c>
      <c r="H78" s="40">
        <v>938</v>
      </c>
      <c r="I78" s="40">
        <v>1135</v>
      </c>
      <c r="J78" s="103"/>
      <c r="K78" s="5"/>
    </row>
    <row r="79" spans="1:11" ht="15.75" x14ac:dyDescent="0.25">
      <c r="A79" s="53" t="s">
        <v>87</v>
      </c>
      <c r="B79" s="66">
        <f t="shared" ref="B79" si="31">+B78+B77</f>
        <v>11185</v>
      </c>
      <c r="C79" s="66">
        <f t="shared" ref="C79:F79" si="32">+C78+C77</f>
        <v>11997</v>
      </c>
      <c r="D79" s="66">
        <f t="shared" si="32"/>
        <v>11503</v>
      </c>
      <c r="E79" s="66">
        <f t="shared" si="32"/>
        <v>10625</v>
      </c>
      <c r="F79" s="66">
        <f t="shared" si="32"/>
        <v>11642</v>
      </c>
      <c r="G79" s="66">
        <f>+G78+G77</f>
        <v>11957</v>
      </c>
      <c r="H79" s="66">
        <f>+H78+H77</f>
        <v>13602</v>
      </c>
      <c r="I79" s="66">
        <f>+I78+I77</f>
        <v>14015</v>
      </c>
      <c r="J79" s="104">
        <f t="shared" ref="J79" si="33">RATE(5,,-C79,H79)</f>
        <v>2.5430007823288806E-2</v>
      </c>
      <c r="K79" s="5"/>
    </row>
    <row r="80" spans="1:11" ht="16.5" thickBot="1" x14ac:dyDescent="0.3">
      <c r="A80" s="7" t="s">
        <v>129</v>
      </c>
      <c r="B80" s="67">
        <f t="shared" ref="B80" si="34">B79+B71</f>
        <v>42554</v>
      </c>
      <c r="C80" s="67">
        <f t="shared" ref="C80:F80" si="35">C79+C71</f>
        <v>42817</v>
      </c>
      <c r="D80" s="67">
        <f t="shared" si="35"/>
        <v>45614</v>
      </c>
      <c r="E80" s="67">
        <f t="shared" si="35"/>
        <v>46838</v>
      </c>
      <c r="F80" s="67">
        <f t="shared" si="35"/>
        <v>50096</v>
      </c>
      <c r="G80" s="67">
        <f>G79+G71</f>
        <v>54327</v>
      </c>
      <c r="H80" s="67">
        <f>H79+H71</f>
        <v>58797</v>
      </c>
      <c r="I80" s="67">
        <f>I79+I71</f>
        <v>59505</v>
      </c>
      <c r="J80" s="106">
        <f t="shared" ref="J80" si="36">RATE(5,,-C80,H80)</f>
        <v>6.5486095406141018E-2</v>
      </c>
      <c r="K80" s="18"/>
    </row>
    <row r="81" spans="1:11" ht="15.75" thickTop="1" x14ac:dyDescent="0.2">
      <c r="A81" s="54"/>
      <c r="B81" s="74"/>
      <c r="C81" s="55"/>
      <c r="D81" s="55"/>
      <c r="E81" s="55"/>
      <c r="F81" s="55"/>
      <c r="G81" s="55"/>
      <c r="H81" s="55"/>
      <c r="I81" s="55"/>
      <c r="J81" s="16"/>
    </row>
    <row r="82" spans="1:11" x14ac:dyDescent="0.2">
      <c r="A82" s="57"/>
      <c r="B82" s="75"/>
      <c r="C82" s="24"/>
      <c r="D82" s="24"/>
      <c r="E82" s="24"/>
      <c r="F82" s="24"/>
      <c r="G82" s="24"/>
      <c r="H82" s="24"/>
      <c r="I82" s="24"/>
      <c r="J82" s="6"/>
      <c r="K82" s="5"/>
    </row>
    <row r="83" spans="1:11" x14ac:dyDescent="0.2">
      <c r="A83" s="5"/>
      <c r="B83" s="40"/>
      <c r="C83" s="5"/>
      <c r="D83" s="5"/>
      <c r="E83" s="5"/>
      <c r="F83" s="5"/>
      <c r="G83" s="5"/>
      <c r="H83" s="5"/>
      <c r="I83" s="5"/>
      <c r="J83" s="32" t="str">
        <f>+J1</f>
        <v>DPU Exhibit 1.7 DIR</v>
      </c>
      <c r="K83" s="5"/>
    </row>
    <row r="84" spans="1:11" x14ac:dyDescent="0.2">
      <c r="A84" s="5"/>
      <c r="B84" s="40"/>
      <c r="C84" s="5"/>
      <c r="D84" s="5"/>
      <c r="E84" s="5"/>
      <c r="F84" s="5"/>
      <c r="G84" s="5"/>
      <c r="H84" s="5"/>
      <c r="I84" s="5"/>
      <c r="J84" s="32" t="s">
        <v>55</v>
      </c>
      <c r="K84" s="5"/>
    </row>
    <row r="85" spans="1:11" ht="15.75" x14ac:dyDescent="0.25">
      <c r="A85" s="2" t="str">
        <f>A3</f>
        <v xml:space="preserve">Dominion Resources, Inc. </v>
      </c>
      <c r="B85" s="71"/>
      <c r="C85" s="2"/>
      <c r="D85" s="2"/>
      <c r="E85" s="2"/>
      <c r="F85" s="2"/>
      <c r="G85" s="2"/>
      <c r="H85" s="2"/>
      <c r="I85" s="2"/>
      <c r="J85" s="4"/>
      <c r="K85" s="5"/>
    </row>
    <row r="86" spans="1:11" ht="15.75" x14ac:dyDescent="0.25">
      <c r="A86" s="2" t="s">
        <v>19</v>
      </c>
      <c r="B86" s="71"/>
      <c r="C86" s="2"/>
      <c r="D86" s="2"/>
      <c r="E86" s="2"/>
      <c r="F86" s="2"/>
      <c r="G86" s="2"/>
      <c r="H86" s="2"/>
      <c r="I86" s="2"/>
      <c r="J86" s="4"/>
      <c r="K86" s="5"/>
    </row>
    <row r="87" spans="1:11" ht="15.75" x14ac:dyDescent="0.25">
      <c r="A87" s="3" t="str">
        <f>A5</f>
        <v>Years Ended December 31</v>
      </c>
      <c r="B87" s="71"/>
      <c r="C87" s="2"/>
      <c r="D87" s="2"/>
      <c r="E87" s="2"/>
      <c r="F87" s="2"/>
      <c r="G87" s="2"/>
      <c r="H87" s="2"/>
      <c r="I87" s="2"/>
      <c r="J87" s="4"/>
      <c r="K87" s="5"/>
    </row>
    <row r="88" spans="1:11" ht="15.75" x14ac:dyDescent="0.25">
      <c r="A88" s="63" t="str">
        <f>+A6</f>
        <v>(Dollars in Millions)</v>
      </c>
      <c r="B88" s="72"/>
      <c r="C88" s="7"/>
      <c r="D88" s="7"/>
      <c r="E88" s="7"/>
      <c r="F88" s="7"/>
      <c r="G88" s="7"/>
      <c r="H88" s="7"/>
      <c r="I88" s="7"/>
      <c r="J88" s="33" t="str">
        <f>J6</f>
        <v>2010 to 2015</v>
      </c>
      <c r="K88" s="5"/>
    </row>
    <row r="89" spans="1:11" ht="15.75" x14ac:dyDescent="0.25">
      <c r="A89" s="7"/>
      <c r="B89" s="67"/>
      <c r="C89" s="20"/>
      <c r="D89" s="20"/>
      <c r="E89" s="20"/>
      <c r="F89" s="20"/>
      <c r="G89" s="20"/>
      <c r="H89" s="20"/>
      <c r="I89" s="11" t="str">
        <f>+I7</f>
        <v>1st Qrtr</v>
      </c>
      <c r="J89" s="34" t="s">
        <v>2</v>
      </c>
      <c r="K89" s="5"/>
    </row>
    <row r="90" spans="1:11" ht="15.75" x14ac:dyDescent="0.25">
      <c r="A90" s="52" t="s">
        <v>3</v>
      </c>
      <c r="B90" s="76">
        <f t="shared" ref="B90:H90" si="37">+B8</f>
        <v>2009</v>
      </c>
      <c r="C90" s="43">
        <f t="shared" si="37"/>
        <v>2010</v>
      </c>
      <c r="D90" s="43">
        <f t="shared" si="37"/>
        <v>2011</v>
      </c>
      <c r="E90" s="43">
        <f t="shared" si="37"/>
        <v>2012</v>
      </c>
      <c r="F90" s="43">
        <f t="shared" si="37"/>
        <v>2013</v>
      </c>
      <c r="G90" s="43">
        <f t="shared" si="37"/>
        <v>2014</v>
      </c>
      <c r="H90" s="43">
        <f t="shared" si="37"/>
        <v>2015</v>
      </c>
      <c r="I90" s="43">
        <f>+I8</f>
        <v>2016</v>
      </c>
      <c r="J90" s="90" t="s">
        <v>4</v>
      </c>
      <c r="K90" s="5"/>
    </row>
    <row r="91" spans="1:11" hidden="1" x14ac:dyDescent="0.2">
      <c r="A91" s="5"/>
      <c r="B91" s="40"/>
      <c r="C91" s="70"/>
      <c r="D91" s="70"/>
      <c r="E91" s="70"/>
      <c r="F91" s="70"/>
      <c r="G91" s="70"/>
      <c r="H91" s="70"/>
      <c r="I91" s="21"/>
      <c r="J91" s="22"/>
      <c r="K91" s="5"/>
    </row>
    <row r="92" spans="1:11" x14ac:dyDescent="0.2">
      <c r="A92" s="5" t="s">
        <v>20</v>
      </c>
      <c r="B92" s="40">
        <v>14798</v>
      </c>
      <c r="C92" s="40">
        <v>14927</v>
      </c>
      <c r="D92" s="40">
        <v>14145</v>
      </c>
      <c r="E92" s="40">
        <v>12835</v>
      </c>
      <c r="F92" s="40">
        <v>13120</v>
      </c>
      <c r="G92" s="40">
        <v>12436</v>
      </c>
      <c r="H92" s="40">
        <v>11683</v>
      </c>
      <c r="I92" s="40">
        <v>2921</v>
      </c>
      <c r="J92" s="103">
        <f>RATE(5,,-C92,H92)</f>
        <v>-4.7825889738523718E-2</v>
      </c>
      <c r="K92" s="5"/>
    </row>
    <row r="93" spans="1:11" x14ac:dyDescent="0.2">
      <c r="A93" s="5"/>
      <c r="B93" s="40"/>
      <c r="C93" s="40"/>
      <c r="D93" s="40"/>
      <c r="E93" s="40"/>
      <c r="F93" s="40"/>
      <c r="G93" s="40"/>
      <c r="H93" s="40"/>
      <c r="I93" s="40"/>
      <c r="J93" s="103"/>
      <c r="K93" s="5"/>
    </row>
    <row r="94" spans="1:11" x14ac:dyDescent="0.2">
      <c r="A94" s="5" t="s">
        <v>21</v>
      </c>
      <c r="B94" s="40"/>
      <c r="C94" s="40"/>
      <c r="D94" s="40"/>
      <c r="E94" s="40"/>
      <c r="F94" s="40"/>
      <c r="G94" s="40"/>
      <c r="H94" s="40"/>
      <c r="I94" s="40"/>
      <c r="J94" s="103"/>
      <c r="K94" s="5"/>
    </row>
    <row r="95" spans="1:11" x14ac:dyDescent="0.2">
      <c r="A95" s="12" t="s">
        <v>112</v>
      </c>
      <c r="B95" s="40">
        <v>4285</v>
      </c>
      <c r="C95" s="40">
        <v>4034</v>
      </c>
      <c r="D95" s="40">
        <v>4097</v>
      </c>
      <c r="E95" s="40">
        <v>3645</v>
      </c>
      <c r="F95" s="40">
        <v>3885</v>
      </c>
      <c r="G95" s="40">
        <v>3400</v>
      </c>
      <c r="H95" s="40">
        <v>2725</v>
      </c>
      <c r="I95" s="40">
        <v>634</v>
      </c>
      <c r="J95" s="103">
        <f t="shared" ref="J95:J99" si="38">RATE(5,,-C95,H95)</f>
        <v>-7.5459112277569476E-2</v>
      </c>
      <c r="K95" s="61"/>
    </row>
    <row r="96" spans="1:11" x14ac:dyDescent="0.2">
      <c r="A96" s="12" t="s">
        <v>113</v>
      </c>
      <c r="B96" s="40">
        <v>411</v>
      </c>
      <c r="C96" s="40">
        <v>453</v>
      </c>
      <c r="D96" s="40">
        <v>454</v>
      </c>
      <c r="E96" s="40">
        <v>387</v>
      </c>
      <c r="F96" s="40">
        <v>358</v>
      </c>
      <c r="G96" s="40">
        <v>361</v>
      </c>
      <c r="H96" s="40">
        <v>330</v>
      </c>
      <c r="I96" s="40">
        <v>68</v>
      </c>
      <c r="J96" s="103">
        <f t="shared" si="38"/>
        <v>-6.13943858225292E-2</v>
      </c>
      <c r="K96" s="5"/>
    </row>
    <row r="97" spans="1:11" x14ac:dyDescent="0.2">
      <c r="A97" s="12" t="s">
        <v>114</v>
      </c>
      <c r="B97" s="40">
        <v>2200</v>
      </c>
      <c r="C97" s="40">
        <v>2049</v>
      </c>
      <c r="D97" s="40">
        <v>1764</v>
      </c>
      <c r="E97" s="40">
        <v>1177</v>
      </c>
      <c r="F97" s="40">
        <v>1331</v>
      </c>
      <c r="G97" s="40">
        <v>1355</v>
      </c>
      <c r="H97" s="40">
        <v>551</v>
      </c>
      <c r="I97" s="40">
        <v>119</v>
      </c>
      <c r="J97" s="103">
        <f t="shared" si="38"/>
        <v>-0.23100781172431659</v>
      </c>
      <c r="K97" s="5"/>
    </row>
    <row r="98" spans="1:11" x14ac:dyDescent="0.2">
      <c r="A98" s="12" t="s">
        <v>115</v>
      </c>
      <c r="B98" s="40">
        <v>3712</v>
      </c>
      <c r="C98" s="40">
        <v>3448</v>
      </c>
      <c r="D98" s="40">
        <v>3322</v>
      </c>
      <c r="E98" s="40">
        <v>3091</v>
      </c>
      <c r="F98" s="40">
        <v>2459</v>
      </c>
      <c r="G98" s="40">
        <v>2765</v>
      </c>
      <c r="H98" s="40">
        <v>2595</v>
      </c>
      <c r="I98" s="40">
        <v>703</v>
      </c>
      <c r="J98" s="103"/>
      <c r="K98" s="5"/>
    </row>
    <row r="99" spans="1:11" x14ac:dyDescent="0.2">
      <c r="A99" s="12" t="s">
        <v>116</v>
      </c>
      <c r="B99" s="40">
        <v>1138</v>
      </c>
      <c r="C99" s="40">
        <v>1035</v>
      </c>
      <c r="D99" s="40">
        <v>1066</v>
      </c>
      <c r="E99" s="40">
        <v>1127</v>
      </c>
      <c r="F99" s="40">
        <v>1208</v>
      </c>
      <c r="G99" s="40">
        <v>1292</v>
      </c>
      <c r="H99" s="40">
        <v>1395</v>
      </c>
      <c r="I99" s="40">
        <v>351</v>
      </c>
      <c r="J99" s="103">
        <f t="shared" si="38"/>
        <v>6.1516554805442977E-2</v>
      </c>
      <c r="K99" s="5"/>
    </row>
    <row r="100" spans="1:11" x14ac:dyDescent="0.2">
      <c r="A100" s="12" t="s">
        <v>118</v>
      </c>
      <c r="B100" s="40"/>
      <c r="C100" s="40"/>
      <c r="D100" s="40"/>
      <c r="E100" s="40"/>
      <c r="F100" s="40"/>
      <c r="G100" s="40"/>
      <c r="H100" s="40"/>
      <c r="I100" s="40"/>
      <c r="J100" s="103"/>
      <c r="K100" s="5"/>
    </row>
    <row r="101" spans="1:11" x14ac:dyDescent="0.2">
      <c r="A101" s="12" t="s">
        <v>117</v>
      </c>
      <c r="B101" s="40">
        <v>483</v>
      </c>
      <c r="C101" s="40">
        <v>524</v>
      </c>
      <c r="D101" s="40">
        <v>548</v>
      </c>
      <c r="E101" s="40">
        <v>550</v>
      </c>
      <c r="F101" s="40">
        <v>563</v>
      </c>
      <c r="G101" s="40">
        <v>542</v>
      </c>
      <c r="H101" s="40">
        <v>551</v>
      </c>
      <c r="I101" s="40">
        <v>164</v>
      </c>
      <c r="J101" s="103"/>
      <c r="K101" s="5"/>
    </row>
    <row r="102" spans="1:11" x14ac:dyDescent="0.2">
      <c r="A102" s="12" t="s">
        <v>133</v>
      </c>
      <c r="B102" s="40"/>
      <c r="C102" s="40">
        <v>-2467</v>
      </c>
      <c r="D102" s="40"/>
      <c r="E102" s="40"/>
      <c r="F102" s="40"/>
      <c r="G102" s="40"/>
      <c r="H102" s="40"/>
      <c r="I102" s="40"/>
      <c r="J102" s="104"/>
      <c r="K102" s="5"/>
    </row>
    <row r="103" spans="1:11" x14ac:dyDescent="0.2">
      <c r="A103" s="5" t="s">
        <v>22</v>
      </c>
      <c r="B103" s="48">
        <f>SUM(B94:B102)</f>
        <v>12229</v>
      </c>
      <c r="C103" s="48">
        <f>SUM(C94:C102)</f>
        <v>9076</v>
      </c>
      <c r="D103" s="48">
        <f t="shared" ref="D103:H103" si="39">SUM(D94:D101)</f>
        <v>11251</v>
      </c>
      <c r="E103" s="48">
        <f t="shared" si="39"/>
        <v>9977</v>
      </c>
      <c r="F103" s="48">
        <f t="shared" si="39"/>
        <v>9804</v>
      </c>
      <c r="G103" s="48">
        <f t="shared" si="39"/>
        <v>9715</v>
      </c>
      <c r="H103" s="48">
        <f t="shared" si="39"/>
        <v>8147</v>
      </c>
      <c r="I103" s="48">
        <f>SUM(I94:I102)</f>
        <v>2039</v>
      </c>
      <c r="J103" s="105">
        <f t="shared" ref="J103:J106" si="40">RATE(5,,-C103,H103)</f>
        <v>-2.1365220907492207E-2</v>
      </c>
      <c r="K103" s="5"/>
    </row>
    <row r="104" spans="1:11" x14ac:dyDescent="0.2">
      <c r="A104" s="5" t="s">
        <v>23</v>
      </c>
      <c r="B104" s="48">
        <f t="shared" ref="B104:H104" si="41">B92-B103</f>
        <v>2569</v>
      </c>
      <c r="C104" s="48">
        <f t="shared" si="41"/>
        <v>5851</v>
      </c>
      <c r="D104" s="48">
        <f t="shared" si="41"/>
        <v>2894</v>
      </c>
      <c r="E104" s="48">
        <f t="shared" si="41"/>
        <v>2858</v>
      </c>
      <c r="F104" s="48">
        <f t="shared" si="41"/>
        <v>3316</v>
      </c>
      <c r="G104" s="48">
        <f t="shared" si="41"/>
        <v>2721</v>
      </c>
      <c r="H104" s="48">
        <f t="shared" si="41"/>
        <v>3536</v>
      </c>
      <c r="I104" s="48">
        <f t="shared" ref="I104" si="42">I92-I103</f>
        <v>882</v>
      </c>
      <c r="J104" s="103">
        <f t="shared" si="40"/>
        <v>-9.5816803753908719E-2</v>
      </c>
      <c r="K104" s="5"/>
    </row>
    <row r="105" spans="1:11" x14ac:dyDescent="0.2">
      <c r="A105" s="5"/>
      <c r="B105" s="40"/>
      <c r="C105" s="40"/>
      <c r="D105" s="40"/>
      <c r="E105" s="40"/>
      <c r="F105" s="40"/>
      <c r="G105" s="40"/>
      <c r="H105" s="40"/>
      <c r="I105" s="40"/>
      <c r="J105" s="103"/>
      <c r="K105" s="5"/>
    </row>
    <row r="106" spans="1:11" x14ac:dyDescent="0.2">
      <c r="A106" s="12" t="s">
        <v>119</v>
      </c>
      <c r="B106" s="40">
        <v>889</v>
      </c>
      <c r="C106" s="40">
        <v>826</v>
      </c>
      <c r="D106" s="40">
        <v>867</v>
      </c>
      <c r="E106" s="40">
        <v>816</v>
      </c>
      <c r="F106" s="40">
        <v>877</v>
      </c>
      <c r="G106" s="40">
        <v>1193</v>
      </c>
      <c r="H106" s="40">
        <v>904</v>
      </c>
      <c r="I106" s="40">
        <v>226</v>
      </c>
      <c r="J106" s="103">
        <f t="shared" si="40"/>
        <v>1.8210747043822105E-2</v>
      </c>
      <c r="K106" s="5"/>
    </row>
    <row r="107" spans="1:11" x14ac:dyDescent="0.2">
      <c r="A107" s="5" t="s">
        <v>120</v>
      </c>
      <c r="B107" s="40">
        <v>-194</v>
      </c>
      <c r="C107" s="40">
        <v>-170</v>
      </c>
      <c r="D107" s="40">
        <v>-178</v>
      </c>
      <c r="E107" s="40">
        <v>-223</v>
      </c>
      <c r="F107" s="40">
        <v>-265</v>
      </c>
      <c r="G107" s="40">
        <v>-250</v>
      </c>
      <c r="H107" s="40">
        <v>-196</v>
      </c>
      <c r="I107" s="40">
        <v>-54</v>
      </c>
      <c r="J107" s="104"/>
      <c r="K107" s="5"/>
    </row>
    <row r="108" spans="1:11" x14ac:dyDescent="0.2">
      <c r="A108" s="5" t="s">
        <v>121</v>
      </c>
      <c r="B108" s="48">
        <f t="shared" ref="B108:I108" si="43">SUM(B106:B107)</f>
        <v>695</v>
      </c>
      <c r="C108" s="48">
        <f t="shared" si="43"/>
        <v>656</v>
      </c>
      <c r="D108" s="48">
        <f t="shared" si="43"/>
        <v>689</v>
      </c>
      <c r="E108" s="48">
        <f t="shared" si="43"/>
        <v>593</v>
      </c>
      <c r="F108" s="48">
        <f t="shared" si="43"/>
        <v>612</v>
      </c>
      <c r="G108" s="48">
        <f t="shared" si="43"/>
        <v>943</v>
      </c>
      <c r="H108" s="48">
        <f t="shared" si="43"/>
        <v>708</v>
      </c>
      <c r="I108" s="48">
        <f t="shared" si="43"/>
        <v>172</v>
      </c>
      <c r="J108" s="103">
        <f>RATE(5,,-C108,H108)</f>
        <v>1.5373637937233292E-2</v>
      </c>
      <c r="K108" s="5"/>
    </row>
    <row r="109" spans="1:11" x14ac:dyDescent="0.2">
      <c r="A109" s="5"/>
      <c r="B109" s="40"/>
      <c r="C109" s="40"/>
      <c r="D109" s="40"/>
      <c r="E109" s="40"/>
      <c r="F109" s="40"/>
      <c r="G109" s="40"/>
      <c r="H109" s="40"/>
      <c r="I109" s="40"/>
      <c r="J109" s="103"/>
      <c r="K109" s="5"/>
    </row>
    <row r="110" spans="1:11" x14ac:dyDescent="0.2">
      <c r="A110" s="5" t="s">
        <v>122</v>
      </c>
      <c r="B110" s="40">
        <f t="shared" ref="B110" si="44">B104-B108</f>
        <v>1874</v>
      </c>
      <c r="C110" s="40">
        <f t="shared" ref="C110:I110" si="45">C104-C108</f>
        <v>5195</v>
      </c>
      <c r="D110" s="40">
        <f t="shared" si="45"/>
        <v>2205</v>
      </c>
      <c r="E110" s="40">
        <f t="shared" si="45"/>
        <v>2265</v>
      </c>
      <c r="F110" s="40">
        <f t="shared" si="45"/>
        <v>2704</v>
      </c>
      <c r="G110" s="40">
        <f t="shared" si="45"/>
        <v>1778</v>
      </c>
      <c r="H110" s="40">
        <f t="shared" si="45"/>
        <v>2828</v>
      </c>
      <c r="I110" s="40">
        <f t="shared" si="45"/>
        <v>710</v>
      </c>
      <c r="J110" s="103">
        <f>RATE(5,,-C110,H110)</f>
        <v>-0.11451997093811092</v>
      </c>
      <c r="K110" s="5"/>
    </row>
    <row r="111" spans="1:11" x14ac:dyDescent="0.2">
      <c r="A111" s="5"/>
      <c r="B111" s="40"/>
      <c r="C111" s="40"/>
      <c r="D111" s="40"/>
      <c r="E111" s="40"/>
      <c r="F111" s="40"/>
      <c r="G111" s="40"/>
      <c r="H111" s="40"/>
      <c r="I111" s="40"/>
      <c r="J111" s="103"/>
      <c r="K111" s="5"/>
    </row>
    <row r="112" spans="1:11" x14ac:dyDescent="0.2">
      <c r="A112" s="5" t="s">
        <v>123</v>
      </c>
      <c r="B112" s="40">
        <v>596</v>
      </c>
      <c r="C112" s="40">
        <v>2112</v>
      </c>
      <c r="D112" s="40">
        <v>754</v>
      </c>
      <c r="E112" s="40">
        <v>811</v>
      </c>
      <c r="F112" s="40">
        <v>892</v>
      </c>
      <c r="G112" s="40">
        <v>452</v>
      </c>
      <c r="H112" s="40">
        <v>905</v>
      </c>
      <c r="I112" s="40">
        <v>179</v>
      </c>
      <c r="J112" s="103">
        <f t="shared" ref="J112:J117" si="46">RATE(5,,-C112,H112)</f>
        <v>-0.15590576706740411</v>
      </c>
      <c r="K112" s="5"/>
    </row>
    <row r="113" spans="1:12" x14ac:dyDescent="0.2">
      <c r="A113" s="5" t="s">
        <v>136</v>
      </c>
      <c r="B113" s="40">
        <v>26</v>
      </c>
      <c r="C113" s="40">
        <v>-258</v>
      </c>
      <c r="D113" s="40">
        <v>-25</v>
      </c>
      <c r="E113" s="40">
        <f>-1125</f>
        <v>-1125</v>
      </c>
      <c r="F113" s="40">
        <v>-92</v>
      </c>
      <c r="G113" s="40">
        <v>0</v>
      </c>
      <c r="H113" s="40"/>
      <c r="I113" s="40"/>
      <c r="J113" s="103"/>
      <c r="K113" s="5"/>
    </row>
    <row r="114" spans="1:12" x14ac:dyDescent="0.2">
      <c r="A114" s="5"/>
      <c r="B114" s="40"/>
      <c r="C114" s="40"/>
      <c r="D114" s="40"/>
      <c r="E114" s="40"/>
      <c r="F114" s="40"/>
      <c r="G114" s="40"/>
      <c r="H114" s="40"/>
      <c r="I114" s="40"/>
      <c r="J114" s="103"/>
      <c r="K114" s="5"/>
    </row>
    <row r="115" spans="1:12" x14ac:dyDescent="0.2">
      <c r="A115" s="5" t="s">
        <v>124</v>
      </c>
      <c r="B115" s="40">
        <f t="shared" ref="B115" si="47">+B110-B112+B113</f>
        <v>1304</v>
      </c>
      <c r="C115" s="40">
        <f t="shared" ref="C115:D115" si="48">+C110-C112+C113</f>
        <v>2825</v>
      </c>
      <c r="D115" s="40">
        <f t="shared" si="48"/>
        <v>1426</v>
      </c>
      <c r="E115" s="40">
        <f>+E110-E112+E113</f>
        <v>329</v>
      </c>
      <c r="F115" s="40">
        <f t="shared" ref="F115" si="49">+F110-F112+F113</f>
        <v>1720</v>
      </c>
      <c r="G115" s="40">
        <f>+G110-G112+G113</f>
        <v>1326</v>
      </c>
      <c r="H115" s="40">
        <f>+H110-H112+H113</f>
        <v>1923</v>
      </c>
      <c r="I115" s="40">
        <f>+I110-I112+I113</f>
        <v>531</v>
      </c>
      <c r="J115" s="103">
        <f t="shared" si="46"/>
        <v>-7.404012758350148E-2</v>
      </c>
      <c r="K115" s="5"/>
    </row>
    <row r="116" spans="1:12" x14ac:dyDescent="0.2">
      <c r="A116" s="5" t="s">
        <v>125</v>
      </c>
      <c r="B116" s="50">
        <v>-17</v>
      </c>
      <c r="C116" s="50">
        <v>-17</v>
      </c>
      <c r="D116" s="50">
        <v>-18</v>
      </c>
      <c r="E116" s="50">
        <v>-27</v>
      </c>
      <c r="F116" s="50">
        <v>-23</v>
      </c>
      <c r="G116" s="50">
        <v>-16</v>
      </c>
      <c r="H116" s="50">
        <v>-24</v>
      </c>
      <c r="I116" s="50">
        <v>-7</v>
      </c>
      <c r="J116" s="104">
        <f t="shared" si="46"/>
        <v>7.1402027941006876E-2</v>
      </c>
      <c r="K116" s="5"/>
    </row>
    <row r="117" spans="1:12" s="68" customFormat="1" ht="15.75" x14ac:dyDescent="0.25">
      <c r="A117" s="7" t="s">
        <v>130</v>
      </c>
      <c r="B117" s="67">
        <f>+B115+B116</f>
        <v>1287</v>
      </c>
      <c r="C117" s="67">
        <f t="shared" ref="C117:H117" si="50">+C115+C116</f>
        <v>2808</v>
      </c>
      <c r="D117" s="67">
        <f t="shared" si="50"/>
        <v>1408</v>
      </c>
      <c r="E117" s="67">
        <f t="shared" si="50"/>
        <v>302</v>
      </c>
      <c r="F117" s="67">
        <f t="shared" si="50"/>
        <v>1697</v>
      </c>
      <c r="G117" s="67">
        <f t="shared" si="50"/>
        <v>1310</v>
      </c>
      <c r="H117" s="67">
        <f t="shared" si="50"/>
        <v>1899</v>
      </c>
      <c r="I117" s="67">
        <f t="shared" ref="I117" si="51">+I115+I116</f>
        <v>524</v>
      </c>
      <c r="J117" s="106">
        <f t="shared" si="46"/>
        <v>-7.5247376107954497E-2</v>
      </c>
      <c r="K117" s="7"/>
    </row>
    <row r="118" spans="1:12" x14ac:dyDescent="0.2">
      <c r="A118" s="5"/>
      <c r="B118" s="40"/>
      <c r="C118" s="40"/>
      <c r="D118" s="40"/>
      <c r="E118" s="40"/>
      <c r="F118" s="40"/>
      <c r="G118" s="40"/>
      <c r="H118" s="40"/>
      <c r="I118" s="40"/>
      <c r="J118" s="103"/>
      <c r="K118" s="5"/>
    </row>
    <row r="119" spans="1:12" ht="15.75" x14ac:dyDescent="0.25">
      <c r="A119" s="52" t="s">
        <v>194</v>
      </c>
      <c r="B119" s="40"/>
      <c r="C119" s="40"/>
      <c r="D119" s="40"/>
      <c r="E119" s="40"/>
      <c r="F119" s="40"/>
      <c r="G119" s="40"/>
      <c r="H119" s="40"/>
      <c r="I119" s="40"/>
      <c r="J119" s="103"/>
      <c r="K119" s="5"/>
    </row>
    <row r="120" spans="1:12" x14ac:dyDescent="0.2">
      <c r="A120" s="5" t="s">
        <v>131</v>
      </c>
      <c r="B120" s="69">
        <v>2.17</v>
      </c>
      <c r="C120" s="99">
        <v>4.76</v>
      </c>
      <c r="D120" s="99">
        <v>2.4500000000000002</v>
      </c>
      <c r="E120" s="99">
        <v>0.53</v>
      </c>
      <c r="F120" s="99">
        <v>2.93</v>
      </c>
      <c r="G120" s="99">
        <v>2.2400000000000002</v>
      </c>
      <c r="H120" s="99">
        <v>3.21</v>
      </c>
      <c r="I120" s="99">
        <v>0.88</v>
      </c>
      <c r="J120" s="109">
        <f>AVERAGE(D120:H120)</f>
        <v>2.2719999999999998</v>
      </c>
      <c r="K120" s="36"/>
      <c r="L120" s="94"/>
    </row>
    <row r="121" spans="1:12" x14ac:dyDescent="0.2">
      <c r="A121" s="5" t="s">
        <v>197</v>
      </c>
      <c r="B121" s="69">
        <v>1.75</v>
      </c>
      <c r="C121" s="99">
        <v>1.83</v>
      </c>
      <c r="D121" s="99">
        <v>1.97</v>
      </c>
      <c r="E121" s="99">
        <v>2.11</v>
      </c>
      <c r="F121" s="99">
        <v>2.25</v>
      </c>
      <c r="G121" s="99">
        <v>2.4</v>
      </c>
      <c r="H121" s="99">
        <v>2.59</v>
      </c>
      <c r="I121" s="99">
        <v>0.7</v>
      </c>
      <c r="J121" s="109">
        <f>AVERAGE(D121:H121)</f>
        <v>2.2640000000000002</v>
      </c>
      <c r="K121" s="36"/>
      <c r="L121" s="94"/>
    </row>
    <row r="122" spans="1:12" ht="15.75" x14ac:dyDescent="0.25">
      <c r="A122" s="5" t="s">
        <v>195</v>
      </c>
      <c r="B122" s="40"/>
      <c r="C122" s="100">
        <f>+C121/C120</f>
        <v>0.38445378151260506</v>
      </c>
      <c r="D122" s="100">
        <f t="shared" ref="D122:I122" si="52">+D121/D120</f>
        <v>0.80408163265306121</v>
      </c>
      <c r="E122" s="100">
        <f t="shared" si="52"/>
        <v>3.9811320754716979</v>
      </c>
      <c r="F122" s="100">
        <f t="shared" si="52"/>
        <v>0.76791808873720135</v>
      </c>
      <c r="G122" s="100">
        <f t="shared" si="52"/>
        <v>1.0714285714285714</v>
      </c>
      <c r="H122" s="100">
        <f t="shared" si="52"/>
        <v>0.80685358255451711</v>
      </c>
      <c r="I122" s="100">
        <f t="shared" si="52"/>
        <v>0.79545454545454541</v>
      </c>
      <c r="J122" s="100">
        <f>+J121/J120</f>
        <v>0.99647887323943685</v>
      </c>
      <c r="K122" s="36"/>
      <c r="L122" s="94"/>
    </row>
    <row r="123" spans="1:12" x14ac:dyDescent="0.2">
      <c r="A123" s="5"/>
      <c r="B123" s="40"/>
      <c r="C123" s="41"/>
      <c r="D123" s="41"/>
      <c r="E123" s="41"/>
      <c r="F123" s="41"/>
      <c r="G123" s="41"/>
      <c r="H123" s="86"/>
      <c r="I123" s="41"/>
      <c r="J123" s="24"/>
      <c r="K123" s="36"/>
      <c r="L123" s="94"/>
    </row>
    <row r="124" spans="1:12" x14ac:dyDescent="0.2">
      <c r="A124" s="5" t="s">
        <v>196</v>
      </c>
      <c r="B124" s="40"/>
      <c r="C124" s="92"/>
      <c r="D124" s="92"/>
      <c r="E124" s="41">
        <v>576</v>
      </c>
      <c r="F124" s="41">
        <v>581</v>
      </c>
      <c r="G124" s="41">
        <v>585</v>
      </c>
      <c r="H124" s="41">
        <v>596</v>
      </c>
      <c r="I124" s="51"/>
      <c r="J124" s="24"/>
      <c r="K124" s="36"/>
      <c r="L124" s="94"/>
    </row>
    <row r="125" spans="1:12" x14ac:dyDescent="0.2">
      <c r="B125" s="40"/>
      <c r="C125" s="5"/>
      <c r="D125" s="5"/>
      <c r="F125" s="5"/>
      <c r="G125" s="5"/>
      <c r="H125" s="5"/>
      <c r="I125" s="5"/>
      <c r="J125" s="32" t="str">
        <f>+J83</f>
        <v>DPU Exhibit 1.7 DIR</v>
      </c>
      <c r="K125" s="5"/>
    </row>
    <row r="126" spans="1:12" x14ac:dyDescent="0.2">
      <c r="A126" s="5"/>
      <c r="B126" s="40"/>
      <c r="C126" s="5"/>
      <c r="D126" s="5"/>
      <c r="E126" s="5"/>
      <c r="F126" s="5"/>
      <c r="G126" s="5"/>
      <c r="H126" s="5"/>
      <c r="I126" s="5"/>
      <c r="J126" s="32" t="s">
        <v>68</v>
      </c>
      <c r="K126" s="5"/>
    </row>
    <row r="127" spans="1:12" ht="15.75" x14ac:dyDescent="0.25">
      <c r="A127" s="2" t="str">
        <f>A3</f>
        <v xml:space="preserve">Dominion Resources, Inc. </v>
      </c>
      <c r="B127" s="71"/>
      <c r="C127" s="2"/>
      <c r="D127" s="2"/>
      <c r="E127" s="2"/>
      <c r="F127" s="2"/>
      <c r="G127" s="2"/>
      <c r="H127" s="2"/>
      <c r="I127" s="2"/>
      <c r="J127" s="2"/>
      <c r="K127" s="5"/>
    </row>
    <row r="128" spans="1:12" ht="15.75" x14ac:dyDescent="0.25">
      <c r="A128" s="2" t="s">
        <v>25</v>
      </c>
      <c r="B128" s="71"/>
      <c r="C128" s="2"/>
      <c r="D128" s="2"/>
      <c r="E128" s="2"/>
      <c r="F128" s="2"/>
      <c r="G128" s="2"/>
      <c r="H128" s="2"/>
      <c r="I128" s="2"/>
      <c r="J128" s="4"/>
      <c r="K128" s="5"/>
    </row>
    <row r="129" spans="1:11" ht="15.75" x14ac:dyDescent="0.25">
      <c r="A129" s="3" t="str">
        <f>A5</f>
        <v>Years Ended December 31</v>
      </c>
      <c r="B129" s="71"/>
      <c r="C129" s="2"/>
      <c r="D129" s="2"/>
      <c r="E129" s="2"/>
      <c r="F129" s="2"/>
      <c r="G129" s="2"/>
      <c r="H129" s="2"/>
      <c r="I129" s="2"/>
      <c r="J129" s="4"/>
      <c r="K129" s="5"/>
    </row>
    <row r="130" spans="1:11" ht="15.75" x14ac:dyDescent="0.25">
      <c r="A130" s="7"/>
      <c r="B130" s="67"/>
      <c r="C130" s="23"/>
      <c r="D130" s="23"/>
      <c r="E130" s="23"/>
      <c r="F130" s="23"/>
      <c r="G130" s="23"/>
      <c r="H130" s="23"/>
      <c r="I130" s="23" t="str">
        <f>+I89</f>
        <v>1st Qrtr</v>
      </c>
      <c r="J130" s="62" t="s">
        <v>71</v>
      </c>
      <c r="K130" s="5"/>
    </row>
    <row r="131" spans="1:11" ht="15.75" x14ac:dyDescent="0.25">
      <c r="A131" s="52" t="s">
        <v>26</v>
      </c>
      <c r="B131" s="77">
        <f t="shared" ref="B131:H131" si="53">+B90</f>
        <v>2009</v>
      </c>
      <c r="C131" s="23">
        <f t="shared" si="53"/>
        <v>2010</v>
      </c>
      <c r="D131" s="23">
        <f t="shared" si="53"/>
        <v>2011</v>
      </c>
      <c r="E131" s="23">
        <f t="shared" si="53"/>
        <v>2012</v>
      </c>
      <c r="F131" s="23">
        <f t="shared" si="53"/>
        <v>2013</v>
      </c>
      <c r="G131" s="23">
        <f t="shared" si="53"/>
        <v>2014</v>
      </c>
      <c r="H131" s="23">
        <f t="shared" si="53"/>
        <v>2015</v>
      </c>
      <c r="I131" s="23">
        <f>+I90</f>
        <v>2016</v>
      </c>
      <c r="J131" s="62" t="s">
        <v>24</v>
      </c>
      <c r="K131" s="5"/>
    </row>
    <row r="132" spans="1:11" x14ac:dyDescent="0.2">
      <c r="A132" s="5"/>
      <c r="B132" s="40"/>
      <c r="C132" s="19"/>
      <c r="D132" s="19"/>
      <c r="E132" s="19"/>
      <c r="F132" s="19"/>
      <c r="G132" s="19"/>
      <c r="H132" s="19"/>
      <c r="I132" s="19"/>
      <c r="J132" s="14"/>
      <c r="K132" s="5"/>
    </row>
    <row r="133" spans="1:11" ht="15.75" x14ac:dyDescent="0.25">
      <c r="A133" s="7" t="s">
        <v>27</v>
      </c>
      <c r="B133" s="67"/>
      <c r="C133" s="25"/>
      <c r="D133" s="25"/>
      <c r="E133" s="25"/>
      <c r="F133" s="25"/>
      <c r="G133" s="25"/>
      <c r="H133" s="25"/>
      <c r="I133" s="25"/>
      <c r="J133" s="24"/>
      <c r="K133" s="5"/>
    </row>
    <row r="134" spans="1:11" x14ac:dyDescent="0.2">
      <c r="A134" s="5" t="s">
        <v>28</v>
      </c>
      <c r="B134" s="78"/>
      <c r="C134" s="25">
        <f t="shared" ref="C134:G134" si="54">C24/C57</f>
        <v>0.93538887926554648</v>
      </c>
      <c r="D134" s="25">
        <f t="shared" si="54"/>
        <v>0.7799482907210572</v>
      </c>
      <c r="E134" s="25">
        <f t="shared" si="54"/>
        <v>0.66211516166430506</v>
      </c>
      <c r="F134" s="25">
        <f t="shared" si="54"/>
        <v>0.84929939948527311</v>
      </c>
      <c r="G134" s="25">
        <f t="shared" si="54"/>
        <v>0.78007779938871913</v>
      </c>
      <c r="H134" s="25">
        <f>H24/H57</f>
        <v>0.51613300492610836</v>
      </c>
      <c r="I134" s="25">
        <f>I24/I57</f>
        <v>0.49361532322426177</v>
      </c>
      <c r="J134" s="25">
        <f>AVERAGE(D134:H134)</f>
        <v>0.71751473123709253</v>
      </c>
      <c r="K134" s="5"/>
    </row>
    <row r="135" spans="1:11" x14ac:dyDescent="0.2">
      <c r="A135" s="5" t="s">
        <v>29</v>
      </c>
      <c r="B135" s="78"/>
      <c r="C135" s="25">
        <f t="shared" ref="C135:G135" si="55">(C11+C13+C12)/C57</f>
        <v>0.39979213580460765</v>
      </c>
      <c r="D135" s="25">
        <f t="shared" si="55"/>
        <v>0.30695202528009191</v>
      </c>
      <c r="E135" s="25">
        <f t="shared" si="55"/>
        <v>0.25312379234831894</v>
      </c>
      <c r="F135" s="25">
        <f t="shared" si="55"/>
        <v>0.30769230769230771</v>
      </c>
      <c r="G135" s="25">
        <f t="shared" si="55"/>
        <v>0.2710475131981106</v>
      </c>
      <c r="H135" s="25">
        <f>(H11+H13+H12)/H57</f>
        <v>0.24334975369458128</v>
      </c>
      <c r="I135" s="25">
        <f>(I11+I13+I12)/I57</f>
        <v>0.20563979781856878</v>
      </c>
      <c r="J135" s="25">
        <f>AVERAGE(D135:H135)</f>
        <v>0.27643307844268206</v>
      </c>
      <c r="K135" s="5"/>
    </row>
    <row r="136" spans="1:11" x14ac:dyDescent="0.2">
      <c r="A136" s="5" t="s">
        <v>30</v>
      </c>
      <c r="B136" s="79"/>
      <c r="C136" s="35">
        <f t="shared" ref="C136:G136" si="56">365*(((B12+C12+B13+C13)/2)/((B92+C92)/2))</f>
        <v>54.347855340622374</v>
      </c>
      <c r="D136" s="35">
        <f t="shared" si="56"/>
        <v>53.748108145294445</v>
      </c>
      <c r="E136" s="35">
        <f t="shared" si="56"/>
        <v>50.759080800593033</v>
      </c>
      <c r="F136" s="35">
        <f t="shared" si="56"/>
        <v>49.965131959160082</v>
      </c>
      <c r="G136" s="35">
        <f t="shared" si="56"/>
        <v>49.545507904210361</v>
      </c>
      <c r="H136" s="35">
        <f>365*(((G12+H12+G13+H13)/2)/((G92+H92)/2))</f>
        <v>45.43015879596998</v>
      </c>
      <c r="I136" s="35">
        <f>365*(((H12+I12+H13+I13)/2)/((H92+I92)/2))</f>
        <v>67.406532456861129</v>
      </c>
      <c r="J136" s="35">
        <f>AVERAGE(D136:H136)</f>
        <v>49.88959752104558</v>
      </c>
      <c r="K136" s="5"/>
    </row>
    <row r="137" spans="1:11" x14ac:dyDescent="0.2">
      <c r="A137" s="5"/>
      <c r="B137" s="78"/>
      <c r="C137" s="25"/>
      <c r="D137" s="25"/>
      <c r="E137" s="25"/>
      <c r="F137" s="25"/>
      <c r="G137" s="25"/>
      <c r="H137" s="25"/>
      <c r="I137" s="25"/>
      <c r="J137" s="25"/>
      <c r="K137" s="5"/>
    </row>
    <row r="138" spans="1:11" ht="15.75" x14ac:dyDescent="0.25">
      <c r="A138" s="7" t="s">
        <v>31</v>
      </c>
      <c r="B138" s="78"/>
      <c r="C138" s="25"/>
      <c r="D138" s="25"/>
      <c r="E138" s="25"/>
      <c r="F138" s="25"/>
      <c r="G138" s="25"/>
      <c r="H138" s="25"/>
      <c r="I138" s="25"/>
      <c r="J138" s="25"/>
      <c r="K138" s="5"/>
    </row>
    <row r="139" spans="1:11" x14ac:dyDescent="0.2">
      <c r="A139" s="5" t="s">
        <v>32</v>
      </c>
      <c r="B139" s="78"/>
      <c r="C139" s="25">
        <f t="shared" ref="C139:G139" si="57">C77/(C50+C62+C51)</f>
        <v>0.68006348846437281</v>
      </c>
      <c r="D139" s="25">
        <f t="shared" si="57"/>
        <v>0.55329433944022821</v>
      </c>
      <c r="E139" s="25">
        <f t="shared" si="57"/>
        <v>0.49185516150051195</v>
      </c>
      <c r="F139" s="25">
        <f t="shared" si="57"/>
        <v>0.51115208991921324</v>
      </c>
      <c r="G139" s="25">
        <f t="shared" si="57"/>
        <v>0.44519360431516086</v>
      </c>
      <c r="H139" s="25">
        <f>H77/(H50+H62+H51)</f>
        <v>0.43742875893751509</v>
      </c>
      <c r="I139" s="25">
        <f>I77/(I50+I62+I51)</f>
        <v>0.44432178832620395</v>
      </c>
      <c r="J139" s="25">
        <f t="shared" ref="J139:J143" si="58">AVERAGE(D139:H139)</f>
        <v>0.48778479082252585</v>
      </c>
      <c r="K139" s="5"/>
    </row>
    <row r="140" spans="1:11" x14ac:dyDescent="0.2">
      <c r="A140" s="5" t="s">
        <v>33</v>
      </c>
      <c r="B140" s="78"/>
      <c r="C140" s="25">
        <f t="shared" ref="C140:G140" si="59">C77/(C62)</f>
        <v>0.76132757964208653</v>
      </c>
      <c r="D140" s="25">
        <f t="shared" si="59"/>
        <v>0.65804300333448318</v>
      </c>
      <c r="E140" s="25">
        <f t="shared" si="59"/>
        <v>0.6271437896860721</v>
      </c>
      <c r="F140" s="25">
        <f t="shared" si="59"/>
        <v>0.60227625452664257</v>
      </c>
      <c r="G140" s="25">
        <f t="shared" si="59"/>
        <v>0.52992432928227473</v>
      </c>
      <c r="H140" s="25">
        <f>H77/(H62)</f>
        <v>0.53624661246612471</v>
      </c>
      <c r="I140" s="25">
        <f>I77/(I62)</f>
        <v>0.53253948565285703</v>
      </c>
      <c r="J140" s="25">
        <f t="shared" si="58"/>
        <v>0.59072679785911952</v>
      </c>
      <c r="K140" s="5"/>
    </row>
    <row r="141" spans="1:11" x14ac:dyDescent="0.2">
      <c r="A141" s="5" t="s">
        <v>34</v>
      </c>
      <c r="B141" s="78"/>
      <c r="C141" s="25">
        <f t="shared" ref="C141:G141" si="60">C77/C35</f>
        <v>0.44910717628121138</v>
      </c>
      <c r="D141" s="25">
        <f t="shared" si="60"/>
        <v>0.3857768790023593</v>
      </c>
      <c r="E141" s="25">
        <f t="shared" si="60"/>
        <v>0.34341793130341536</v>
      </c>
      <c r="F141" s="25">
        <f t="shared" si="60"/>
        <v>0.35681010175309552</v>
      </c>
      <c r="G141" s="25">
        <f t="shared" si="60"/>
        <v>0.31858285084091537</v>
      </c>
      <c r="H141" s="25">
        <f>H77/H35</f>
        <v>0.30476007123261301</v>
      </c>
      <c r="I141" s="25">
        <f>I77/I35</f>
        <v>0.3021842667104615</v>
      </c>
      <c r="J141" s="25">
        <f t="shared" si="58"/>
        <v>0.34186956682647973</v>
      </c>
      <c r="K141" s="5"/>
    </row>
    <row r="142" spans="1:11" x14ac:dyDescent="0.2">
      <c r="A142" s="5" t="s">
        <v>54</v>
      </c>
      <c r="B142" s="78"/>
      <c r="C142" s="25">
        <f t="shared" ref="C142:G142" si="61">+C104/C106</f>
        <v>7.0835351089588379</v>
      </c>
      <c r="D142" s="25">
        <f t="shared" si="61"/>
        <v>3.3379469434832756</v>
      </c>
      <c r="E142" s="25">
        <f t="shared" si="61"/>
        <v>3.5024509803921569</v>
      </c>
      <c r="F142" s="25">
        <f t="shared" si="61"/>
        <v>3.7810718358038771</v>
      </c>
      <c r="G142" s="25">
        <f t="shared" si="61"/>
        <v>2.2808046940486171</v>
      </c>
      <c r="H142" s="25">
        <f>+H104/H106</f>
        <v>3.9115044247787609</v>
      </c>
      <c r="I142" s="25">
        <f>+I104/I106</f>
        <v>3.9026548672566372</v>
      </c>
      <c r="J142" s="25">
        <f t="shared" si="58"/>
        <v>3.3627557757013378</v>
      </c>
      <c r="K142" s="5"/>
    </row>
    <row r="143" spans="1:11" x14ac:dyDescent="0.2">
      <c r="A143" s="5" t="s">
        <v>67</v>
      </c>
      <c r="B143" s="78"/>
      <c r="C143" s="25">
        <f t="shared" ref="C143:G143" si="62">(C50+C51+C62)/C47</f>
        <v>0.41200924866291427</v>
      </c>
      <c r="D143" s="25">
        <f t="shared" si="62"/>
        <v>0.45352304117157011</v>
      </c>
      <c r="E143" s="25">
        <f t="shared" si="62"/>
        <v>0.45873009095179129</v>
      </c>
      <c r="F143" s="25">
        <f t="shared" si="62"/>
        <v>0.45464707761098688</v>
      </c>
      <c r="G143" s="25">
        <f t="shared" si="62"/>
        <v>0.47775507574502551</v>
      </c>
      <c r="H143" s="25">
        <f>(H50+H51+H62)/H47</f>
        <v>0.49238906746942873</v>
      </c>
      <c r="I143" s="25">
        <f>(I50+I51+I62)/I47</f>
        <v>0.48715234013948405</v>
      </c>
      <c r="J143" s="25">
        <f t="shared" si="58"/>
        <v>0.46740887058976055</v>
      </c>
      <c r="K143" s="5"/>
    </row>
    <row r="144" spans="1:11" x14ac:dyDescent="0.2">
      <c r="A144" s="5"/>
      <c r="B144" s="78"/>
      <c r="C144" s="25"/>
      <c r="D144" s="25"/>
      <c r="E144" s="25"/>
      <c r="F144" s="25"/>
      <c r="G144" s="25"/>
      <c r="H144" s="25"/>
      <c r="I144" s="25"/>
      <c r="J144" s="25"/>
      <c r="K144" s="5"/>
    </row>
    <row r="145" spans="1:13" ht="15.75" x14ac:dyDescent="0.25">
      <c r="A145" s="7" t="s">
        <v>35</v>
      </c>
      <c r="B145" s="78"/>
      <c r="C145" s="25"/>
      <c r="D145" s="25"/>
      <c r="E145" s="25"/>
      <c r="F145" s="25"/>
      <c r="G145" s="25"/>
      <c r="H145" s="25"/>
      <c r="I145" s="25"/>
      <c r="J145" s="25"/>
      <c r="K145" s="5"/>
    </row>
    <row r="146" spans="1:13" x14ac:dyDescent="0.2">
      <c r="A146" s="5" t="s">
        <v>52</v>
      </c>
      <c r="B146" s="80"/>
      <c r="C146" s="31">
        <f t="shared" ref="C146:G146" si="63">(C92-C96-C95-C97)/C92</f>
        <v>0.56213572720573457</v>
      </c>
      <c r="D146" s="31">
        <f t="shared" si="63"/>
        <v>0.55355249204665957</v>
      </c>
      <c r="E146" s="31">
        <f t="shared" si="63"/>
        <v>0.59415660303856643</v>
      </c>
      <c r="F146" s="31">
        <f t="shared" si="63"/>
        <v>0.57515243902439028</v>
      </c>
      <c r="G146" s="31">
        <f t="shared" si="63"/>
        <v>0.58861370215503372</v>
      </c>
      <c r="H146" s="31">
        <f>(H92-H96-H95-H97)/H92</f>
        <v>0.69134640075323117</v>
      </c>
      <c r="I146" s="31">
        <f>(I92-I96-I95-I97)/I92</f>
        <v>0.71893187264635394</v>
      </c>
      <c r="J146" s="31">
        <f>AVERAGE(D146:H146)</f>
        <v>0.60056432740357635</v>
      </c>
      <c r="K146" s="5"/>
    </row>
    <row r="147" spans="1:13" x14ac:dyDescent="0.2">
      <c r="A147" s="5" t="s">
        <v>53</v>
      </c>
      <c r="B147" s="80"/>
      <c r="C147" s="31">
        <f t="shared" ref="C147:G147" si="64">+C110/C92</f>
        <v>0.34802706504990955</v>
      </c>
      <c r="D147" s="31">
        <f t="shared" si="64"/>
        <v>0.15588547189819724</v>
      </c>
      <c r="E147" s="31">
        <f t="shared" si="64"/>
        <v>0.17647058823529413</v>
      </c>
      <c r="F147" s="31">
        <f t="shared" si="64"/>
        <v>0.20609756097560974</v>
      </c>
      <c r="G147" s="31">
        <f t="shared" si="64"/>
        <v>0.14297201672563525</v>
      </c>
      <c r="H147" s="31">
        <f>+H110/H92</f>
        <v>0.24206111443978431</v>
      </c>
      <c r="I147" s="31">
        <f>+I110/I92</f>
        <v>0.24306744265662444</v>
      </c>
      <c r="J147" s="31">
        <f t="shared" ref="J147:J151" si="65">AVERAGE(D147:H147)</f>
        <v>0.18469735045490412</v>
      </c>
      <c r="K147" s="5"/>
    </row>
    <row r="148" spans="1:13" x14ac:dyDescent="0.2">
      <c r="A148" s="5" t="s">
        <v>51</v>
      </c>
      <c r="B148" s="80"/>
      <c r="C148" s="31">
        <f t="shared" ref="C148:G148" si="66">+C117/C92</f>
        <v>0.1881154954110002</v>
      </c>
      <c r="D148" s="31">
        <f t="shared" si="66"/>
        <v>9.9540473665606227E-2</v>
      </c>
      <c r="E148" s="31">
        <f t="shared" si="66"/>
        <v>2.3529411764705882E-2</v>
      </c>
      <c r="F148" s="31">
        <f t="shared" si="66"/>
        <v>0.12934451219512194</v>
      </c>
      <c r="G148" s="31">
        <f t="shared" si="66"/>
        <v>0.10533933740752653</v>
      </c>
      <c r="H148" s="31">
        <f>+H117/H92</f>
        <v>0.16254386715740821</v>
      </c>
      <c r="I148" s="31">
        <f>+I117/I92</f>
        <v>0.17939061965080452</v>
      </c>
      <c r="J148" s="31">
        <f t="shared" si="65"/>
        <v>0.10405952043807376</v>
      </c>
      <c r="K148" s="5"/>
    </row>
    <row r="149" spans="1:13" x14ac:dyDescent="0.2">
      <c r="A149" s="5" t="s">
        <v>36</v>
      </c>
      <c r="B149" s="80"/>
      <c r="C149" s="31">
        <f t="shared" ref="C149:G149" si="67">+C117/((C47+B47)/2)</f>
        <v>6.5783462768387396E-2</v>
      </c>
      <c r="D149" s="31">
        <f t="shared" si="67"/>
        <v>3.1844036593502281E-2</v>
      </c>
      <c r="E149" s="31">
        <f t="shared" si="67"/>
        <v>6.533119889239822E-3</v>
      </c>
      <c r="F149" s="31">
        <f t="shared" si="67"/>
        <v>3.5013514349970083E-2</v>
      </c>
      <c r="G149" s="31">
        <f t="shared" si="67"/>
        <v>2.5090257893375982E-2</v>
      </c>
      <c r="H149" s="31">
        <f>+H117/((H47+G47)/2)</f>
        <v>3.3573777447756442E-2</v>
      </c>
      <c r="I149" s="31">
        <f>+I117/((I47+H47)/2)</f>
        <v>8.8586837077986851E-3</v>
      </c>
      <c r="J149" s="31">
        <f t="shared" si="65"/>
        <v>2.6410941234768927E-2</v>
      </c>
      <c r="K149" s="5"/>
    </row>
    <row r="150" spans="1:13" x14ac:dyDescent="0.2">
      <c r="A150" s="5" t="s">
        <v>37</v>
      </c>
      <c r="B150" s="86"/>
      <c r="C150" s="56">
        <f t="shared" ref="C150:G150" si="68">+C117/((C62+B62+B77+C77+B50+C50+B51+C51+B67+C67)/2)</f>
        <v>8.2968916203758417E-2</v>
      </c>
      <c r="D150" s="56">
        <f t="shared" si="68"/>
        <v>3.9277494943859403E-2</v>
      </c>
      <c r="E150" s="56">
        <f t="shared" si="68"/>
        <v>8.0315944842625966E-3</v>
      </c>
      <c r="F150" s="56">
        <f t="shared" si="68"/>
        <v>4.2753130274859545E-2</v>
      </c>
      <c r="G150" s="56">
        <f t="shared" si="68"/>
        <v>3.0293920403302269E-2</v>
      </c>
      <c r="H150" s="56">
        <f>+H117/((H62+G62+G77+H77+G50+H50+G51+H51+G67+H67)/2)</f>
        <v>4.041156379345201E-2</v>
      </c>
      <c r="I150" s="56">
        <f>+I117/((I62+H62+H77+I77+H50+I50+H51+I51+H67+I67)/2)</f>
        <v>1.0646835918848354E-2</v>
      </c>
      <c r="J150" s="31">
        <f t="shared" si="65"/>
        <v>3.2153540779947164E-2</v>
      </c>
      <c r="K150" s="5"/>
    </row>
    <row r="151" spans="1:13" x14ac:dyDescent="0.2">
      <c r="A151" s="5" t="s">
        <v>132</v>
      </c>
      <c r="B151" s="81"/>
      <c r="C151" s="60">
        <f t="shared" ref="C151:G151" si="69">(+C117)/((B77+C77)/2)</f>
        <v>0.24225692347510999</v>
      </c>
      <c r="D151" s="60">
        <f t="shared" si="69"/>
        <v>0.12012114490466237</v>
      </c>
      <c r="E151" s="60">
        <f t="shared" si="69"/>
        <v>2.7437085491051148E-2</v>
      </c>
      <c r="F151" s="60">
        <f t="shared" si="69"/>
        <v>0.15281404772624943</v>
      </c>
      <c r="G151" s="60">
        <f t="shared" si="69"/>
        <v>0.11294563952235202</v>
      </c>
      <c r="H151" s="60">
        <f>(+H117)/((G77+H77)/2)</f>
        <v>0.15681902638424378</v>
      </c>
      <c r="I151" s="60">
        <f>(+I117)/((H77+I77)/2)</f>
        <v>4.1027247103037894E-2</v>
      </c>
      <c r="J151" s="31">
        <f t="shared" si="65"/>
        <v>0.11402738880571177</v>
      </c>
      <c r="K151" s="5"/>
    </row>
    <row r="152" spans="1:13" x14ac:dyDescent="0.2">
      <c r="A152" s="5"/>
      <c r="B152" s="78"/>
      <c r="C152" s="25"/>
      <c r="D152" s="25"/>
      <c r="E152" s="25"/>
      <c r="F152" s="25"/>
      <c r="G152" s="25"/>
      <c r="H152" s="25"/>
      <c r="I152" s="25"/>
      <c r="J152" s="25"/>
      <c r="K152" s="5"/>
    </row>
    <row r="153" spans="1:13" ht="15.75" x14ac:dyDescent="0.25">
      <c r="A153" s="7" t="s">
        <v>38</v>
      </c>
      <c r="B153" s="78"/>
      <c r="C153" s="25"/>
      <c r="D153" s="25"/>
      <c r="E153" s="25"/>
      <c r="F153" s="25"/>
      <c r="G153" s="25"/>
      <c r="H153" s="25"/>
      <c r="I153" s="25"/>
      <c r="J153" s="25"/>
      <c r="K153" s="5"/>
    </row>
    <row r="154" spans="1:13" x14ac:dyDescent="0.2">
      <c r="A154" s="5" t="s">
        <v>39</v>
      </c>
      <c r="B154" s="78"/>
      <c r="C154" s="25">
        <f t="shared" ref="C154:G154" si="70">C92/((B11+C11)/2)</f>
        <v>271.39999999999998</v>
      </c>
      <c r="D154" s="25">
        <f t="shared" si="70"/>
        <v>172.5</v>
      </c>
      <c r="E154" s="25">
        <f t="shared" si="70"/>
        <v>73.342857142857142</v>
      </c>
      <c r="F154" s="25">
        <f t="shared" si="70"/>
        <v>46.524822695035461</v>
      </c>
      <c r="G154" s="25">
        <f t="shared" si="70"/>
        <v>39.230283911671926</v>
      </c>
      <c r="H154" s="25">
        <f>H92/((G11+H11)/2)</f>
        <v>25.260540540540539</v>
      </c>
      <c r="I154" s="25">
        <f>I92/((H11+I11)/2)</f>
        <v>7.0812121212121211</v>
      </c>
      <c r="J154" s="25">
        <f t="shared" ref="J154:J158" si="71">AVERAGE(D154:H154)</f>
        <v>71.371700858021015</v>
      </c>
      <c r="K154" s="5"/>
    </row>
    <row r="155" spans="1:13" x14ac:dyDescent="0.2">
      <c r="A155" s="5" t="s">
        <v>40</v>
      </c>
      <c r="B155" s="78"/>
      <c r="C155" s="25">
        <f t="shared" ref="C155:G155" si="72">C92/((B12+C12+B13+C13)/2)</f>
        <v>6.7451423407139632</v>
      </c>
      <c r="D155" s="25">
        <f t="shared" si="72"/>
        <v>6.6082690960056061</v>
      </c>
      <c r="E155" s="25">
        <f t="shared" si="72"/>
        <v>6.841684434968017</v>
      </c>
      <c r="F155" s="25">
        <f t="shared" si="72"/>
        <v>7.3853081902617506</v>
      </c>
      <c r="G155" s="25">
        <f t="shared" si="72"/>
        <v>7.1697895647160568</v>
      </c>
      <c r="H155" s="25">
        <f>H92/((G12+H12+G13+H13)/2)</f>
        <v>7.7834776815456364</v>
      </c>
      <c r="I155" s="25">
        <f>I92/((H12+I12+H13+I13)/2)</f>
        <v>2.1661104931405264</v>
      </c>
      <c r="J155" s="25">
        <f t="shared" si="71"/>
        <v>7.1577057934994128</v>
      </c>
      <c r="K155" s="5"/>
    </row>
    <row r="156" spans="1:13" x14ac:dyDescent="0.2">
      <c r="A156" s="5" t="s">
        <v>41</v>
      </c>
      <c r="B156" s="84"/>
      <c r="C156" s="85">
        <f t="shared" ref="C156:G156" si="73">C92/((B24+C24-B57-C57)/2)</f>
        <v>-76.745501285347046</v>
      </c>
      <c r="D156" s="85">
        <f t="shared" si="73"/>
        <v>-14.850393700787402</v>
      </c>
      <c r="E156" s="85">
        <f t="shared" si="73"/>
        <v>-6.1780986762936223</v>
      </c>
      <c r="F156" s="85">
        <f t="shared" si="73"/>
        <v>-7.1362523796573294</v>
      </c>
      <c r="G156" s="85">
        <f t="shared" si="73"/>
        <v>-9.4319302237390978</v>
      </c>
      <c r="H156" s="85">
        <f>H92/((G24+H24-G57-H57)/2)</f>
        <v>-4.2391146589259794</v>
      </c>
      <c r="I156" s="85">
        <f>I92/((H24+I24-H57-I57)/2)</f>
        <v>-0.75517063081695968</v>
      </c>
      <c r="J156" s="25">
        <f t="shared" si="71"/>
        <v>-8.3671579278806849</v>
      </c>
      <c r="K156" s="5"/>
    </row>
    <row r="157" spans="1:13" x14ac:dyDescent="0.2">
      <c r="A157" s="5" t="s">
        <v>42</v>
      </c>
      <c r="B157" s="84"/>
      <c r="C157" s="85">
        <f t="shared" ref="C157:G157" si="74">C92/((B35+C35)/2)</f>
        <v>0.57076761303890644</v>
      </c>
      <c r="D157" s="85">
        <f t="shared" si="74"/>
        <v>0.50174698047283761</v>
      </c>
      <c r="E157" s="85">
        <f t="shared" si="74"/>
        <v>0.42469764902470097</v>
      </c>
      <c r="F157" s="85">
        <f t="shared" si="74"/>
        <v>0.41387359820823016</v>
      </c>
      <c r="G157" s="85">
        <f t="shared" si="74"/>
        <v>0.36099741647072486</v>
      </c>
      <c r="H157" s="85">
        <f>H92/((G35+H35)/2)</f>
        <v>0.30024157072368424</v>
      </c>
      <c r="I157" s="85">
        <f>I92/((H35+I35)/2)</f>
        <v>6.9401380424581535E-2</v>
      </c>
      <c r="J157" s="25">
        <f t="shared" si="71"/>
        <v>0.40031144298003551</v>
      </c>
      <c r="K157" s="5"/>
    </row>
    <row r="158" spans="1:13" x14ac:dyDescent="0.2">
      <c r="A158" s="5" t="s">
        <v>43</v>
      </c>
      <c r="B158" s="84"/>
      <c r="C158" s="85">
        <f t="shared" ref="C158:G158" si="75">C92/((B47+C47)/2)</f>
        <v>0.34969720396856074</v>
      </c>
      <c r="D158" s="85">
        <f t="shared" si="75"/>
        <v>0.3199104386470808</v>
      </c>
      <c r="E158" s="85">
        <f t="shared" si="75"/>
        <v>0.27765759529269241</v>
      </c>
      <c r="F158" s="85">
        <f t="shared" si="75"/>
        <v>0.2706996513091382</v>
      </c>
      <c r="G158" s="85">
        <f t="shared" si="75"/>
        <v>0.23818507416948373</v>
      </c>
      <c r="H158" s="85">
        <f>H92/((G47+H47)/2)</f>
        <v>0.20655210211802977</v>
      </c>
      <c r="I158" s="85">
        <f>I92/((H47+I47)/2)</f>
        <v>4.9382089905496106E-2</v>
      </c>
      <c r="J158" s="25">
        <f t="shared" si="71"/>
        <v>0.26260097230728496</v>
      </c>
      <c r="K158" s="5"/>
    </row>
    <row r="159" spans="1:13" x14ac:dyDescent="0.2">
      <c r="A159" s="5"/>
      <c r="B159" s="82"/>
      <c r="C159" s="5"/>
      <c r="D159" s="5"/>
      <c r="E159" s="5"/>
      <c r="F159" s="5"/>
      <c r="G159" s="5"/>
      <c r="H159" s="5"/>
      <c r="I159" s="5"/>
      <c r="J159" s="25"/>
      <c r="K159" s="5"/>
    </row>
    <row r="160" spans="1:13" ht="15.75" x14ac:dyDescent="0.25">
      <c r="A160" s="44" t="s">
        <v>44</v>
      </c>
      <c r="B160" s="93"/>
      <c r="C160" s="36"/>
      <c r="D160" s="36"/>
      <c r="E160" s="36"/>
      <c r="F160" s="36"/>
      <c r="G160" s="36"/>
      <c r="H160" s="36"/>
      <c r="I160" s="36"/>
      <c r="J160" s="85"/>
      <c r="K160" s="36"/>
      <c r="L160" s="94"/>
      <c r="M160" s="94"/>
    </row>
    <row r="161" spans="1:13" x14ac:dyDescent="0.2">
      <c r="A161" s="36" t="s">
        <v>16</v>
      </c>
      <c r="B161" s="95"/>
      <c r="C161" s="96">
        <f t="shared" ref="C161:E161" si="76">(C50+C62)/(C50+C74+C75+C62)</f>
        <v>0.56871457560702543</v>
      </c>
      <c r="D161" s="96">
        <f t="shared" si="76"/>
        <v>0.61020401564874394</v>
      </c>
      <c r="E161" s="96">
        <f t="shared" si="76"/>
        <v>0.62498771257249586</v>
      </c>
      <c r="F161" s="96">
        <f>(F50+F62)/(F50+F74+F75+F62)</f>
        <v>0.63534968764284627</v>
      </c>
      <c r="G161" s="96">
        <f>(G50+G62)/(G50+G74+G75+G62)</f>
        <v>0.65944069869989475</v>
      </c>
      <c r="H161" s="96">
        <f>(H50+H62)/(H50+H74+H75+H62)</f>
        <v>0.65946086054950748</v>
      </c>
      <c r="I161" s="96">
        <f>(I50+I62)/(I50+I74+I75+I62)</f>
        <v>0.66050937587461522</v>
      </c>
      <c r="J161" s="56">
        <f>AVERAGE(D161:H161)</f>
        <v>0.63788859502269768</v>
      </c>
      <c r="K161" s="36"/>
      <c r="L161" s="94"/>
      <c r="M161" s="94"/>
    </row>
    <row r="162" spans="1:13" x14ac:dyDescent="0.2">
      <c r="A162" s="36" t="s">
        <v>45</v>
      </c>
      <c r="B162" s="95"/>
      <c r="C162" s="96">
        <f t="shared" ref="C162:E162" si="77">(C74+C75)/(C50+C62+C74+C75)</f>
        <v>0.43128542439297463</v>
      </c>
      <c r="D162" s="96">
        <f t="shared" si="77"/>
        <v>0.38979598435125612</v>
      </c>
      <c r="E162" s="96">
        <f t="shared" si="77"/>
        <v>0.3750122874275042</v>
      </c>
      <c r="F162" s="96">
        <f>(F74+F75)/(F50+F62+F74+F75)</f>
        <v>0.36465031235715373</v>
      </c>
      <c r="G162" s="96">
        <f>(G74+G75)/(G50+G62+G74+G75)</f>
        <v>0.34055930130010525</v>
      </c>
      <c r="H162" s="96">
        <f>(H74+H75)/(H50+H62+H74+H75)</f>
        <v>0.34053913945049247</v>
      </c>
      <c r="I162" s="96">
        <f>(I74+I75)/(I50+I62+I74+I75)</f>
        <v>0.33949062412538483</v>
      </c>
      <c r="J162" s="56">
        <f>AVERAGE(D162:H162)</f>
        <v>0.36211140497730232</v>
      </c>
      <c r="K162" s="36"/>
      <c r="L162" s="94"/>
      <c r="M162" s="94"/>
    </row>
    <row r="163" spans="1:13" x14ac:dyDescent="0.2">
      <c r="A163" s="36"/>
      <c r="B163" s="95"/>
      <c r="C163" s="96"/>
      <c r="D163" s="96"/>
      <c r="E163" s="96"/>
      <c r="F163" s="96"/>
      <c r="G163" s="96"/>
      <c r="H163" s="96"/>
      <c r="I163" s="96"/>
      <c r="J163" s="56"/>
      <c r="K163" s="36"/>
      <c r="L163" s="94"/>
      <c r="M163" s="94"/>
    </row>
    <row r="164" spans="1:13" ht="15.75" x14ac:dyDescent="0.25">
      <c r="A164" s="44" t="s">
        <v>46</v>
      </c>
      <c r="B164" s="95"/>
      <c r="C164" s="96"/>
      <c r="D164" s="96"/>
      <c r="E164" s="96"/>
      <c r="F164" s="96"/>
      <c r="G164" s="96"/>
      <c r="H164" s="96"/>
      <c r="I164" s="96"/>
      <c r="J164" s="56"/>
      <c r="K164" s="36"/>
      <c r="L164" s="94"/>
      <c r="M164" s="94"/>
    </row>
    <row r="165" spans="1:13" x14ac:dyDescent="0.2">
      <c r="A165" s="36" t="s">
        <v>47</v>
      </c>
      <c r="B165" s="95"/>
      <c r="C165" s="96">
        <f t="shared" ref="C165:G165" si="78">+C51/(C51+C50+C62+C74+C75)</f>
        <v>4.6249332621462892E-2</v>
      </c>
      <c r="D165" s="96">
        <f t="shared" si="78"/>
        <v>5.5401154445224934E-2</v>
      </c>
      <c r="E165" s="96">
        <f t="shared" si="78"/>
        <v>7.3244055752937964E-2</v>
      </c>
      <c r="F165" s="96">
        <f t="shared" si="78"/>
        <v>5.5466006562661908E-2</v>
      </c>
      <c r="G165" s="96">
        <f t="shared" si="78"/>
        <v>7.3168802404682806E-2</v>
      </c>
      <c r="H165" s="96">
        <f>+H51/(H51+H50+H62+H74+H75)</f>
        <v>8.3370952030221671E-2</v>
      </c>
      <c r="I165" s="96">
        <f>+I51/(I51+I50+I62+I74+I75)</f>
        <v>7.1531501736316172E-2</v>
      </c>
      <c r="J165" s="56">
        <f t="shared" ref="J165:J167" si="79">AVERAGE(D165:H165)</f>
        <v>6.8130194239145847E-2</v>
      </c>
      <c r="K165" s="36"/>
      <c r="L165" s="94"/>
      <c r="M165" s="94"/>
    </row>
    <row r="166" spans="1:13" x14ac:dyDescent="0.2">
      <c r="A166" s="36" t="s">
        <v>16</v>
      </c>
      <c r="B166" s="95"/>
      <c r="C166" s="96">
        <f t="shared" ref="C166:G166" si="80">(C62+C50)/(C50+C62+C51+C74+C75)</f>
        <v>0.54241190603310196</v>
      </c>
      <c r="D166" s="96">
        <f t="shared" si="80"/>
        <v>0.57639800873469138</v>
      </c>
      <c r="E166" s="96">
        <f t="shared" si="80"/>
        <v>0.57921107770793478</v>
      </c>
      <c r="F166" s="96">
        <f t="shared" si="80"/>
        <v>0.60010937769846295</v>
      </c>
      <c r="G166" s="96">
        <f t="shared" si="80"/>
        <v>0.6111902125191162</v>
      </c>
      <c r="H166" s="96">
        <f>(H62+H50)/(H50+H62+H51+H74+H75)</f>
        <v>0.60448098077882584</v>
      </c>
      <c r="I166" s="96">
        <f>(I62+I50)/(I50+I62+I51+I74+I75)</f>
        <v>0.61326214830738701</v>
      </c>
      <c r="J166" s="56">
        <f t="shared" si="79"/>
        <v>0.59427793148780617</v>
      </c>
      <c r="K166" s="36"/>
      <c r="L166" s="94"/>
      <c r="M166" s="94"/>
    </row>
    <row r="167" spans="1:13" x14ac:dyDescent="0.2">
      <c r="A167" s="36" t="s">
        <v>45</v>
      </c>
      <c r="B167" s="95"/>
      <c r="C167" s="96">
        <f t="shared" ref="C167:G167" si="81">(C74+C75)/(C74+C75+C50+C51+C62)</f>
        <v>0.41133876134543512</v>
      </c>
      <c r="D167" s="96">
        <f t="shared" si="81"/>
        <v>0.3682008368200837</v>
      </c>
      <c r="E167" s="96">
        <f t="shared" si="81"/>
        <v>0.34754486653912725</v>
      </c>
      <c r="F167" s="96">
        <f t="shared" si="81"/>
        <v>0.34442461573887512</v>
      </c>
      <c r="G167" s="96">
        <f t="shared" si="81"/>
        <v>0.31564098507620103</v>
      </c>
      <c r="H167" s="96">
        <f>(H74+H75)/(H74+H75+H50+H51+H62)</f>
        <v>0.31214806719095251</v>
      </c>
      <c r="I167" s="96">
        <f>(I74+I75)/(I74+I75+I50+I51+I62)</f>
        <v>0.31520634995629682</v>
      </c>
      <c r="J167" s="56">
        <f t="shared" si="79"/>
        <v>0.33759187427304788</v>
      </c>
      <c r="K167" s="36"/>
      <c r="L167" s="94"/>
      <c r="M167" s="94"/>
    </row>
    <row r="168" spans="1:13" s="12" customFormat="1" x14ac:dyDescent="0.2">
      <c r="A168" s="97"/>
      <c r="B168" s="27"/>
      <c r="C168" s="96"/>
      <c r="D168" s="96"/>
      <c r="E168" s="96"/>
      <c r="F168" s="96"/>
      <c r="G168" s="96"/>
      <c r="H168" s="96"/>
      <c r="I168" s="96"/>
      <c r="J168" s="96"/>
      <c r="K168" s="97"/>
      <c r="L168" s="97"/>
      <c r="M168" s="97"/>
    </row>
    <row r="169" spans="1:13" s="12" customFormat="1" ht="15.75" x14ac:dyDescent="0.25">
      <c r="A169" s="98" t="s">
        <v>187</v>
      </c>
      <c r="B169" s="27"/>
      <c r="C169" s="97"/>
      <c r="D169" s="97"/>
      <c r="E169" s="97"/>
      <c r="F169" s="97"/>
      <c r="G169" s="97"/>
      <c r="H169" s="97"/>
      <c r="I169" s="97"/>
      <c r="J169" s="98"/>
      <c r="K169" s="97"/>
      <c r="L169" s="97"/>
      <c r="M169" s="97"/>
    </row>
    <row r="170" spans="1:13" s="12" customFormat="1" x14ac:dyDescent="0.2">
      <c r="A170" s="97" t="s">
        <v>192</v>
      </c>
      <c r="B170" s="27"/>
      <c r="C170" s="102"/>
      <c r="D170" s="102"/>
      <c r="E170" s="102"/>
      <c r="F170" s="102"/>
      <c r="G170" s="102"/>
      <c r="H170" s="102" t="s">
        <v>188</v>
      </c>
      <c r="I170" s="102" t="s">
        <v>189</v>
      </c>
      <c r="J170" s="102"/>
      <c r="K170" s="97"/>
      <c r="L170" s="97"/>
      <c r="M170" s="97"/>
    </row>
    <row r="171" spans="1:13" s="12" customFormat="1" x14ac:dyDescent="0.2">
      <c r="A171" s="97" t="s">
        <v>191</v>
      </c>
      <c r="B171" s="27"/>
      <c r="C171" s="102"/>
      <c r="D171" s="102"/>
      <c r="E171" s="102"/>
      <c r="F171" s="102"/>
      <c r="G171" s="102"/>
      <c r="H171" s="102" t="s">
        <v>189</v>
      </c>
      <c r="I171" s="102" t="s">
        <v>189</v>
      </c>
      <c r="J171" s="102"/>
      <c r="K171" s="97"/>
      <c r="L171" s="97"/>
      <c r="M171" s="97"/>
    </row>
    <row r="172" spans="1:13" s="12" customFormat="1" x14ac:dyDescent="0.2">
      <c r="A172" s="97" t="s">
        <v>193</v>
      </c>
      <c r="B172" s="27"/>
      <c r="C172" s="102"/>
      <c r="D172" s="102"/>
      <c r="E172" s="102"/>
      <c r="F172" s="102"/>
      <c r="G172" s="102"/>
      <c r="H172" s="102" t="s">
        <v>190</v>
      </c>
      <c r="I172" s="102" t="s">
        <v>190</v>
      </c>
      <c r="J172" s="102"/>
      <c r="K172" s="97"/>
      <c r="L172" s="97"/>
      <c r="M172" s="97"/>
    </row>
    <row r="173" spans="1:13" s="12" customFormat="1" x14ac:dyDescent="0.2">
      <c r="A173" s="97"/>
      <c r="B173" s="2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</row>
  </sheetData>
  <phoneticPr fontId="2" type="noConversion"/>
  <printOptions horizontalCentered="1"/>
  <pageMargins left="0.75" right="0.75" top="1" bottom="1" header="0.5" footer="0.5"/>
  <pageSetup scale="58" fitToHeight="5" orientation="portrait" r:id="rId1"/>
  <headerFooter alignWithMargins="0"/>
  <rowBreaks count="2" manualBreakCount="2">
    <brk id="81" max="9" man="1"/>
    <brk id="12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zoomScaleNormal="100" workbookViewId="0">
      <selection activeCell="K48" sqref="K48"/>
    </sheetView>
  </sheetViews>
  <sheetFormatPr defaultRowHeight="12.75" x14ac:dyDescent="0.2"/>
  <cols>
    <col min="1" max="1" width="62.5703125" customWidth="1"/>
    <col min="2" max="7" width="11.140625" customWidth="1"/>
    <col min="8" max="8" width="12.7109375" hidden="1" customWidth="1"/>
  </cols>
  <sheetData>
    <row r="1" spans="1:12" ht="15" x14ac:dyDescent="0.2">
      <c r="A1" s="5"/>
      <c r="G1" s="32" t="str">
        <f>+Historical!J1</f>
        <v>DPU Exhibit 1.7 DIR</v>
      </c>
    </row>
    <row r="2" spans="1:12" ht="15.75" x14ac:dyDescent="0.25">
      <c r="A2" s="7"/>
      <c r="G2" s="32" t="s">
        <v>69</v>
      </c>
    </row>
    <row r="3" spans="1:12" ht="15.75" x14ac:dyDescent="0.25">
      <c r="A3" s="110" t="str">
        <f>+Historical!A3</f>
        <v xml:space="preserve">Dominion Resources, Inc. </v>
      </c>
      <c r="B3" s="110"/>
      <c r="C3" s="110"/>
      <c r="D3" s="110"/>
      <c r="E3" s="110"/>
      <c r="F3" s="110"/>
      <c r="G3" s="110"/>
      <c r="H3" s="110"/>
    </row>
    <row r="4" spans="1:12" ht="15.75" x14ac:dyDescent="0.25">
      <c r="A4" s="110" t="s">
        <v>62</v>
      </c>
      <c r="B4" s="110"/>
      <c r="C4" s="110"/>
      <c r="D4" s="110"/>
      <c r="E4" s="110"/>
      <c r="F4" s="110"/>
      <c r="G4" s="110"/>
      <c r="H4" s="110"/>
    </row>
    <row r="5" spans="1:12" ht="15.75" x14ac:dyDescent="0.25">
      <c r="A5" s="111" t="s">
        <v>1</v>
      </c>
      <c r="B5" s="111"/>
      <c r="C5" s="111"/>
      <c r="D5" s="111"/>
      <c r="E5" s="111"/>
      <c r="F5" s="111"/>
      <c r="G5" s="111"/>
      <c r="H5" s="111"/>
    </row>
    <row r="6" spans="1:12" ht="15.75" x14ac:dyDescent="0.25">
      <c r="A6" s="5"/>
      <c r="B6" s="10"/>
      <c r="H6" s="58" t="str">
        <f>+Historical!I89</f>
        <v>1st Qrtr</v>
      </c>
    </row>
    <row r="7" spans="1:12" ht="15.75" x14ac:dyDescent="0.25">
      <c r="A7" s="42" t="s">
        <v>56</v>
      </c>
      <c r="B7" s="43">
        <v>2010</v>
      </c>
      <c r="C7" s="43">
        <f t="shared" ref="C7" si="0">+B7+1</f>
        <v>2011</v>
      </c>
      <c r="D7" s="43">
        <f t="shared" ref="D7" si="1">+C7+1</f>
        <v>2012</v>
      </c>
      <c r="E7" s="43">
        <f t="shared" ref="E7" si="2">+D7+1</f>
        <v>2013</v>
      </c>
      <c r="F7" s="43">
        <f t="shared" ref="F7" si="3">+E7+1</f>
        <v>2014</v>
      </c>
      <c r="G7" s="43">
        <f t="shared" ref="G7" si="4">+F7+1</f>
        <v>2015</v>
      </c>
      <c r="H7" s="59">
        <f>+Historical!I8</f>
        <v>2016</v>
      </c>
    </row>
    <row r="8" spans="1:12" ht="15" x14ac:dyDescent="0.2">
      <c r="A8" s="5" t="s">
        <v>137</v>
      </c>
      <c r="B8" s="26">
        <f>+Historical!C115</f>
        <v>2825</v>
      </c>
      <c r="C8" s="26">
        <f>+Historical!D115</f>
        <v>1426</v>
      </c>
      <c r="D8" s="26">
        <f>+Historical!E115</f>
        <v>329</v>
      </c>
      <c r="E8" s="26">
        <f>+Historical!F115</f>
        <v>1720</v>
      </c>
      <c r="F8" s="26">
        <f>+Historical!G115</f>
        <v>1326</v>
      </c>
      <c r="G8" s="26">
        <f>+Historical!H115</f>
        <v>1923</v>
      </c>
      <c r="H8" s="26">
        <f>+Historical!I115</f>
        <v>531</v>
      </c>
      <c r="L8" s="26">
        <f>+Historical!M117</f>
        <v>0</v>
      </c>
    </row>
    <row r="9" spans="1:12" ht="15" x14ac:dyDescent="0.2">
      <c r="A9" s="5"/>
      <c r="B9" s="26"/>
      <c r="C9" s="38"/>
    </row>
    <row r="10" spans="1:12" ht="15.75" x14ac:dyDescent="0.25">
      <c r="A10" s="7" t="s">
        <v>138</v>
      </c>
      <c r="B10" s="26"/>
      <c r="C10" s="38"/>
    </row>
    <row r="11" spans="1:12" ht="15" x14ac:dyDescent="0.2">
      <c r="A11" s="5" t="s">
        <v>182</v>
      </c>
      <c r="B11" s="26">
        <v>-2467</v>
      </c>
      <c r="C11" s="38"/>
    </row>
    <row r="12" spans="1:12" ht="15" x14ac:dyDescent="0.2">
      <c r="A12" s="5" t="s">
        <v>183</v>
      </c>
      <c r="B12" s="26">
        <v>113</v>
      </c>
      <c r="C12" s="38"/>
    </row>
    <row r="13" spans="1:12" ht="15" x14ac:dyDescent="0.2">
      <c r="A13" s="5" t="s">
        <v>140</v>
      </c>
      <c r="B13" s="26">
        <v>194</v>
      </c>
      <c r="C13" s="29">
        <v>283</v>
      </c>
      <c r="D13" s="29">
        <v>2089</v>
      </c>
      <c r="E13" s="29">
        <v>48</v>
      </c>
      <c r="F13" s="29"/>
      <c r="G13" s="29"/>
      <c r="H13" s="29"/>
    </row>
    <row r="14" spans="1:12" ht="15" x14ac:dyDescent="0.2">
      <c r="A14" s="36" t="s">
        <v>141</v>
      </c>
      <c r="B14" s="29">
        <v>-500</v>
      </c>
      <c r="C14" s="29">
        <v>3</v>
      </c>
      <c r="D14" s="29">
        <v>-151</v>
      </c>
      <c r="E14" s="29">
        <v>-5</v>
      </c>
      <c r="F14" s="29"/>
      <c r="G14" s="29"/>
      <c r="H14" s="29"/>
    </row>
    <row r="15" spans="1:12" ht="15" x14ac:dyDescent="0.2">
      <c r="A15" s="36" t="s">
        <v>180</v>
      </c>
      <c r="B15" s="29">
        <v>-650</v>
      </c>
      <c r="C15" s="29"/>
      <c r="D15" s="29"/>
      <c r="E15" s="29"/>
      <c r="F15" s="29"/>
      <c r="G15" s="29"/>
      <c r="H15" s="29"/>
    </row>
    <row r="16" spans="1:12" ht="15" x14ac:dyDescent="0.2">
      <c r="A16" s="36" t="s">
        <v>181</v>
      </c>
      <c r="B16" s="29">
        <v>229</v>
      </c>
      <c r="C16" s="29">
        <v>-115</v>
      </c>
      <c r="D16" s="29"/>
      <c r="E16" s="29"/>
      <c r="F16" s="29"/>
      <c r="G16" s="29"/>
      <c r="H16" s="29"/>
    </row>
    <row r="17" spans="1:8" ht="15" x14ac:dyDescent="0.2">
      <c r="A17" s="36" t="s">
        <v>142</v>
      </c>
      <c r="B17" s="29">
        <v>1258</v>
      </c>
      <c r="C17" s="29">
        <v>1288</v>
      </c>
      <c r="D17" s="29">
        <v>1443</v>
      </c>
      <c r="E17" s="29">
        <v>1390</v>
      </c>
      <c r="F17" s="29">
        <v>1560</v>
      </c>
      <c r="G17" s="29">
        <v>1669</v>
      </c>
      <c r="H17" s="29">
        <v>424</v>
      </c>
    </row>
    <row r="18" spans="1:8" ht="15" x14ac:dyDescent="0.2">
      <c r="A18" s="36" t="s">
        <v>143</v>
      </c>
      <c r="B18" s="27">
        <v>682</v>
      </c>
      <c r="C18" s="29">
        <v>756</v>
      </c>
      <c r="D18" s="29">
        <v>246</v>
      </c>
      <c r="E18" s="29">
        <v>737</v>
      </c>
      <c r="F18" s="29">
        <v>449</v>
      </c>
      <c r="G18" s="29">
        <v>854</v>
      </c>
      <c r="H18" s="29">
        <v>131</v>
      </c>
    </row>
    <row r="19" spans="1:8" ht="15" x14ac:dyDescent="0.2">
      <c r="A19" s="36" t="s">
        <v>144</v>
      </c>
      <c r="B19" s="27"/>
      <c r="C19" s="29"/>
      <c r="D19" s="29">
        <v>-81</v>
      </c>
      <c r="E19" s="29">
        <v>-122</v>
      </c>
      <c r="F19" s="29">
        <v>-220</v>
      </c>
      <c r="G19" s="29">
        <v>-123</v>
      </c>
      <c r="H19" s="29">
        <v>-5</v>
      </c>
    </row>
    <row r="20" spans="1:8" ht="15" x14ac:dyDescent="0.2">
      <c r="A20" s="36" t="s">
        <v>145</v>
      </c>
      <c r="B20" s="27"/>
      <c r="C20" s="29"/>
      <c r="D20" s="29"/>
      <c r="E20" s="29"/>
      <c r="F20" s="29">
        <v>374</v>
      </c>
      <c r="G20" s="29"/>
      <c r="H20" s="29"/>
    </row>
    <row r="21" spans="1:8" ht="15" x14ac:dyDescent="0.2">
      <c r="A21" s="36" t="s">
        <v>146</v>
      </c>
      <c r="B21" s="27"/>
      <c r="C21" s="29"/>
      <c r="D21" s="29"/>
      <c r="E21" s="29"/>
      <c r="F21" s="29">
        <v>284</v>
      </c>
      <c r="G21" s="29"/>
      <c r="H21" s="29"/>
    </row>
    <row r="22" spans="1:8" ht="15" x14ac:dyDescent="0.2">
      <c r="A22" s="36" t="s">
        <v>147</v>
      </c>
      <c r="B22" s="27"/>
      <c r="C22" s="29"/>
      <c r="D22" s="29"/>
      <c r="E22" s="29"/>
      <c r="F22" s="29">
        <v>121</v>
      </c>
      <c r="G22" s="29">
        <v>99</v>
      </c>
      <c r="H22" s="29"/>
    </row>
    <row r="23" spans="1:8" ht="15" x14ac:dyDescent="0.2">
      <c r="A23" s="36" t="s">
        <v>148</v>
      </c>
      <c r="B23" s="27">
        <v>-40</v>
      </c>
      <c r="C23" s="29">
        <v>-92</v>
      </c>
      <c r="D23" s="29">
        <v>-164</v>
      </c>
      <c r="E23" s="29">
        <v>-129</v>
      </c>
      <c r="F23" s="29">
        <v>-113</v>
      </c>
      <c r="G23" s="29">
        <v>-42</v>
      </c>
      <c r="H23" s="29">
        <v>-21</v>
      </c>
    </row>
    <row r="24" spans="1:8" ht="15" x14ac:dyDescent="0.2">
      <c r="A24" s="36" t="s">
        <v>149</v>
      </c>
      <c r="B24" s="29"/>
      <c r="C24" s="29"/>
      <c r="D24" s="29"/>
      <c r="E24" s="29"/>
      <c r="F24" s="29"/>
      <c r="G24" s="29"/>
      <c r="H24" s="29"/>
    </row>
    <row r="25" spans="1:8" ht="15" x14ac:dyDescent="0.2">
      <c r="A25" s="36" t="s">
        <v>155</v>
      </c>
      <c r="B25" s="29">
        <v>-60</v>
      </c>
      <c r="C25" s="29">
        <v>365</v>
      </c>
      <c r="D25" s="29">
        <v>292</v>
      </c>
      <c r="E25" s="29">
        <v>-98</v>
      </c>
      <c r="F25" s="29">
        <v>131</v>
      </c>
      <c r="G25" s="29">
        <v>294</v>
      </c>
      <c r="H25" s="29">
        <v>40</v>
      </c>
    </row>
    <row r="26" spans="1:8" ht="15" x14ac:dyDescent="0.2">
      <c r="A26" s="36" t="s">
        <v>150</v>
      </c>
      <c r="B26" s="29">
        <v>35</v>
      </c>
      <c r="C26" s="29">
        <v>-185</v>
      </c>
      <c r="D26" s="29">
        <v>33</v>
      </c>
      <c r="E26" s="29">
        <v>-29</v>
      </c>
      <c r="F26" s="29">
        <v>-43</v>
      </c>
      <c r="G26" s="29">
        <v>-26</v>
      </c>
      <c r="H26" s="29">
        <v>44</v>
      </c>
    </row>
    <row r="27" spans="1:8" ht="15" x14ac:dyDescent="0.2">
      <c r="A27" s="36" t="s">
        <v>151</v>
      </c>
      <c r="B27" s="29">
        <v>-246</v>
      </c>
      <c r="C27" s="29">
        <v>-3</v>
      </c>
      <c r="D27" s="29">
        <v>368</v>
      </c>
      <c r="E27" s="29">
        <v>102</v>
      </c>
      <c r="F27" s="29">
        <v>-180</v>
      </c>
      <c r="G27" s="29">
        <v>94</v>
      </c>
      <c r="H27" s="29">
        <v>35</v>
      </c>
    </row>
    <row r="28" spans="1:8" ht="15" x14ac:dyDescent="0.2">
      <c r="A28" s="36" t="s">
        <v>152</v>
      </c>
      <c r="B28" s="29">
        <v>139</v>
      </c>
      <c r="C28" s="29">
        <v>-19</v>
      </c>
      <c r="D28" s="29">
        <v>-85</v>
      </c>
      <c r="E28" s="29">
        <v>123</v>
      </c>
      <c r="F28" s="29">
        <v>24</v>
      </c>
      <c r="G28" s="29">
        <v>-25</v>
      </c>
      <c r="H28" s="29"/>
    </row>
    <row r="29" spans="1:8" ht="15" x14ac:dyDescent="0.2">
      <c r="A29" s="36" t="s">
        <v>154</v>
      </c>
      <c r="B29" s="29">
        <v>119</v>
      </c>
      <c r="C29" s="29">
        <v>-413</v>
      </c>
      <c r="D29" s="29">
        <v>-61</v>
      </c>
      <c r="E29" s="29">
        <v>50</v>
      </c>
      <c r="F29" s="29">
        <v>-202</v>
      </c>
      <c r="G29" s="29">
        <v>-199</v>
      </c>
      <c r="H29" s="29">
        <v>-37</v>
      </c>
    </row>
    <row r="30" spans="1:8" ht="15" x14ac:dyDescent="0.2">
      <c r="A30" s="36" t="s">
        <v>153</v>
      </c>
      <c r="B30" s="29">
        <v>166</v>
      </c>
      <c r="C30" s="29">
        <v>-216</v>
      </c>
      <c r="D30" s="29">
        <v>-12</v>
      </c>
      <c r="E30" s="29">
        <v>-27</v>
      </c>
      <c r="F30" s="29">
        <v>-41</v>
      </c>
      <c r="G30" s="29">
        <v>-52</v>
      </c>
      <c r="H30" s="29">
        <v>68</v>
      </c>
    </row>
    <row r="31" spans="1:8" ht="15" x14ac:dyDescent="0.2">
      <c r="A31" s="36" t="s">
        <v>156</v>
      </c>
      <c r="B31" s="29"/>
      <c r="C31" s="29"/>
      <c r="D31" s="29">
        <v>45</v>
      </c>
      <c r="E31" s="29">
        <v>-414</v>
      </c>
      <c r="F31" s="29">
        <v>361</v>
      </c>
      <c r="G31" s="29">
        <v>237</v>
      </c>
      <c r="H31" s="29">
        <v>-21</v>
      </c>
    </row>
    <row r="32" spans="1:8" ht="15" x14ac:dyDescent="0.2">
      <c r="A32" s="36" t="s">
        <v>157</v>
      </c>
      <c r="B32" s="28">
        <v>28</v>
      </c>
      <c r="C32" s="28">
        <v>-95</v>
      </c>
      <c r="D32" s="28">
        <v>-154</v>
      </c>
      <c r="E32" s="28">
        <v>87</v>
      </c>
      <c r="F32" s="28">
        <v>-392</v>
      </c>
      <c r="G32" s="28">
        <v>-228</v>
      </c>
      <c r="H32" s="28">
        <v>3</v>
      </c>
    </row>
    <row r="33" spans="1:8" ht="15" x14ac:dyDescent="0.2">
      <c r="A33" s="36" t="s">
        <v>57</v>
      </c>
      <c r="B33" s="29">
        <f>SUM(B8:B32)</f>
        <v>1825</v>
      </c>
      <c r="C33" s="29">
        <f>SUM(C8:C32)</f>
        <v>2983</v>
      </c>
      <c r="D33" s="29">
        <f>SUM(D8:D32)+D6</f>
        <v>4137</v>
      </c>
      <c r="E33" s="29">
        <f>SUM(E8:E32)</f>
        <v>3433</v>
      </c>
      <c r="F33" s="29">
        <f>SUM(F8:F32)</f>
        <v>3439</v>
      </c>
      <c r="G33" s="29">
        <f>SUM(G8:G32)</f>
        <v>4475</v>
      </c>
      <c r="H33" s="29">
        <f>SUM(H8:H32)</f>
        <v>1192</v>
      </c>
    </row>
    <row r="34" spans="1:8" ht="15" x14ac:dyDescent="0.2">
      <c r="B34" s="29"/>
      <c r="C34" s="29"/>
      <c r="D34" s="29"/>
      <c r="E34" s="29"/>
      <c r="F34" s="29"/>
      <c r="G34" s="29"/>
      <c r="H34" s="29"/>
    </row>
    <row r="35" spans="1:8" ht="15.75" x14ac:dyDescent="0.25">
      <c r="A35" s="44" t="s">
        <v>139</v>
      </c>
      <c r="B35" s="29"/>
      <c r="C35" s="29"/>
      <c r="D35" s="29"/>
      <c r="E35" s="29"/>
      <c r="F35" s="29"/>
      <c r="G35" s="29"/>
      <c r="H35" s="29"/>
    </row>
    <row r="36" spans="1:8" ht="15" x14ac:dyDescent="0.2">
      <c r="A36" s="37" t="s">
        <v>158</v>
      </c>
      <c r="B36" s="29">
        <v>-3422</v>
      </c>
      <c r="C36" s="29">
        <v>-3652</v>
      </c>
      <c r="D36" s="29">
        <v>-4145</v>
      </c>
      <c r="E36" s="29">
        <v>-4065</v>
      </c>
      <c r="F36" s="29">
        <v>-5345</v>
      </c>
      <c r="G36" s="29">
        <v>-5575</v>
      </c>
      <c r="H36" s="29">
        <v>-1497</v>
      </c>
    </row>
    <row r="37" spans="1:8" ht="15" x14ac:dyDescent="0.2">
      <c r="A37" s="37" t="s">
        <v>184</v>
      </c>
      <c r="B37" s="29">
        <v>3450</v>
      </c>
      <c r="C37" s="29"/>
      <c r="D37" s="29"/>
      <c r="E37" s="29"/>
      <c r="F37" s="29"/>
      <c r="G37" s="29"/>
      <c r="H37" s="29"/>
    </row>
    <row r="38" spans="1:8" ht="15" x14ac:dyDescent="0.2">
      <c r="A38" s="37" t="s">
        <v>185</v>
      </c>
      <c r="B38" s="29">
        <v>741</v>
      </c>
      <c r="C38" s="29"/>
      <c r="D38" s="29"/>
      <c r="E38" s="29"/>
      <c r="F38" s="29"/>
      <c r="G38" s="29"/>
      <c r="H38" s="29"/>
    </row>
    <row r="39" spans="1:8" ht="15" x14ac:dyDescent="0.2">
      <c r="A39" s="37" t="s">
        <v>159</v>
      </c>
      <c r="B39" s="29"/>
      <c r="C39" s="29"/>
      <c r="D39" s="29"/>
      <c r="E39" s="29">
        <v>-39</v>
      </c>
      <c r="F39" s="29">
        <v>-206</v>
      </c>
      <c r="G39" s="29">
        <v>-418</v>
      </c>
      <c r="H39" s="29"/>
    </row>
    <row r="40" spans="1:8" ht="15" x14ac:dyDescent="0.2">
      <c r="A40" s="37" t="s">
        <v>199</v>
      </c>
      <c r="B40" s="29"/>
      <c r="C40" s="29"/>
      <c r="D40" s="29"/>
      <c r="E40" s="29"/>
      <c r="F40" s="29"/>
      <c r="G40" s="29">
        <v>-497</v>
      </c>
      <c r="H40" s="29"/>
    </row>
    <row r="41" spans="1:8" ht="15" x14ac:dyDescent="0.2">
      <c r="A41" s="36" t="s">
        <v>160</v>
      </c>
      <c r="B41" s="29">
        <v>2814</v>
      </c>
      <c r="C41" s="29">
        <v>1757</v>
      </c>
      <c r="D41" s="29">
        <v>1356</v>
      </c>
      <c r="E41" s="29">
        <v>1476</v>
      </c>
      <c r="F41" s="29">
        <v>1235</v>
      </c>
      <c r="G41" s="29">
        <v>1340</v>
      </c>
      <c r="H41" s="29">
        <v>368</v>
      </c>
    </row>
    <row r="42" spans="1:8" ht="15" x14ac:dyDescent="0.2">
      <c r="A42" s="36" t="s">
        <v>161</v>
      </c>
      <c r="B42" s="29">
        <v>-2851</v>
      </c>
      <c r="C42" s="29">
        <v>-1824</v>
      </c>
      <c r="D42" s="29">
        <v>-1392</v>
      </c>
      <c r="E42" s="29">
        <v>-1493</v>
      </c>
      <c r="F42" s="29">
        <v>-1241</v>
      </c>
      <c r="G42" s="29">
        <v>-1326</v>
      </c>
      <c r="H42" s="29">
        <v>-393</v>
      </c>
    </row>
    <row r="43" spans="1:8" ht="15" x14ac:dyDescent="0.2">
      <c r="A43" s="36" t="s">
        <v>162</v>
      </c>
      <c r="B43" s="29"/>
      <c r="C43" s="29"/>
      <c r="D43" s="29"/>
      <c r="E43" s="29">
        <v>465</v>
      </c>
      <c r="F43" s="29"/>
      <c r="G43" s="29"/>
      <c r="H43" s="29"/>
    </row>
    <row r="44" spans="1:8" ht="15" x14ac:dyDescent="0.2">
      <c r="A44" s="36" t="s">
        <v>163</v>
      </c>
      <c r="B44" s="29"/>
      <c r="C44" s="29"/>
      <c r="D44" s="29"/>
      <c r="E44" s="29"/>
      <c r="F44" s="29">
        <v>187</v>
      </c>
      <c r="G44" s="29"/>
      <c r="H44" s="29"/>
    </row>
    <row r="45" spans="1:8" ht="15" x14ac:dyDescent="0.2">
      <c r="A45" s="36" t="s">
        <v>164</v>
      </c>
      <c r="B45" s="29"/>
      <c r="C45" s="29"/>
      <c r="D45" s="29">
        <v>115</v>
      </c>
      <c r="E45" s="29">
        <v>160</v>
      </c>
      <c r="F45" s="29">
        <v>85</v>
      </c>
      <c r="G45" s="29"/>
      <c r="H45" s="29"/>
    </row>
    <row r="46" spans="1:8" ht="15" x14ac:dyDescent="0.2">
      <c r="A46" s="36" t="s">
        <v>200</v>
      </c>
      <c r="B46" s="29"/>
      <c r="C46" s="29"/>
      <c r="D46" s="29"/>
      <c r="E46" s="29">
        <v>18</v>
      </c>
      <c r="F46" s="29">
        <v>60</v>
      </c>
      <c r="G46" s="29">
        <v>79</v>
      </c>
      <c r="H46" s="29"/>
    </row>
    <row r="47" spans="1:8" ht="15" x14ac:dyDescent="0.2">
      <c r="A47" s="36" t="s">
        <v>165</v>
      </c>
      <c r="B47" s="29">
        <v>-396</v>
      </c>
      <c r="C47" s="29">
        <v>259</v>
      </c>
      <c r="D47" s="29">
        <v>108</v>
      </c>
      <c r="E47" s="29">
        <v>25</v>
      </c>
      <c r="F47" s="29">
        <v>8</v>
      </c>
      <c r="G47" s="29"/>
      <c r="H47" s="29"/>
    </row>
    <row r="48" spans="1:8" ht="15" x14ac:dyDescent="0.2">
      <c r="A48" s="36" t="s">
        <v>118</v>
      </c>
      <c r="B48" s="28">
        <v>83</v>
      </c>
      <c r="C48" s="28">
        <v>139</v>
      </c>
      <c r="D48" s="28">
        <v>118</v>
      </c>
      <c r="E48" s="28">
        <v>-5</v>
      </c>
      <c r="F48" s="28">
        <v>36</v>
      </c>
      <c r="G48" s="28">
        <v>-106</v>
      </c>
      <c r="H48" s="28">
        <v>-3</v>
      </c>
    </row>
    <row r="49" spans="1:8" ht="15" x14ac:dyDescent="0.2">
      <c r="A49" s="36" t="s">
        <v>166</v>
      </c>
      <c r="B49" s="29">
        <f t="shared" ref="B49:H49" si="5">SUM(B36:B48)</f>
        <v>419</v>
      </c>
      <c r="C49" s="29">
        <f t="shared" si="5"/>
        <v>-3321</v>
      </c>
      <c r="D49" s="29">
        <f t="shared" si="5"/>
        <v>-3840</v>
      </c>
      <c r="E49" s="29">
        <f t="shared" si="5"/>
        <v>-3458</v>
      </c>
      <c r="F49" s="29">
        <f t="shared" si="5"/>
        <v>-5181</v>
      </c>
      <c r="G49" s="29">
        <f t="shared" si="5"/>
        <v>-6503</v>
      </c>
      <c r="H49" s="29">
        <f t="shared" si="5"/>
        <v>-1525</v>
      </c>
    </row>
    <row r="50" spans="1:8" ht="15" x14ac:dyDescent="0.2">
      <c r="B50" s="29"/>
      <c r="C50" s="29"/>
      <c r="D50" s="29"/>
      <c r="E50" s="29"/>
      <c r="F50" s="29"/>
      <c r="G50" s="29"/>
      <c r="H50" s="29"/>
    </row>
    <row r="51" spans="1:8" ht="15.75" x14ac:dyDescent="0.25">
      <c r="A51" s="44" t="s">
        <v>58</v>
      </c>
      <c r="B51" s="39"/>
      <c r="C51" s="29"/>
      <c r="D51" s="29"/>
      <c r="E51" s="29"/>
      <c r="F51" s="29"/>
      <c r="G51" s="29"/>
      <c r="H51" s="29"/>
    </row>
    <row r="52" spans="1:8" ht="15" x14ac:dyDescent="0.2">
      <c r="A52" s="37" t="s">
        <v>167</v>
      </c>
      <c r="B52" s="29">
        <v>91</v>
      </c>
      <c r="C52" s="29">
        <v>429</v>
      </c>
      <c r="D52" s="29">
        <v>598</v>
      </c>
      <c r="E52" s="29">
        <v>-485</v>
      </c>
      <c r="F52" s="29">
        <v>848</v>
      </c>
      <c r="G52" s="29">
        <v>734</v>
      </c>
      <c r="H52" s="29">
        <v>-481</v>
      </c>
    </row>
    <row r="53" spans="1:8" ht="15" x14ac:dyDescent="0.2">
      <c r="A53" s="37" t="s">
        <v>168</v>
      </c>
      <c r="B53" s="29"/>
      <c r="C53" s="29"/>
      <c r="D53" s="29">
        <v>400</v>
      </c>
      <c r="E53" s="29">
        <v>400</v>
      </c>
      <c r="F53" s="29">
        <v>400</v>
      </c>
      <c r="G53" s="29">
        <v>600</v>
      </c>
      <c r="H53" s="29"/>
    </row>
    <row r="54" spans="1:8" ht="15" x14ac:dyDescent="0.2">
      <c r="A54" s="37" t="s">
        <v>169</v>
      </c>
      <c r="B54" s="29"/>
      <c r="C54" s="29"/>
      <c r="D54" s="29"/>
      <c r="E54" s="29">
        <v>-400</v>
      </c>
      <c r="F54" s="29">
        <v>-400</v>
      </c>
      <c r="G54" s="29">
        <v>-400</v>
      </c>
      <c r="H54" s="29">
        <v>-100</v>
      </c>
    </row>
    <row r="55" spans="1:8" ht="15" x14ac:dyDescent="0.2">
      <c r="A55" s="37" t="s">
        <v>170</v>
      </c>
      <c r="B55" s="29">
        <v>1090</v>
      </c>
      <c r="C55" s="29">
        <v>2320</v>
      </c>
      <c r="D55" s="29">
        <v>1500</v>
      </c>
      <c r="E55" s="29">
        <v>4135</v>
      </c>
      <c r="F55" s="29">
        <v>6085</v>
      </c>
      <c r="G55" s="29">
        <v>2962</v>
      </c>
      <c r="H55" s="29">
        <v>1250</v>
      </c>
    </row>
    <row r="56" spans="1:8" ht="15" x14ac:dyDescent="0.2">
      <c r="A56" s="37" t="s">
        <v>171</v>
      </c>
      <c r="B56" s="29">
        <v>-1492</v>
      </c>
      <c r="C56" s="29">
        <v>-637</v>
      </c>
      <c r="D56" s="29">
        <v>-1675</v>
      </c>
      <c r="E56" s="29">
        <v>-1245</v>
      </c>
      <c r="F56" s="29">
        <v>-3993</v>
      </c>
      <c r="G56" s="29">
        <v>-892</v>
      </c>
      <c r="H56" s="29">
        <v>-496</v>
      </c>
    </row>
    <row r="57" spans="1:8" ht="15" x14ac:dyDescent="0.2">
      <c r="A57" s="37" t="s">
        <v>172</v>
      </c>
      <c r="B57" s="29"/>
      <c r="C57" s="29"/>
      <c r="D57" s="29"/>
      <c r="E57" s="29">
        <v>-258</v>
      </c>
      <c r="F57" s="29"/>
      <c r="G57" s="29"/>
      <c r="H57" s="29"/>
    </row>
    <row r="58" spans="1:8" ht="15" x14ac:dyDescent="0.2">
      <c r="A58" s="37" t="s">
        <v>173</v>
      </c>
      <c r="B58" s="29"/>
      <c r="C58" s="29"/>
      <c r="D58" s="29"/>
      <c r="E58" s="29">
        <v>-923</v>
      </c>
      <c r="F58" s="29"/>
      <c r="G58" s="29"/>
      <c r="H58" s="29"/>
    </row>
    <row r="59" spans="1:8" ht="15" x14ac:dyDescent="0.2">
      <c r="A59" s="37" t="s">
        <v>174</v>
      </c>
      <c r="B59" s="29"/>
      <c r="C59" s="29"/>
      <c r="D59" s="29"/>
      <c r="E59" s="29"/>
      <c r="F59" s="29">
        <v>392</v>
      </c>
      <c r="G59" s="29"/>
      <c r="H59" s="29"/>
    </row>
    <row r="60" spans="1:8" ht="15" x14ac:dyDescent="0.2">
      <c r="A60" s="37" t="s">
        <v>201</v>
      </c>
      <c r="B60" s="29"/>
      <c r="C60" s="29"/>
      <c r="D60" s="29"/>
      <c r="E60" s="29"/>
      <c r="F60" s="29"/>
      <c r="G60" s="29">
        <v>103</v>
      </c>
      <c r="H60" s="29">
        <v>94</v>
      </c>
    </row>
    <row r="61" spans="1:8" ht="15" x14ac:dyDescent="0.2">
      <c r="A61" s="37" t="s">
        <v>202</v>
      </c>
      <c r="B61" s="29"/>
      <c r="C61" s="29"/>
      <c r="D61" s="29"/>
      <c r="E61" s="29"/>
      <c r="F61" s="29"/>
      <c r="G61" s="29">
        <v>184</v>
      </c>
      <c r="H61" s="29">
        <v>117</v>
      </c>
    </row>
    <row r="62" spans="1:8" ht="15" x14ac:dyDescent="0.2">
      <c r="A62" s="37" t="s">
        <v>175</v>
      </c>
      <c r="B62" s="29"/>
      <c r="C62" s="29"/>
      <c r="D62" s="29"/>
      <c r="E62" s="29"/>
      <c r="F62" s="29">
        <v>-259</v>
      </c>
      <c r="G62" s="29"/>
      <c r="H62" s="29"/>
    </row>
    <row r="63" spans="1:8" ht="15" x14ac:dyDescent="0.2">
      <c r="A63" s="37" t="s">
        <v>176</v>
      </c>
      <c r="B63" s="29">
        <v>74</v>
      </c>
      <c r="C63" s="29">
        <v>38</v>
      </c>
      <c r="D63" s="29">
        <v>265</v>
      </c>
      <c r="E63" s="29">
        <v>278</v>
      </c>
      <c r="F63" s="29">
        <v>205</v>
      </c>
      <c r="G63" s="29">
        <v>786</v>
      </c>
      <c r="H63" s="29">
        <v>75</v>
      </c>
    </row>
    <row r="64" spans="1:8" ht="15" x14ac:dyDescent="0.2">
      <c r="A64" s="37" t="s">
        <v>186</v>
      </c>
      <c r="B64" s="29">
        <v>-900</v>
      </c>
      <c r="C64" s="29">
        <v>-601</v>
      </c>
      <c r="D64" s="29"/>
      <c r="E64" s="29"/>
      <c r="F64" s="29"/>
      <c r="G64" s="29"/>
      <c r="H64" s="29"/>
    </row>
    <row r="65" spans="1:8" ht="15" x14ac:dyDescent="0.2">
      <c r="A65" s="37" t="s">
        <v>177</v>
      </c>
      <c r="B65" s="29">
        <v>-1076</v>
      </c>
      <c r="C65" s="29">
        <v>-1129</v>
      </c>
      <c r="D65" s="29">
        <v>-1209</v>
      </c>
      <c r="E65" s="29">
        <v>-1302</v>
      </c>
      <c r="F65" s="29">
        <v>-1398</v>
      </c>
      <c r="G65" s="29">
        <v>-1536</v>
      </c>
      <c r="H65" s="29">
        <v>-417</v>
      </c>
    </row>
    <row r="66" spans="1:8" ht="15" x14ac:dyDescent="0.2">
      <c r="A66" s="37" t="s">
        <v>178</v>
      </c>
      <c r="B66" s="29">
        <v>-17</v>
      </c>
      <c r="C66" s="29">
        <v>-17</v>
      </c>
      <c r="D66" s="29">
        <v>-16</v>
      </c>
      <c r="E66" s="29">
        <v>-17</v>
      </c>
      <c r="F66" s="29">
        <v>-11</v>
      </c>
      <c r="G66" s="29"/>
      <c r="H66" s="29"/>
    </row>
    <row r="67" spans="1:8" ht="15" x14ac:dyDescent="0.2">
      <c r="A67" s="37" t="s">
        <v>118</v>
      </c>
      <c r="B67" s="28">
        <v>-2</v>
      </c>
      <c r="C67" s="28">
        <v>-25</v>
      </c>
      <c r="D67" s="28">
        <v>-14</v>
      </c>
      <c r="E67" s="28">
        <v>-90</v>
      </c>
      <c r="F67" s="28">
        <v>-125</v>
      </c>
      <c r="G67" s="28">
        <v>-224</v>
      </c>
      <c r="H67" s="28">
        <v>-98</v>
      </c>
    </row>
    <row r="68" spans="1:8" ht="15" x14ac:dyDescent="0.2">
      <c r="A68" s="37" t="s">
        <v>179</v>
      </c>
      <c r="B68" s="26">
        <f t="shared" ref="B68:H68" si="6">SUM(B52:B67)</f>
        <v>-2232</v>
      </c>
      <c r="C68" s="26">
        <f t="shared" si="6"/>
        <v>378</v>
      </c>
      <c r="D68" s="26">
        <f t="shared" si="6"/>
        <v>-151</v>
      </c>
      <c r="E68" s="26">
        <f t="shared" si="6"/>
        <v>93</v>
      </c>
      <c r="F68" s="26">
        <f t="shared" si="6"/>
        <v>1744</v>
      </c>
      <c r="G68" s="26">
        <f t="shared" si="6"/>
        <v>2317</v>
      </c>
      <c r="H68" s="26">
        <f t="shared" si="6"/>
        <v>-56</v>
      </c>
    </row>
    <row r="69" spans="1:8" ht="15" x14ac:dyDescent="0.2">
      <c r="A69" s="37"/>
      <c r="B69" s="26"/>
      <c r="C69" s="26"/>
      <c r="D69" s="26"/>
      <c r="E69" s="26"/>
      <c r="F69" s="26"/>
      <c r="G69" s="26"/>
      <c r="H69" s="29"/>
    </row>
    <row r="70" spans="1:8" s="89" customFormat="1" ht="15.75" x14ac:dyDescent="0.25">
      <c r="A70" s="45" t="s">
        <v>59</v>
      </c>
      <c r="B70" s="87">
        <f t="shared" ref="B70:G70" si="7">+B33+B49+B68</f>
        <v>12</v>
      </c>
      <c r="C70" s="88">
        <f t="shared" si="7"/>
        <v>40</v>
      </c>
      <c r="D70" s="88">
        <f t="shared" si="7"/>
        <v>146</v>
      </c>
      <c r="E70" s="88">
        <f t="shared" si="7"/>
        <v>68</v>
      </c>
      <c r="F70" s="88">
        <f t="shared" si="7"/>
        <v>2</v>
      </c>
      <c r="G70" s="87">
        <f t="shared" si="7"/>
        <v>289</v>
      </c>
      <c r="H70" s="87">
        <f>+H33+H49+H68</f>
        <v>-389</v>
      </c>
    </row>
    <row r="71" spans="1:8" ht="15" x14ac:dyDescent="0.2">
      <c r="A71" s="37"/>
      <c r="B71" s="29"/>
      <c r="C71" s="29"/>
      <c r="D71" s="29"/>
      <c r="E71" s="29"/>
      <c r="F71" s="29"/>
      <c r="G71" s="29"/>
      <c r="H71" s="29"/>
    </row>
    <row r="72" spans="1:8" ht="15" x14ac:dyDescent="0.2">
      <c r="A72" s="37" t="s">
        <v>60</v>
      </c>
      <c r="B72" s="29">
        <v>50</v>
      </c>
      <c r="C72" s="29">
        <f t="shared" ref="C72:H72" si="8">+B73</f>
        <v>62</v>
      </c>
      <c r="D72" s="29">
        <f t="shared" si="8"/>
        <v>102</v>
      </c>
      <c r="E72" s="29">
        <f t="shared" si="8"/>
        <v>248</v>
      </c>
      <c r="F72" s="29">
        <f>+E73</f>
        <v>316</v>
      </c>
      <c r="G72" s="29">
        <f t="shared" si="8"/>
        <v>318</v>
      </c>
      <c r="H72" s="29">
        <f t="shared" si="8"/>
        <v>607</v>
      </c>
    </row>
    <row r="73" spans="1:8" ht="15" x14ac:dyDescent="0.2">
      <c r="A73" s="37" t="s">
        <v>61</v>
      </c>
      <c r="B73" s="29">
        <f>+B72+B70</f>
        <v>62</v>
      </c>
      <c r="C73" s="29">
        <f t="shared" ref="C73:H73" si="9">+C72+C70</f>
        <v>102</v>
      </c>
      <c r="D73" s="29">
        <f>+D72+D70</f>
        <v>248</v>
      </c>
      <c r="E73" s="29">
        <f>+E72+E70</f>
        <v>316</v>
      </c>
      <c r="F73" s="29">
        <f t="shared" si="9"/>
        <v>318</v>
      </c>
      <c r="G73" s="29">
        <f t="shared" si="9"/>
        <v>607</v>
      </c>
      <c r="H73" s="29">
        <f t="shared" si="9"/>
        <v>218</v>
      </c>
    </row>
    <row r="74" spans="1:8" ht="15" x14ac:dyDescent="0.2">
      <c r="A74" s="37"/>
      <c r="B74" s="29"/>
      <c r="C74" s="30"/>
      <c r="D74" s="30"/>
      <c r="E74" s="30"/>
      <c r="F74" s="29"/>
      <c r="G74" s="29"/>
      <c r="H74" s="29"/>
    </row>
    <row r="75" spans="1:8" ht="15" x14ac:dyDescent="0.2">
      <c r="A75" s="37"/>
      <c r="B75" s="29"/>
    </row>
    <row r="76" spans="1:8" ht="15" x14ac:dyDescent="0.2">
      <c r="A76" s="37"/>
      <c r="B76" s="29"/>
    </row>
    <row r="77" spans="1:8" ht="15" x14ac:dyDescent="0.2">
      <c r="A77" s="37"/>
      <c r="B77" s="29"/>
    </row>
    <row r="78" spans="1:8" ht="15" x14ac:dyDescent="0.2">
      <c r="A78" s="37"/>
      <c r="B78" s="29"/>
    </row>
    <row r="79" spans="1:8" ht="15" x14ac:dyDescent="0.2">
      <c r="A79" s="37"/>
      <c r="B79" s="29"/>
    </row>
  </sheetData>
  <mergeCells count="3">
    <mergeCell ref="A3:H3"/>
    <mergeCell ref="A4:H4"/>
    <mergeCell ref="A5:H5"/>
  </mergeCells>
  <printOptions horizontalCentered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Historical</vt:lpstr>
      <vt:lpstr>Cash Flow</vt:lpstr>
      <vt:lpstr>Historical!Print_Area</vt:lpstr>
    </vt:vector>
  </TitlesOfParts>
  <Company>Dept of Commerce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TSilva</dc:creator>
  <cp:lastModifiedBy>laurieharris</cp:lastModifiedBy>
  <cp:lastPrinted>2016-07-06T22:25:44Z</cp:lastPrinted>
  <dcterms:created xsi:type="dcterms:W3CDTF">2007-10-29T19:25:41Z</dcterms:created>
  <dcterms:modified xsi:type="dcterms:W3CDTF">2016-07-07T22:17:02Z</dcterms:modified>
</cp:coreProperties>
</file>