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0745" yWindow="-15" windowWidth="20790" windowHeight="9735"/>
  </bookViews>
  <sheets>
    <sheet name="Exhibit 1.06" sheetId="5" r:id="rId1"/>
    <sheet name="Data" sheetId="1" r:id="rId2"/>
    <sheet name="Weight Calc" sheetId="3" r:id="rId3"/>
  </sheets>
  <definedNames>
    <definedName name="_xlnm.Print_Area" localSheetId="1">Data!$A$1:$K$4</definedName>
  </definedNames>
  <calcPr calcId="152511"/>
</workbook>
</file>

<file path=xl/calcChain.xml><?xml version="1.0" encoding="utf-8"?>
<calcChain xmlns="http://schemas.openxmlformats.org/spreadsheetml/2006/main">
  <c r="G116" i="3" l="1"/>
  <c r="G118" i="3" s="1"/>
  <c r="B109" i="3" s="1"/>
  <c r="G117" i="3"/>
  <c r="B108" i="3"/>
  <c r="D108" i="3" s="1"/>
  <c r="F107" i="3"/>
  <c r="B110" i="3"/>
  <c r="D110" i="3" s="1"/>
  <c r="D112" i="3"/>
  <c r="E112" i="3"/>
  <c r="C107" i="3"/>
  <c r="G99" i="3"/>
  <c r="G101" i="3" s="1"/>
  <c r="B92" i="3" s="1"/>
  <c r="B91" i="3"/>
  <c r="C91" i="3" s="1"/>
  <c r="E91" i="3" s="1"/>
  <c r="D91" i="3"/>
  <c r="F91" i="3" s="1"/>
  <c r="F90" i="3"/>
  <c r="B93" i="3"/>
  <c r="C93" i="3" s="1"/>
  <c r="E93" i="3" s="1"/>
  <c r="D95" i="3"/>
  <c r="C95" i="3"/>
  <c r="E95" i="3" s="1"/>
  <c r="C90" i="3"/>
  <c r="G82" i="3"/>
  <c r="G83" i="3"/>
  <c r="B75" i="3" s="1"/>
  <c r="C75" i="3" s="1"/>
  <c r="E75" i="3" s="1"/>
  <c r="B74" i="3"/>
  <c r="D74" i="3" s="1"/>
  <c r="F73" i="3"/>
  <c r="D78" i="3"/>
  <c r="E78" i="3"/>
  <c r="C73" i="3"/>
  <c r="G67" i="3"/>
  <c r="B58" i="3" s="1"/>
  <c r="G64" i="3"/>
  <c r="G66" i="3" s="1"/>
  <c r="B57" i="3" s="1"/>
  <c r="G65" i="3"/>
  <c r="B56" i="3"/>
  <c r="C56" i="3" s="1"/>
  <c r="E56" i="3" s="1"/>
  <c r="F55" i="3"/>
  <c r="D60" i="3"/>
  <c r="E60" i="3"/>
  <c r="C55" i="3"/>
  <c r="G49" i="3"/>
  <c r="B40" i="3" s="1"/>
  <c r="D40" i="3" s="1"/>
  <c r="G46" i="3"/>
  <c r="G47" i="3"/>
  <c r="B38" i="3"/>
  <c r="C38" i="3" s="1"/>
  <c r="E38" i="3" s="1"/>
  <c r="F37" i="3"/>
  <c r="D42" i="3"/>
  <c r="F42" i="3" s="1"/>
  <c r="E42" i="3"/>
  <c r="C37" i="3"/>
  <c r="G30" i="3"/>
  <c r="B21" i="3" s="1"/>
  <c r="G27" i="3"/>
  <c r="G29" i="3" s="1"/>
  <c r="G28" i="3"/>
  <c r="B19" i="3"/>
  <c r="C19" i="3" s="1"/>
  <c r="E19" i="3" s="1"/>
  <c r="D19" i="3"/>
  <c r="F18" i="3"/>
  <c r="D23" i="3"/>
  <c r="C23" i="3"/>
  <c r="E23" i="3" s="1"/>
  <c r="C18" i="3"/>
  <c r="D5" i="3"/>
  <c r="E5" i="3"/>
  <c r="F5" i="3" s="1"/>
  <c r="G5" i="3" s="1"/>
  <c r="F4" i="3"/>
  <c r="G9" i="3" s="1"/>
  <c r="D6" i="3"/>
  <c r="E6" i="3"/>
  <c r="F6" i="3" s="1"/>
  <c r="G6" i="3" s="1"/>
  <c r="D7" i="3"/>
  <c r="E7" i="3"/>
  <c r="F7" i="3"/>
  <c r="G7" i="3" s="1"/>
  <c r="B3" i="1" s="1"/>
  <c r="C8" i="3"/>
  <c r="B8" i="3"/>
  <c r="C4" i="3"/>
  <c r="D21" i="3" l="1"/>
  <c r="C21" i="3"/>
  <c r="E21" i="3" s="1"/>
  <c r="G8" i="3"/>
  <c r="G11" i="3" s="1"/>
  <c r="F40" i="3"/>
  <c r="G40" i="3" s="1"/>
  <c r="F3" i="1" s="1"/>
  <c r="C40" i="3"/>
  <c r="E40" i="3" s="1"/>
  <c r="G84" i="3"/>
  <c r="B76" i="3" s="1"/>
  <c r="C76" i="3" s="1"/>
  <c r="E76" i="3" s="1"/>
  <c r="F95" i="3"/>
  <c r="G95" i="3" s="1"/>
  <c r="G91" i="3"/>
  <c r="G96" i="3" s="1"/>
  <c r="I2" i="1" s="1"/>
  <c r="G48" i="3"/>
  <c r="D93" i="3"/>
  <c r="F23" i="3"/>
  <c r="G23" i="3" s="1"/>
  <c r="G42" i="3"/>
  <c r="C20" i="3"/>
  <c r="E20" i="3" s="1"/>
  <c r="B20" i="3"/>
  <c r="D20" i="3" s="1"/>
  <c r="F20" i="3" s="1"/>
  <c r="G20" i="3" s="1"/>
  <c r="F21" i="3"/>
  <c r="G21" i="3" s="1"/>
  <c r="D3" i="1" s="1"/>
  <c r="D38" i="3"/>
  <c r="F38" i="3" s="1"/>
  <c r="G38" i="3" s="1"/>
  <c r="G43" i="3" s="1"/>
  <c r="F2" i="1" s="1"/>
  <c r="F4" i="1" s="1"/>
  <c r="D56" i="3"/>
  <c r="F56" i="3" s="1"/>
  <c r="G56" i="3" s="1"/>
  <c r="F78" i="3"/>
  <c r="G78" i="3" s="1"/>
  <c r="D75" i="3"/>
  <c r="F75" i="3" s="1"/>
  <c r="G75" i="3" s="1"/>
  <c r="B22" i="3"/>
  <c r="F93" i="3"/>
  <c r="G93" i="3" s="1"/>
  <c r="I3" i="1" s="1"/>
  <c r="F112" i="3"/>
  <c r="G112" i="3" s="1"/>
  <c r="F60" i="3"/>
  <c r="G60" i="3" s="1"/>
  <c r="G61" i="3" s="1"/>
  <c r="G2" i="1" s="1"/>
  <c r="C3" i="1"/>
  <c r="F19" i="3"/>
  <c r="G19" i="3" s="1"/>
  <c r="D76" i="3"/>
  <c r="B77" i="3"/>
  <c r="B59" i="3"/>
  <c r="D57" i="3"/>
  <c r="C57" i="3"/>
  <c r="C58" i="3"/>
  <c r="E58" i="3" s="1"/>
  <c r="D58" i="3"/>
  <c r="F58" i="3" s="1"/>
  <c r="G58" i="3" s="1"/>
  <c r="G3" i="1" s="1"/>
  <c r="B39" i="3"/>
  <c r="C39" i="3"/>
  <c r="C92" i="3"/>
  <c r="D92" i="3"/>
  <c r="B94" i="3"/>
  <c r="D109" i="3"/>
  <c r="C109" i="3"/>
  <c r="E109" i="3" s="1"/>
  <c r="B111" i="3"/>
  <c r="C74" i="3"/>
  <c r="C108" i="3"/>
  <c r="G10" i="3"/>
  <c r="B2" i="1" s="1"/>
  <c r="C110" i="3"/>
  <c r="E110" i="3" s="1"/>
  <c r="F110" i="3" s="1"/>
  <c r="G110" i="3" s="1"/>
  <c r="E3" i="1" s="1"/>
  <c r="C22" i="3"/>
  <c r="I4" i="1" l="1"/>
  <c r="F76" i="3"/>
  <c r="G76" i="3" s="1"/>
  <c r="H3" i="1" s="1"/>
  <c r="K3" i="1" s="1"/>
  <c r="E74" i="3"/>
  <c r="F74" i="3" s="1"/>
  <c r="G74" i="3" s="1"/>
  <c r="C77" i="3"/>
  <c r="B41" i="3"/>
  <c r="D39" i="3"/>
  <c r="C59" i="3"/>
  <c r="E57" i="3"/>
  <c r="F57" i="3" s="1"/>
  <c r="G57" i="3" s="1"/>
  <c r="G59" i="3" s="1"/>
  <c r="G62" i="3" s="1"/>
  <c r="F109" i="3"/>
  <c r="G109" i="3" s="1"/>
  <c r="C2" i="1"/>
  <c r="C4" i="1" s="1"/>
  <c r="B4" i="1"/>
  <c r="E108" i="3"/>
  <c r="F108" i="3" s="1"/>
  <c r="G108" i="3" s="1"/>
  <c r="C111" i="3"/>
  <c r="E92" i="3"/>
  <c r="F92" i="3" s="1"/>
  <c r="G92" i="3" s="1"/>
  <c r="G94" i="3" s="1"/>
  <c r="G97" i="3" s="1"/>
  <c r="C94" i="3"/>
  <c r="G4" i="1"/>
  <c r="E39" i="3"/>
  <c r="C41" i="3"/>
  <c r="G22" i="3"/>
  <c r="G25" i="3" s="1"/>
  <c r="G24" i="3"/>
  <c r="D2" i="1" s="1"/>
  <c r="D4" i="1" s="1"/>
  <c r="G111" i="3" l="1"/>
  <c r="G114" i="3" s="1"/>
  <c r="G113" i="3"/>
  <c r="E2" i="1" s="1"/>
  <c r="E4" i="1" s="1"/>
  <c r="F39" i="3"/>
  <c r="G39" i="3" s="1"/>
  <c r="G41" i="3" s="1"/>
  <c r="G44" i="3" s="1"/>
  <c r="K2" i="1"/>
  <c r="K4" i="1" s="1"/>
  <c r="G77" i="3"/>
  <c r="G80" i="3" s="1"/>
  <c r="G79" i="3"/>
  <c r="H2" i="1" s="1"/>
  <c r="H4" i="1" s="1"/>
</calcChain>
</file>

<file path=xl/sharedStrings.xml><?xml version="1.0" encoding="utf-8"?>
<sst xmlns="http://schemas.openxmlformats.org/spreadsheetml/2006/main" count="156" uniqueCount="49">
  <si>
    <t>ID (Avista)</t>
  </si>
  <si>
    <t>OR (NW Natural)</t>
  </si>
  <si>
    <t>AZ (SW Gas)</t>
  </si>
  <si>
    <t>ID (Intrmtn Gas)</t>
  </si>
  <si>
    <t>NV So.(SW Gas)</t>
  </si>
  <si>
    <t>CA No. (PG&amp;E)</t>
  </si>
  <si>
    <t>Distribution Non-Gas Rate</t>
  </si>
  <si>
    <t>Supplier Non-Gas Rate</t>
  </si>
  <si>
    <t>Summer</t>
  </si>
  <si>
    <t>First 45</t>
  </si>
  <si>
    <t>Winter</t>
  </si>
  <si>
    <t>DNG</t>
  </si>
  <si>
    <t>SNG</t>
  </si>
  <si>
    <t>Total</t>
  </si>
  <si>
    <t>Commodity</t>
  </si>
  <si>
    <t>Weight</t>
  </si>
  <si>
    <t>Weighted</t>
  </si>
  <si>
    <t>Average</t>
  </si>
  <si>
    <t>BSF</t>
  </si>
  <si>
    <t>Total DNG</t>
  </si>
  <si>
    <t>Intermountain Gas Company</t>
  </si>
  <si>
    <t>Temporary PGA</t>
  </si>
  <si>
    <t>Weighted Cost of Gas</t>
  </si>
  <si>
    <t>Gas Transportation Cost</t>
  </si>
  <si>
    <t>Total Cost of Gas</t>
  </si>
  <si>
    <t>Convert to Dth * 10</t>
  </si>
  <si>
    <t>Avista Corporation</t>
  </si>
  <si>
    <t>Gas Transportation Cost (Demand)</t>
  </si>
  <si>
    <t>Northwest Natural</t>
  </si>
  <si>
    <t>Pacific Gas &amp; Electric</t>
  </si>
  <si>
    <t>Total Procurement</t>
  </si>
  <si>
    <t>SNG Portion of Procurement</t>
  </si>
  <si>
    <t>Gas Schedule G-SUR</t>
  </si>
  <si>
    <t>Gas Schedule G-1</t>
  </si>
  <si>
    <t>Southwest Gas Arizona</t>
  </si>
  <si>
    <t>Southwest Gas Nevada</t>
  </si>
  <si>
    <t>Monthly Gas Cost</t>
  </si>
  <si>
    <t>Cost of Gas</t>
  </si>
  <si>
    <t xml:space="preserve">SNG Portion </t>
  </si>
  <si>
    <t>Total Overall Rate</t>
  </si>
  <si>
    <t>DEU</t>
  </si>
  <si>
    <t>DEU w/ LNG</t>
  </si>
  <si>
    <t>Non-Gas Rate</t>
  </si>
  <si>
    <t>Company</t>
  </si>
  <si>
    <t>Dominion Energy Utah</t>
  </si>
  <si>
    <t>Schedule 150 PGA Commodity</t>
  </si>
  <si>
    <t>Schedule 155 Gas Rate Adj</t>
  </si>
  <si>
    <t>Schedule 150 PGA Demand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</si>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</sst>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1" fillId="0" borderId="1" xfId="0" applyFont="1" applyBorder="1"/>
    <xf numFmtId="0" fontId="0" fillId="0" borderId="0" xfId="0" applyAlignment="1">
      <alignment horizontal="center"/>
    </xf>
    <xf numFmtId="165" fontId="1" fillId="0" borderId="1" xfId="0" applyNumberFormat="1" applyFont="1" applyBorder="1"/>
    <xf numFmtId="165" fontId="2" fillId="0" borderId="0" xfId="0" applyNumberFormat="1" applyFont="1"/>
    <xf numFmtId="0" fontId="0" fillId="0" borderId="2" xfId="0" applyBorder="1"/>
    <xf numFmtId="0" fontId="0" fillId="0" borderId="0" xfId="0" applyFill="1" applyBorder="1"/>
    <xf numFmtId="14" fontId="0" fillId="0" borderId="0" xfId="0" applyNumberFormat="1"/>
    <xf numFmtId="0" fontId="0" fillId="0" borderId="3" xfId="0" applyBorder="1"/>
    <xf numFmtId="0" fontId="3" fillId="0" borderId="0" xfId="0" applyFont="1"/>
    <xf numFmtId="0" fontId="1" fillId="0" borderId="3" xfId="0" applyFont="1" applyBorder="1"/>
    <xf numFmtId="0" fontId="0" fillId="0" borderId="0" xfId="0" applyBorder="1"/>
    <xf numFmtId="165" fontId="0" fillId="0" borderId="0" xfId="0" applyNumberFormat="1"/>
    <xf numFmtId="43" fontId="4" fillId="0" borderId="0" xfId="1" applyFont="1"/>
    <xf numFmtId="0" fontId="0" fillId="0" borderId="0" xfId="0" applyFill="1"/>
    <xf numFmtId="0" fontId="1" fillId="2" borderId="1" xfId="0" applyFont="1" applyFill="1" applyBorder="1"/>
    <xf numFmtId="165" fontId="1" fillId="2" borderId="0" xfId="0" applyNumberFormat="1" applyFont="1" applyFill="1"/>
    <xf numFmtId="165" fontId="1" fillId="2" borderId="1" xfId="0" applyNumberFormat="1" applyFont="1" applyFill="1" applyBorder="1"/>
    <xf numFmtId="0" fontId="1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="1" i="0" u="none" strike="noStrike" baseline="0">
                <a:solidFill>
                  <a:srgbClr val="000000"/>
                </a:solidFill>
                <a:latin typeface="Californian FB" panose="0207040306080B030204" pitchFamily="18" charset="0"/>
                <a:ea typeface="Arial Black"/>
                <a:cs typeface="Arial Black"/>
              </a:defRPr>
            </a:pPr>
            <a:r>
              <a:rPr lang="en-US">
                <a:latin typeface="Californian FB" panose="0207040306080B030204" pitchFamily="18" charset="0"/>
              </a:rPr>
              <a:t>Non-Gas Rates</a:t>
            </a:r>
          </a:p>
        </c:rich>
      </c:tx>
      <c:layout>
        <c:manualLayout>
          <c:xMode val="edge"/>
          <c:yMode val="edge"/>
          <c:x val="0.35820756764886974"/>
          <c:y val="3.2325676363541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69893862459275E-2"/>
          <c:y val="3.7081578995987081E-2"/>
          <c:w val="0.84387672736777097"/>
          <c:h val="0.77218587725786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Data!$A$4</c:f>
              <c:strCache>
                <c:ptCount val="1"/>
                <c:pt idx="0">
                  <c:v>Non-Gas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Data!$B$1:$I$1</c:f>
              <c:strCache>
                <c:ptCount val="8"/>
                <c:pt idx="0">
                  <c:v>DEU</c:v>
                </c:pt>
                <c:pt idx="1">
                  <c:v>DEU w/ LNG</c:v>
                </c:pt>
                <c:pt idx="2">
                  <c:v>ID (Intrmtn Gas)</c:v>
                </c:pt>
                <c:pt idx="3">
                  <c:v>NV So.(SW Gas)</c:v>
                </c:pt>
                <c:pt idx="4">
                  <c:v>ID (Avista)</c:v>
                </c:pt>
                <c:pt idx="5">
                  <c:v>OR (NW Natural)</c:v>
                </c:pt>
                <c:pt idx="6">
                  <c:v>CA No. (PG&amp;E)</c:v>
                </c:pt>
                <c:pt idx="7">
                  <c:v>AZ (SW Gas)</c:v>
                </c:pt>
              </c:strCache>
            </c:strRef>
          </c:cat>
          <c:val>
            <c:numRef>
              <c:f>Data!$B$4:$I$4</c:f>
              <c:numCache>
                <c:formatCode>"$"#,##0.00</c:formatCode>
                <c:ptCount val="8"/>
                <c:pt idx="0">
                  <c:v>4.6922230125000004</c:v>
                </c:pt>
                <c:pt idx="1">
                  <c:v>4.9265980125000004</c:v>
                </c:pt>
                <c:pt idx="2">
                  <c:v>4.6430000000000007</c:v>
                </c:pt>
                <c:pt idx="3">
                  <c:v>5.4665000000000008</c:v>
                </c:pt>
                <c:pt idx="4">
                  <c:v>7.2204999999999995</c:v>
                </c:pt>
                <c:pt idx="5">
                  <c:v>6.8391000000000002</c:v>
                </c:pt>
                <c:pt idx="6">
                  <c:v>10.5543</c:v>
                </c:pt>
                <c:pt idx="7">
                  <c:v>9.3568800000000003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01136"/>
        <c:axId val="144198392"/>
      </c:barChart>
      <c:catAx>
        <c:axId val="14420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44198392"/>
        <c:crosses val="autoZero"/>
        <c:auto val="0"/>
        <c:lblAlgn val="ctr"/>
        <c:lblOffset val="100"/>
        <c:noMultiLvlLbl val="0"/>
      </c:catAx>
      <c:valAx>
        <c:axId val="144198392"/>
        <c:scaling>
          <c:orientation val="minMax"/>
          <c:max val="11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endParaRPr lang="en-US"/>
          </a:p>
        </c:txPr>
        <c:crossAx val="14420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945988174438445"/>
          <c:y val="0.86555675962185941"/>
          <c:w val="0.19891082661048937"/>
          <c:h val="0.11640263212716473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Black"/>
              <a:ea typeface="Arial Black"/>
              <a:cs typeface="Arial Black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Black"/>
          <a:ea typeface="Arial Black"/>
          <a:cs typeface="Arial Black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/>
  </sheetViews>
  <pageMargins left="0.7" right="0.7" top="0.75" bottom="0.75" header="0.3" footer="0.3"/>
  <pageSetup orientation="landscape" r:id="rId1"/>
  <headerFooter>
    <oddFooter>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0536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0.15919</cdr:x>
      <cdr:y>0.08822</cdr:y>
    </cdr:from>
    <cdr:to>
      <cdr:x>0.79484</cdr:x>
      <cdr:y>0.1484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0129" y="553895"/>
          <a:ext cx="5510891" cy="377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500" b="1" baseline="0">
              <a:latin typeface="Californian FB" panose="0207040306080B030204" pitchFamily="18" charset="0"/>
            </a:rPr>
            <a:t>Average Rate = $6.69</a:t>
          </a:r>
          <a:endParaRPr lang="en-US" sz="1500" b="1">
            <a:latin typeface="Californian FB" panose="0207040306080B030204" pitchFamily="18" charset="0"/>
          </a:endParaRPr>
        </a:p>
      </cdr:txBody>
    </cdr:sp>
  </cdr:relSizeAnchor>
  <cdr:relSizeAnchor xmlns:cdr="http://schemas.openxmlformats.org/drawingml/2006/chartDrawing">
    <cdr:from>
      <cdr:x>0.47309</cdr:x>
      <cdr:y>0.12694</cdr:y>
    </cdr:from>
    <cdr:to>
      <cdr:x>0.5796</cdr:x>
      <cdr:y>0.17492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01582" y="796990"/>
          <a:ext cx="923341" cy="301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0.90609</cdr:x>
      <cdr:y>0.74661</cdr:y>
    </cdr:from>
    <cdr:to>
      <cdr:x>0.99617</cdr:x>
      <cdr:y>0.9969</cdr:y>
    </cdr:to>
    <cdr:sp macro="" textlink="">
      <cdr:nvSpPr>
        <cdr:cNvPr id="4" name="TextBox 1"/>
        <cdr:cNvSpPr txBox="1"/>
      </cdr:nvSpPr>
      <cdr:spPr>
        <a:xfrm xmlns:a="http://schemas.openxmlformats.org/drawingml/2006/main" rot="5400000">
          <a:off x="7460219" y="5083006"/>
          <a:ext cx="1571555" cy="7810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Dominion Energy Utah</a:t>
          </a:r>
        </a:p>
        <a:p xmlns:a="http://schemas.openxmlformats.org/drawingml/2006/main">
          <a:r>
            <a:rPr lang="en-US" sz="1100"/>
            <a:t>Docket No. 18-057-03</a:t>
          </a:r>
          <a:r>
            <a:rPr lang="en-US" sz="1100" baseline="0"/>
            <a:t> DEU Exhibit 1.06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E8" sqref="E8"/>
    </sheetView>
  </sheetViews>
  <sheetFormatPr defaultRowHeight="15" x14ac:dyDescent="0.25"/>
  <cols>
    <col min="1" max="1" width="24.5703125" bestFit="1" customWidth="1"/>
    <col min="2" max="2" width="8.28515625" customWidth="1"/>
    <col min="3" max="3" width="11.7109375" bestFit="1" customWidth="1"/>
    <col min="4" max="4" width="15.28515625" bestFit="1" customWidth="1"/>
    <col min="5" max="5" width="15.140625" bestFit="1" customWidth="1"/>
    <col min="6" max="6" width="10.140625" bestFit="1" customWidth="1"/>
    <col min="7" max="7" width="16" bestFit="1" customWidth="1"/>
    <col min="8" max="8" width="14.140625" bestFit="1" customWidth="1"/>
    <col min="9" max="9" width="11.85546875" bestFit="1" customWidth="1"/>
    <col min="10" max="10" width="2.42578125" customWidth="1"/>
    <col min="11" max="11" width="8" bestFit="1" customWidth="1"/>
    <col min="12" max="12" width="2" customWidth="1"/>
  </cols>
  <sheetData>
    <row r="1" spans="1:13" x14ac:dyDescent="0.25">
      <c r="A1" s="5" t="s">
        <v>43</v>
      </c>
      <c r="B1" s="18" t="s">
        <v>40</v>
      </c>
      <c r="C1" s="4" t="s">
        <v>41</v>
      </c>
      <c r="D1" s="18" t="s">
        <v>3</v>
      </c>
      <c r="E1" s="18" t="s">
        <v>4</v>
      </c>
      <c r="F1" s="18" t="s">
        <v>0</v>
      </c>
      <c r="G1" s="4" t="s">
        <v>1</v>
      </c>
      <c r="H1" s="18" t="s">
        <v>5</v>
      </c>
      <c r="I1" s="18" t="s">
        <v>2</v>
      </c>
      <c r="J1" s="5"/>
      <c r="K1" s="21" t="s">
        <v>48</v>
      </c>
    </row>
    <row r="2" spans="1:13" x14ac:dyDescent="0.25">
      <c r="A2" s="2" t="s">
        <v>6</v>
      </c>
      <c r="B2" s="19">
        <f>+'Weight Calc'!$G$10</f>
        <v>3.6183758625000007</v>
      </c>
      <c r="C2" s="3">
        <f>B2+(18.75/80)</f>
        <v>3.8527508625000007</v>
      </c>
      <c r="D2" s="19">
        <f>+'Weight Calc'!G24</f>
        <v>2.6466000000000003</v>
      </c>
      <c r="E2" s="19">
        <f>+'Weight Calc'!G113</f>
        <v>4.8165000000000004</v>
      </c>
      <c r="F2" s="19">
        <f>+'Weight Calc'!G43</f>
        <v>6.1646999999999998</v>
      </c>
      <c r="G2" s="19">
        <f>+'Weight Calc'!G61</f>
        <v>5.6470000000000002</v>
      </c>
      <c r="H2" s="19">
        <f>+'Weight Calc'!G79</f>
        <v>9.1828000000000003</v>
      </c>
      <c r="I2" s="19">
        <f>+'Weight Calc'!G96</f>
        <v>9.2127999999999997</v>
      </c>
      <c r="J2" s="3"/>
      <c r="K2" s="7">
        <f>AVERAGE(B2,D2,E2,F2,G2,H2,I2)</f>
        <v>5.8983965517857149</v>
      </c>
      <c r="L2" s="2"/>
    </row>
    <row r="3" spans="1:13" x14ac:dyDescent="0.25">
      <c r="A3" s="4" t="s">
        <v>7</v>
      </c>
      <c r="B3" s="20">
        <f>+'Weight Calc'!G7</f>
        <v>1.07384715</v>
      </c>
      <c r="C3" s="6">
        <f>B3</f>
        <v>1.07384715</v>
      </c>
      <c r="D3" s="20">
        <f>+'Weight Calc'!G21</f>
        <v>1.9964000000000002</v>
      </c>
      <c r="E3" s="20">
        <f>+'Weight Calc'!G110</f>
        <v>0.65</v>
      </c>
      <c r="F3" s="20">
        <f>+'Weight Calc'!G40</f>
        <v>1.0558000000000001</v>
      </c>
      <c r="G3" s="20">
        <f>+'Weight Calc'!G58</f>
        <v>1.1920999999999999</v>
      </c>
      <c r="H3" s="20">
        <f>+'Weight Calc'!G76</f>
        <v>1.3714999999999997</v>
      </c>
      <c r="I3" s="20">
        <f>+'Weight Calc'!G93</f>
        <v>0.14408000000000004</v>
      </c>
      <c r="J3" s="3"/>
      <c r="K3" s="7">
        <f>AVERAGE(B3,D3,E3,F3,G3,H3,I3)</f>
        <v>1.0691038785714284</v>
      </c>
      <c r="L3" s="1"/>
    </row>
    <row r="4" spans="1:13" x14ac:dyDescent="0.25">
      <c r="A4" s="2" t="s">
        <v>42</v>
      </c>
      <c r="B4" s="19">
        <f t="shared" ref="B4:I4" si="0">SUM(B2:B3)</f>
        <v>4.6922230125000004</v>
      </c>
      <c r="C4" s="3">
        <f t="shared" si="0"/>
        <v>4.9265980125000004</v>
      </c>
      <c r="D4" s="19">
        <f t="shared" si="0"/>
        <v>4.6430000000000007</v>
      </c>
      <c r="E4" s="19">
        <f t="shared" si="0"/>
        <v>5.4665000000000008</v>
      </c>
      <c r="F4" s="19">
        <f t="shared" si="0"/>
        <v>7.2204999999999995</v>
      </c>
      <c r="G4" s="19">
        <f t="shared" si="0"/>
        <v>6.8391000000000002</v>
      </c>
      <c r="H4" s="19">
        <f t="shared" si="0"/>
        <v>10.5543</v>
      </c>
      <c r="I4" s="19">
        <f t="shared" si="0"/>
        <v>9.3568800000000003</v>
      </c>
      <c r="J4" s="3"/>
      <c r="K4" s="7">
        <f>SUM(K2:K3)</f>
        <v>6.9675004303571431</v>
      </c>
      <c r="M4" s="15"/>
    </row>
    <row r="8" spans="1:13" x14ac:dyDescent="0.25">
      <c r="D8" s="5"/>
      <c r="E8" s="5"/>
      <c r="F8" s="5"/>
      <c r="H8" s="5"/>
    </row>
  </sheetData>
  <pageMargins left="0.7" right="0.7" top="0.75" bottom="0.75" header="0.3" footer="0.3"/>
  <pageSetup scale="97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I13" sqref="I13"/>
    </sheetView>
  </sheetViews>
  <sheetFormatPr defaultRowHeight="15" x14ac:dyDescent="0.25"/>
  <cols>
    <col min="1" max="1" width="26.85546875" bestFit="1" customWidth="1"/>
    <col min="2" max="3" width="9.7109375" bestFit="1" customWidth="1"/>
    <col min="9" max="9" width="10.7109375" bestFit="1" customWidth="1"/>
    <col min="10" max="11" width="9.7109375" bestFit="1" customWidth="1"/>
    <col min="257" max="257" width="26.85546875" bestFit="1" customWidth="1"/>
    <col min="258" max="259" width="9.7109375" bestFit="1" customWidth="1"/>
    <col min="265" max="265" width="10.7109375" bestFit="1" customWidth="1"/>
    <col min="266" max="267" width="9.7109375" bestFit="1" customWidth="1"/>
    <col min="513" max="513" width="26.85546875" bestFit="1" customWidth="1"/>
    <col min="514" max="515" width="9.7109375" bestFit="1" customWidth="1"/>
    <col min="521" max="521" width="10.7109375" bestFit="1" customWidth="1"/>
    <col min="522" max="523" width="9.7109375" bestFit="1" customWidth="1"/>
    <col min="769" max="769" width="26.85546875" bestFit="1" customWidth="1"/>
    <col min="770" max="771" width="9.7109375" bestFit="1" customWidth="1"/>
    <col min="777" max="777" width="10.7109375" bestFit="1" customWidth="1"/>
    <col min="778" max="779" width="9.7109375" bestFit="1" customWidth="1"/>
    <col min="1025" max="1025" width="26.85546875" bestFit="1" customWidth="1"/>
    <col min="1026" max="1027" width="9.7109375" bestFit="1" customWidth="1"/>
    <col min="1033" max="1033" width="10.7109375" bestFit="1" customWidth="1"/>
    <col min="1034" max="1035" width="9.7109375" bestFit="1" customWidth="1"/>
    <col min="1281" max="1281" width="26.85546875" bestFit="1" customWidth="1"/>
    <col min="1282" max="1283" width="9.7109375" bestFit="1" customWidth="1"/>
    <col min="1289" max="1289" width="10.7109375" bestFit="1" customWidth="1"/>
    <col min="1290" max="1291" width="9.7109375" bestFit="1" customWidth="1"/>
    <col min="1537" max="1537" width="26.85546875" bestFit="1" customWidth="1"/>
    <col min="1538" max="1539" width="9.7109375" bestFit="1" customWidth="1"/>
    <col min="1545" max="1545" width="10.7109375" bestFit="1" customWidth="1"/>
    <col min="1546" max="1547" width="9.7109375" bestFit="1" customWidth="1"/>
    <col min="1793" max="1793" width="26.85546875" bestFit="1" customWidth="1"/>
    <col min="1794" max="1795" width="9.7109375" bestFit="1" customWidth="1"/>
    <col min="1801" max="1801" width="10.7109375" bestFit="1" customWidth="1"/>
    <col min="1802" max="1803" width="9.7109375" bestFit="1" customWidth="1"/>
    <col min="2049" max="2049" width="26.85546875" bestFit="1" customWidth="1"/>
    <col min="2050" max="2051" width="9.7109375" bestFit="1" customWidth="1"/>
    <col min="2057" max="2057" width="10.7109375" bestFit="1" customWidth="1"/>
    <col min="2058" max="2059" width="9.7109375" bestFit="1" customWidth="1"/>
    <col min="2305" max="2305" width="26.85546875" bestFit="1" customWidth="1"/>
    <col min="2306" max="2307" width="9.7109375" bestFit="1" customWidth="1"/>
    <col min="2313" max="2313" width="10.7109375" bestFit="1" customWidth="1"/>
    <col min="2314" max="2315" width="9.7109375" bestFit="1" customWidth="1"/>
    <col min="2561" max="2561" width="26.85546875" bestFit="1" customWidth="1"/>
    <col min="2562" max="2563" width="9.7109375" bestFit="1" customWidth="1"/>
    <col min="2569" max="2569" width="10.7109375" bestFit="1" customWidth="1"/>
    <col min="2570" max="2571" width="9.7109375" bestFit="1" customWidth="1"/>
    <col min="2817" max="2817" width="26.85546875" bestFit="1" customWidth="1"/>
    <col min="2818" max="2819" width="9.7109375" bestFit="1" customWidth="1"/>
    <col min="2825" max="2825" width="10.7109375" bestFit="1" customWidth="1"/>
    <col min="2826" max="2827" width="9.7109375" bestFit="1" customWidth="1"/>
    <col min="3073" max="3073" width="26.85546875" bestFit="1" customWidth="1"/>
    <col min="3074" max="3075" width="9.7109375" bestFit="1" customWidth="1"/>
    <col min="3081" max="3081" width="10.7109375" bestFit="1" customWidth="1"/>
    <col min="3082" max="3083" width="9.7109375" bestFit="1" customWidth="1"/>
    <col min="3329" max="3329" width="26.85546875" bestFit="1" customWidth="1"/>
    <col min="3330" max="3331" width="9.7109375" bestFit="1" customWidth="1"/>
    <col min="3337" max="3337" width="10.7109375" bestFit="1" customWidth="1"/>
    <col min="3338" max="3339" width="9.7109375" bestFit="1" customWidth="1"/>
    <col min="3585" max="3585" width="26.85546875" bestFit="1" customWidth="1"/>
    <col min="3586" max="3587" width="9.7109375" bestFit="1" customWidth="1"/>
    <col min="3593" max="3593" width="10.7109375" bestFit="1" customWidth="1"/>
    <col min="3594" max="3595" width="9.7109375" bestFit="1" customWidth="1"/>
    <col min="3841" max="3841" width="26.85546875" bestFit="1" customWidth="1"/>
    <col min="3842" max="3843" width="9.7109375" bestFit="1" customWidth="1"/>
    <col min="3849" max="3849" width="10.7109375" bestFit="1" customWidth="1"/>
    <col min="3850" max="3851" width="9.7109375" bestFit="1" customWidth="1"/>
    <col min="4097" max="4097" width="26.85546875" bestFit="1" customWidth="1"/>
    <col min="4098" max="4099" width="9.7109375" bestFit="1" customWidth="1"/>
    <col min="4105" max="4105" width="10.7109375" bestFit="1" customWidth="1"/>
    <col min="4106" max="4107" width="9.7109375" bestFit="1" customWidth="1"/>
    <col min="4353" max="4353" width="26.85546875" bestFit="1" customWidth="1"/>
    <col min="4354" max="4355" width="9.7109375" bestFit="1" customWidth="1"/>
    <col min="4361" max="4361" width="10.7109375" bestFit="1" customWidth="1"/>
    <col min="4362" max="4363" width="9.7109375" bestFit="1" customWidth="1"/>
    <col min="4609" max="4609" width="26.85546875" bestFit="1" customWidth="1"/>
    <col min="4610" max="4611" width="9.7109375" bestFit="1" customWidth="1"/>
    <col min="4617" max="4617" width="10.7109375" bestFit="1" customWidth="1"/>
    <col min="4618" max="4619" width="9.7109375" bestFit="1" customWidth="1"/>
    <col min="4865" max="4865" width="26.85546875" bestFit="1" customWidth="1"/>
    <col min="4866" max="4867" width="9.7109375" bestFit="1" customWidth="1"/>
    <col min="4873" max="4873" width="10.7109375" bestFit="1" customWidth="1"/>
    <col min="4874" max="4875" width="9.7109375" bestFit="1" customWidth="1"/>
    <col min="5121" max="5121" width="26.85546875" bestFit="1" customWidth="1"/>
    <col min="5122" max="5123" width="9.7109375" bestFit="1" customWidth="1"/>
    <col min="5129" max="5129" width="10.7109375" bestFit="1" customWidth="1"/>
    <col min="5130" max="5131" width="9.7109375" bestFit="1" customWidth="1"/>
    <col min="5377" max="5377" width="26.85546875" bestFit="1" customWidth="1"/>
    <col min="5378" max="5379" width="9.7109375" bestFit="1" customWidth="1"/>
    <col min="5385" max="5385" width="10.7109375" bestFit="1" customWidth="1"/>
    <col min="5386" max="5387" width="9.7109375" bestFit="1" customWidth="1"/>
    <col min="5633" max="5633" width="26.85546875" bestFit="1" customWidth="1"/>
    <col min="5634" max="5635" width="9.7109375" bestFit="1" customWidth="1"/>
    <col min="5641" max="5641" width="10.7109375" bestFit="1" customWidth="1"/>
    <col min="5642" max="5643" width="9.7109375" bestFit="1" customWidth="1"/>
    <col min="5889" max="5889" width="26.85546875" bestFit="1" customWidth="1"/>
    <col min="5890" max="5891" width="9.7109375" bestFit="1" customWidth="1"/>
    <col min="5897" max="5897" width="10.7109375" bestFit="1" customWidth="1"/>
    <col min="5898" max="5899" width="9.7109375" bestFit="1" customWidth="1"/>
    <col min="6145" max="6145" width="26.85546875" bestFit="1" customWidth="1"/>
    <col min="6146" max="6147" width="9.7109375" bestFit="1" customWidth="1"/>
    <col min="6153" max="6153" width="10.7109375" bestFit="1" customWidth="1"/>
    <col min="6154" max="6155" width="9.7109375" bestFit="1" customWidth="1"/>
    <col min="6401" max="6401" width="26.85546875" bestFit="1" customWidth="1"/>
    <col min="6402" max="6403" width="9.7109375" bestFit="1" customWidth="1"/>
    <col min="6409" max="6409" width="10.7109375" bestFit="1" customWidth="1"/>
    <col min="6410" max="6411" width="9.7109375" bestFit="1" customWidth="1"/>
    <col min="6657" max="6657" width="26.85546875" bestFit="1" customWidth="1"/>
    <col min="6658" max="6659" width="9.7109375" bestFit="1" customWidth="1"/>
    <col min="6665" max="6665" width="10.7109375" bestFit="1" customWidth="1"/>
    <col min="6666" max="6667" width="9.7109375" bestFit="1" customWidth="1"/>
    <col min="6913" max="6913" width="26.85546875" bestFit="1" customWidth="1"/>
    <col min="6914" max="6915" width="9.7109375" bestFit="1" customWidth="1"/>
    <col min="6921" max="6921" width="10.7109375" bestFit="1" customWidth="1"/>
    <col min="6922" max="6923" width="9.7109375" bestFit="1" customWidth="1"/>
    <col min="7169" max="7169" width="26.85546875" bestFit="1" customWidth="1"/>
    <col min="7170" max="7171" width="9.7109375" bestFit="1" customWidth="1"/>
    <col min="7177" max="7177" width="10.7109375" bestFit="1" customWidth="1"/>
    <col min="7178" max="7179" width="9.7109375" bestFit="1" customWidth="1"/>
    <col min="7425" max="7425" width="26.85546875" bestFit="1" customWidth="1"/>
    <col min="7426" max="7427" width="9.7109375" bestFit="1" customWidth="1"/>
    <col min="7433" max="7433" width="10.7109375" bestFit="1" customWidth="1"/>
    <col min="7434" max="7435" width="9.7109375" bestFit="1" customWidth="1"/>
    <col min="7681" max="7681" width="26.85546875" bestFit="1" customWidth="1"/>
    <col min="7682" max="7683" width="9.7109375" bestFit="1" customWidth="1"/>
    <col min="7689" max="7689" width="10.7109375" bestFit="1" customWidth="1"/>
    <col min="7690" max="7691" width="9.7109375" bestFit="1" customWidth="1"/>
    <col min="7937" max="7937" width="26.85546875" bestFit="1" customWidth="1"/>
    <col min="7938" max="7939" width="9.7109375" bestFit="1" customWidth="1"/>
    <col min="7945" max="7945" width="10.7109375" bestFit="1" customWidth="1"/>
    <col min="7946" max="7947" width="9.7109375" bestFit="1" customWidth="1"/>
    <col min="8193" max="8193" width="26.85546875" bestFit="1" customWidth="1"/>
    <col min="8194" max="8195" width="9.7109375" bestFit="1" customWidth="1"/>
    <col min="8201" max="8201" width="10.7109375" bestFit="1" customWidth="1"/>
    <col min="8202" max="8203" width="9.7109375" bestFit="1" customWidth="1"/>
    <col min="8449" max="8449" width="26.85546875" bestFit="1" customWidth="1"/>
    <col min="8450" max="8451" width="9.7109375" bestFit="1" customWidth="1"/>
    <col min="8457" max="8457" width="10.7109375" bestFit="1" customWidth="1"/>
    <col min="8458" max="8459" width="9.7109375" bestFit="1" customWidth="1"/>
    <col min="8705" max="8705" width="26.85546875" bestFit="1" customWidth="1"/>
    <col min="8706" max="8707" width="9.7109375" bestFit="1" customWidth="1"/>
    <col min="8713" max="8713" width="10.7109375" bestFit="1" customWidth="1"/>
    <col min="8714" max="8715" width="9.7109375" bestFit="1" customWidth="1"/>
    <col min="8961" max="8961" width="26.85546875" bestFit="1" customWidth="1"/>
    <col min="8962" max="8963" width="9.7109375" bestFit="1" customWidth="1"/>
    <col min="8969" max="8969" width="10.7109375" bestFit="1" customWidth="1"/>
    <col min="8970" max="8971" width="9.7109375" bestFit="1" customWidth="1"/>
    <col min="9217" max="9217" width="26.85546875" bestFit="1" customWidth="1"/>
    <col min="9218" max="9219" width="9.7109375" bestFit="1" customWidth="1"/>
    <col min="9225" max="9225" width="10.7109375" bestFit="1" customWidth="1"/>
    <col min="9226" max="9227" width="9.7109375" bestFit="1" customWidth="1"/>
    <col min="9473" max="9473" width="26.85546875" bestFit="1" customWidth="1"/>
    <col min="9474" max="9475" width="9.7109375" bestFit="1" customWidth="1"/>
    <col min="9481" max="9481" width="10.7109375" bestFit="1" customWidth="1"/>
    <col min="9482" max="9483" width="9.7109375" bestFit="1" customWidth="1"/>
    <col min="9729" max="9729" width="26.85546875" bestFit="1" customWidth="1"/>
    <col min="9730" max="9731" width="9.7109375" bestFit="1" customWidth="1"/>
    <col min="9737" max="9737" width="10.7109375" bestFit="1" customWidth="1"/>
    <col min="9738" max="9739" width="9.7109375" bestFit="1" customWidth="1"/>
    <col min="9985" max="9985" width="26.85546875" bestFit="1" customWidth="1"/>
    <col min="9986" max="9987" width="9.7109375" bestFit="1" customWidth="1"/>
    <col min="9993" max="9993" width="10.7109375" bestFit="1" customWidth="1"/>
    <col min="9994" max="9995" width="9.7109375" bestFit="1" customWidth="1"/>
    <col min="10241" max="10241" width="26.85546875" bestFit="1" customWidth="1"/>
    <col min="10242" max="10243" width="9.7109375" bestFit="1" customWidth="1"/>
    <col min="10249" max="10249" width="10.7109375" bestFit="1" customWidth="1"/>
    <col min="10250" max="10251" width="9.7109375" bestFit="1" customWidth="1"/>
    <col min="10497" max="10497" width="26.85546875" bestFit="1" customWidth="1"/>
    <col min="10498" max="10499" width="9.7109375" bestFit="1" customWidth="1"/>
    <col min="10505" max="10505" width="10.7109375" bestFit="1" customWidth="1"/>
    <col min="10506" max="10507" width="9.7109375" bestFit="1" customWidth="1"/>
    <col min="10753" max="10753" width="26.85546875" bestFit="1" customWidth="1"/>
    <col min="10754" max="10755" width="9.7109375" bestFit="1" customWidth="1"/>
    <col min="10761" max="10761" width="10.7109375" bestFit="1" customWidth="1"/>
    <col min="10762" max="10763" width="9.7109375" bestFit="1" customWidth="1"/>
    <col min="11009" max="11009" width="26.85546875" bestFit="1" customWidth="1"/>
    <col min="11010" max="11011" width="9.7109375" bestFit="1" customWidth="1"/>
    <col min="11017" max="11017" width="10.7109375" bestFit="1" customWidth="1"/>
    <col min="11018" max="11019" width="9.7109375" bestFit="1" customWidth="1"/>
    <col min="11265" max="11265" width="26.85546875" bestFit="1" customWidth="1"/>
    <col min="11266" max="11267" width="9.7109375" bestFit="1" customWidth="1"/>
    <col min="11273" max="11273" width="10.7109375" bestFit="1" customWidth="1"/>
    <col min="11274" max="11275" width="9.7109375" bestFit="1" customWidth="1"/>
    <col min="11521" max="11521" width="26.85546875" bestFit="1" customWidth="1"/>
    <col min="11522" max="11523" width="9.7109375" bestFit="1" customWidth="1"/>
    <col min="11529" max="11529" width="10.7109375" bestFit="1" customWidth="1"/>
    <col min="11530" max="11531" width="9.7109375" bestFit="1" customWidth="1"/>
    <col min="11777" max="11777" width="26.85546875" bestFit="1" customWidth="1"/>
    <col min="11778" max="11779" width="9.7109375" bestFit="1" customWidth="1"/>
    <col min="11785" max="11785" width="10.7109375" bestFit="1" customWidth="1"/>
    <col min="11786" max="11787" width="9.7109375" bestFit="1" customWidth="1"/>
    <col min="12033" max="12033" width="26.85546875" bestFit="1" customWidth="1"/>
    <col min="12034" max="12035" width="9.7109375" bestFit="1" customWidth="1"/>
    <col min="12041" max="12041" width="10.7109375" bestFit="1" customWidth="1"/>
    <col min="12042" max="12043" width="9.7109375" bestFit="1" customWidth="1"/>
    <col min="12289" max="12289" width="26.85546875" bestFit="1" customWidth="1"/>
    <col min="12290" max="12291" width="9.7109375" bestFit="1" customWidth="1"/>
    <col min="12297" max="12297" width="10.7109375" bestFit="1" customWidth="1"/>
    <col min="12298" max="12299" width="9.7109375" bestFit="1" customWidth="1"/>
    <col min="12545" max="12545" width="26.85546875" bestFit="1" customWidth="1"/>
    <col min="12546" max="12547" width="9.7109375" bestFit="1" customWidth="1"/>
    <col min="12553" max="12553" width="10.7109375" bestFit="1" customWidth="1"/>
    <col min="12554" max="12555" width="9.7109375" bestFit="1" customWidth="1"/>
    <col min="12801" max="12801" width="26.85546875" bestFit="1" customWidth="1"/>
    <col min="12802" max="12803" width="9.7109375" bestFit="1" customWidth="1"/>
    <col min="12809" max="12809" width="10.7109375" bestFit="1" customWidth="1"/>
    <col min="12810" max="12811" width="9.7109375" bestFit="1" customWidth="1"/>
    <col min="13057" max="13057" width="26.85546875" bestFit="1" customWidth="1"/>
    <col min="13058" max="13059" width="9.7109375" bestFit="1" customWidth="1"/>
    <col min="13065" max="13065" width="10.7109375" bestFit="1" customWidth="1"/>
    <col min="13066" max="13067" width="9.7109375" bestFit="1" customWidth="1"/>
    <col min="13313" max="13313" width="26.85546875" bestFit="1" customWidth="1"/>
    <col min="13314" max="13315" width="9.7109375" bestFit="1" customWidth="1"/>
    <col min="13321" max="13321" width="10.7109375" bestFit="1" customWidth="1"/>
    <col min="13322" max="13323" width="9.7109375" bestFit="1" customWidth="1"/>
    <col min="13569" max="13569" width="26.85546875" bestFit="1" customWidth="1"/>
    <col min="13570" max="13571" width="9.7109375" bestFit="1" customWidth="1"/>
    <col min="13577" max="13577" width="10.7109375" bestFit="1" customWidth="1"/>
    <col min="13578" max="13579" width="9.7109375" bestFit="1" customWidth="1"/>
    <col min="13825" max="13825" width="26.85546875" bestFit="1" customWidth="1"/>
    <col min="13826" max="13827" width="9.7109375" bestFit="1" customWidth="1"/>
    <col min="13833" max="13833" width="10.7109375" bestFit="1" customWidth="1"/>
    <col min="13834" max="13835" width="9.7109375" bestFit="1" customWidth="1"/>
    <col min="14081" max="14081" width="26.85546875" bestFit="1" customWidth="1"/>
    <col min="14082" max="14083" width="9.7109375" bestFit="1" customWidth="1"/>
    <col min="14089" max="14089" width="10.7109375" bestFit="1" customWidth="1"/>
    <col min="14090" max="14091" width="9.7109375" bestFit="1" customWidth="1"/>
    <col min="14337" max="14337" width="26.85546875" bestFit="1" customWidth="1"/>
    <col min="14338" max="14339" width="9.7109375" bestFit="1" customWidth="1"/>
    <col min="14345" max="14345" width="10.7109375" bestFit="1" customWidth="1"/>
    <col min="14346" max="14347" width="9.7109375" bestFit="1" customWidth="1"/>
    <col min="14593" max="14593" width="26.85546875" bestFit="1" customWidth="1"/>
    <col min="14594" max="14595" width="9.7109375" bestFit="1" customWidth="1"/>
    <col min="14601" max="14601" width="10.7109375" bestFit="1" customWidth="1"/>
    <col min="14602" max="14603" width="9.7109375" bestFit="1" customWidth="1"/>
    <col min="14849" max="14849" width="26.85546875" bestFit="1" customWidth="1"/>
    <col min="14850" max="14851" width="9.7109375" bestFit="1" customWidth="1"/>
    <col min="14857" max="14857" width="10.7109375" bestFit="1" customWidth="1"/>
    <col min="14858" max="14859" width="9.7109375" bestFit="1" customWidth="1"/>
    <col min="15105" max="15105" width="26.85546875" bestFit="1" customWidth="1"/>
    <col min="15106" max="15107" width="9.7109375" bestFit="1" customWidth="1"/>
    <col min="15113" max="15113" width="10.7109375" bestFit="1" customWidth="1"/>
    <col min="15114" max="15115" width="9.7109375" bestFit="1" customWidth="1"/>
    <col min="15361" max="15361" width="26.85546875" bestFit="1" customWidth="1"/>
    <col min="15362" max="15363" width="9.7109375" bestFit="1" customWidth="1"/>
    <col min="15369" max="15369" width="10.7109375" bestFit="1" customWidth="1"/>
    <col min="15370" max="15371" width="9.7109375" bestFit="1" customWidth="1"/>
    <col min="15617" max="15617" width="26.85546875" bestFit="1" customWidth="1"/>
    <col min="15618" max="15619" width="9.7109375" bestFit="1" customWidth="1"/>
    <col min="15625" max="15625" width="10.7109375" bestFit="1" customWidth="1"/>
    <col min="15626" max="15627" width="9.7109375" bestFit="1" customWidth="1"/>
    <col min="15873" max="15873" width="26.85546875" bestFit="1" customWidth="1"/>
    <col min="15874" max="15875" width="9.7109375" bestFit="1" customWidth="1"/>
    <col min="15881" max="15881" width="10.7109375" bestFit="1" customWidth="1"/>
    <col min="15882" max="15883" width="9.7109375" bestFit="1" customWidth="1"/>
    <col min="16129" max="16129" width="26.85546875" bestFit="1" customWidth="1"/>
    <col min="16130" max="16131" width="9.7109375" bestFit="1" customWidth="1"/>
    <col min="16137" max="16137" width="10.7109375" bestFit="1" customWidth="1"/>
    <col min="16138" max="16139" width="9.7109375" bestFit="1" customWidth="1"/>
  </cols>
  <sheetData>
    <row r="1" spans="1:11" x14ac:dyDescent="0.25">
      <c r="A1" s="12" t="s">
        <v>44</v>
      </c>
    </row>
    <row r="2" spans="1:11" x14ac:dyDescent="0.25">
      <c r="B2" t="s">
        <v>8</v>
      </c>
      <c r="C2" t="s">
        <v>10</v>
      </c>
      <c r="D2" t="s">
        <v>8</v>
      </c>
      <c r="E2" t="s">
        <v>10</v>
      </c>
      <c r="G2" t="s">
        <v>16</v>
      </c>
    </row>
    <row r="3" spans="1:11" x14ac:dyDescent="0.25">
      <c r="B3" t="s">
        <v>9</v>
      </c>
      <c r="C3" t="s">
        <v>9</v>
      </c>
      <c r="D3" t="s">
        <v>15</v>
      </c>
      <c r="E3" t="s">
        <v>15</v>
      </c>
      <c r="G3" t="s">
        <v>17</v>
      </c>
    </row>
    <row r="4" spans="1:11" x14ac:dyDescent="0.25">
      <c r="B4" s="10">
        <v>43070</v>
      </c>
      <c r="C4" s="10">
        <f>+B4</f>
        <v>43070</v>
      </c>
      <c r="D4">
        <v>24.7</v>
      </c>
      <c r="E4">
        <v>55.3</v>
      </c>
      <c r="F4">
        <f>+D4+E4</f>
        <v>80</v>
      </c>
      <c r="H4" s="10"/>
      <c r="I4" s="10"/>
      <c r="J4" s="10"/>
      <c r="K4" s="10"/>
    </row>
    <row r="5" spans="1:11" x14ac:dyDescent="0.25">
      <c r="A5" t="s">
        <v>11</v>
      </c>
      <c r="B5">
        <v>2.1291000000000002</v>
      </c>
      <c r="C5">
        <v>2.8188300000000002</v>
      </c>
      <c r="D5">
        <f>+B5*$D$4</f>
        <v>52.588770000000004</v>
      </c>
      <c r="E5">
        <f>+C5*$E$4</f>
        <v>155.88129900000001</v>
      </c>
      <c r="F5">
        <f>+D5+E5</f>
        <v>208.47006900000002</v>
      </c>
      <c r="G5">
        <f>+F5/$F$4</f>
        <v>2.6058758625000005</v>
      </c>
      <c r="I5" s="16"/>
      <c r="K5" s="16"/>
    </row>
    <row r="6" spans="1:11" x14ac:dyDescent="0.25">
      <c r="A6" t="s">
        <v>14</v>
      </c>
      <c r="B6">
        <v>4.2222799999999996</v>
      </c>
      <c r="C6">
        <v>4.2222799999999996</v>
      </c>
      <c r="D6">
        <f>+B6*$D$4</f>
        <v>104.29031599999999</v>
      </c>
      <c r="E6">
        <f>+C6*$E$4</f>
        <v>233.49208399999998</v>
      </c>
      <c r="F6">
        <f>+D6+E6</f>
        <v>337.78239999999994</v>
      </c>
      <c r="G6">
        <f>+F6/$F$4</f>
        <v>4.2222799999999996</v>
      </c>
    </row>
    <row r="7" spans="1:11" x14ac:dyDescent="0.25">
      <c r="A7" t="s">
        <v>12</v>
      </c>
      <c r="B7">
        <v>0.60294000000000003</v>
      </c>
      <c r="C7">
        <v>1.2841800000000001</v>
      </c>
      <c r="D7">
        <f>+B7*$D$4</f>
        <v>14.892618000000001</v>
      </c>
      <c r="E7">
        <f>+C7*$E$4</f>
        <v>71.015153999999995</v>
      </c>
      <c r="F7">
        <f>+D7+E7</f>
        <v>85.907771999999994</v>
      </c>
      <c r="G7">
        <f>+F7/$F$4</f>
        <v>1.07384715</v>
      </c>
    </row>
    <row r="8" spans="1:11" x14ac:dyDescent="0.25">
      <c r="A8" t="s">
        <v>13</v>
      </c>
      <c r="B8" s="8">
        <f>SUM(B5:B7)</f>
        <v>6.9543200000000001</v>
      </c>
      <c r="C8" s="8">
        <f>SUM(C5:C7)</f>
        <v>8.325289999999999</v>
      </c>
      <c r="G8" s="8">
        <f>SUM(G5:G7)</f>
        <v>7.9020030124999998</v>
      </c>
    </row>
    <row r="9" spans="1:11" x14ac:dyDescent="0.25">
      <c r="A9" t="s">
        <v>18</v>
      </c>
      <c r="B9" s="9">
        <v>6.75</v>
      </c>
      <c r="G9">
        <f>+B9*12/F4</f>
        <v>1.0125</v>
      </c>
    </row>
    <row r="10" spans="1:11" ht="15.75" thickBot="1" x14ac:dyDescent="0.3">
      <c r="A10" t="s">
        <v>19</v>
      </c>
      <c r="G10" s="11">
        <f>+G5+G9</f>
        <v>3.6183758625000007</v>
      </c>
    </row>
    <row r="11" spans="1:11" ht="16.5" thickTop="1" thickBot="1" x14ac:dyDescent="0.3">
      <c r="A11" s="2" t="s">
        <v>39</v>
      </c>
      <c r="B11" s="2"/>
      <c r="C11" s="2"/>
      <c r="D11" s="2"/>
      <c r="E11" s="2"/>
      <c r="F11" s="2"/>
      <c r="G11" s="13">
        <f>+G8+G9</f>
        <v>8.9145030124999991</v>
      </c>
    </row>
    <row r="12" spans="1:11" ht="15.75" thickTop="1" x14ac:dyDescent="0.25"/>
    <row r="14" spans="1:11" x14ac:dyDescent="0.25">
      <c r="A14" s="12" t="s">
        <v>20</v>
      </c>
    </row>
    <row r="16" spans="1:11" x14ac:dyDescent="0.25">
      <c r="B16" t="s">
        <v>8</v>
      </c>
      <c r="C16" t="s">
        <v>10</v>
      </c>
      <c r="D16" t="s">
        <v>8</v>
      </c>
      <c r="E16" t="s">
        <v>10</v>
      </c>
      <c r="G16" t="s">
        <v>16</v>
      </c>
    </row>
    <row r="17" spans="1:7" x14ac:dyDescent="0.25">
      <c r="A17" t="s">
        <v>25</v>
      </c>
      <c r="D17" t="s">
        <v>15</v>
      </c>
      <c r="E17" t="s">
        <v>15</v>
      </c>
      <c r="G17" t="s">
        <v>17</v>
      </c>
    </row>
    <row r="18" spans="1:7" x14ac:dyDescent="0.25">
      <c r="A18" s="12"/>
      <c r="B18" s="10">
        <v>43009</v>
      </c>
      <c r="C18" s="10">
        <f>+B18</f>
        <v>43009</v>
      </c>
      <c r="D18">
        <v>31</v>
      </c>
      <c r="E18">
        <v>49</v>
      </c>
      <c r="F18">
        <f>+D18+E18</f>
        <v>80</v>
      </c>
    </row>
    <row r="19" spans="1:7" x14ac:dyDescent="0.25">
      <c r="A19" t="s">
        <v>11</v>
      </c>
      <c r="B19" s="1">
        <f>(0.17849+0.00367)*10</f>
        <v>1.8216000000000001</v>
      </c>
      <c r="C19" s="1">
        <f>+B19</f>
        <v>1.8216000000000001</v>
      </c>
      <c r="D19">
        <f>+B19*$D$18</f>
        <v>56.4696</v>
      </c>
      <c r="E19">
        <f>+C19*$E$18</f>
        <v>89.258400000000009</v>
      </c>
      <c r="F19">
        <f>+D19+E19</f>
        <v>145.72800000000001</v>
      </c>
      <c r="G19" s="1">
        <f>+F19/$F$18</f>
        <v>1.8216000000000001</v>
      </c>
    </row>
    <row r="20" spans="1:7" x14ac:dyDescent="0.25">
      <c r="A20" t="s">
        <v>14</v>
      </c>
      <c r="B20">
        <f>+G29</f>
        <v>2.0594999999999999</v>
      </c>
      <c r="C20">
        <f>+G29</f>
        <v>2.0594999999999999</v>
      </c>
      <c r="D20">
        <f>+B20*$D$18</f>
        <v>63.844499999999996</v>
      </c>
      <c r="E20">
        <f>+C20*$E$18</f>
        <v>100.91549999999999</v>
      </c>
      <c r="F20">
        <f>+D20+E20</f>
        <v>164.76</v>
      </c>
      <c r="G20">
        <f>+F20/$F$18</f>
        <v>2.0594999999999999</v>
      </c>
    </row>
    <row r="21" spans="1:7" x14ac:dyDescent="0.25">
      <c r="A21" t="s">
        <v>12</v>
      </c>
      <c r="B21">
        <f>+G30</f>
        <v>1.9964000000000002</v>
      </c>
      <c r="C21">
        <f>+B21</f>
        <v>1.9964000000000002</v>
      </c>
      <c r="D21">
        <f>+B21*$D$18</f>
        <v>61.888400000000004</v>
      </c>
      <c r="E21">
        <f>+C21*$E$18</f>
        <v>97.823600000000013</v>
      </c>
      <c r="F21">
        <f>+D21+E21</f>
        <v>159.71200000000002</v>
      </c>
      <c r="G21">
        <f>+F21/$F$18</f>
        <v>1.9964000000000002</v>
      </c>
    </row>
    <row r="22" spans="1:7" x14ac:dyDescent="0.25">
      <c r="A22" t="s">
        <v>13</v>
      </c>
      <c r="B22" s="8">
        <f>SUM(B19:B21)</f>
        <v>5.8775000000000004</v>
      </c>
      <c r="C22" s="8">
        <f>SUM(C19:C21)</f>
        <v>5.8775000000000004</v>
      </c>
      <c r="G22" s="8">
        <f>SUM(G19:G21)</f>
        <v>5.8775000000000004</v>
      </c>
    </row>
    <row r="23" spans="1:7" x14ac:dyDescent="0.25">
      <c r="A23" t="s">
        <v>18</v>
      </c>
      <c r="B23" s="9">
        <v>5.5</v>
      </c>
      <c r="C23" s="9">
        <f>+B23</f>
        <v>5.5</v>
      </c>
      <c r="D23">
        <f>+B23*8</f>
        <v>44</v>
      </c>
      <c r="E23">
        <f>+C23*4</f>
        <v>22</v>
      </c>
      <c r="F23">
        <f>+D23+E23</f>
        <v>66</v>
      </c>
      <c r="G23">
        <f>+F23/F18</f>
        <v>0.82499999999999996</v>
      </c>
    </row>
    <row r="24" spans="1:7" ht="15.75" thickBot="1" x14ac:dyDescent="0.3">
      <c r="A24" t="s">
        <v>19</v>
      </c>
      <c r="G24" s="11">
        <f>+G19+G23</f>
        <v>2.6466000000000003</v>
      </c>
    </row>
    <row r="25" spans="1:7" ht="16.5" thickTop="1" thickBot="1" x14ac:dyDescent="0.3">
      <c r="A25" s="2" t="s">
        <v>39</v>
      </c>
      <c r="B25" s="2"/>
      <c r="C25" s="2"/>
      <c r="D25" s="2"/>
      <c r="E25" s="2"/>
      <c r="F25" s="2"/>
      <c r="G25" s="13">
        <f>+G22+G23</f>
        <v>6.7025000000000006</v>
      </c>
    </row>
    <row r="26" spans="1:7" ht="15.75" thickTop="1" x14ac:dyDescent="0.25"/>
    <row r="27" spans="1:7" x14ac:dyDescent="0.25">
      <c r="A27" t="s">
        <v>21</v>
      </c>
      <c r="G27">
        <f>-0.05425*10</f>
        <v>-0.54249999999999998</v>
      </c>
    </row>
    <row r="28" spans="1:7" x14ac:dyDescent="0.25">
      <c r="A28" t="s">
        <v>22</v>
      </c>
      <c r="G28">
        <f>0.2602*10</f>
        <v>2.6019999999999999</v>
      </c>
    </row>
    <row r="29" spans="1:7" x14ac:dyDescent="0.25">
      <c r="A29" t="s">
        <v>24</v>
      </c>
      <c r="G29" s="8">
        <f>SUM(G27:G28)</f>
        <v>2.0594999999999999</v>
      </c>
    </row>
    <row r="30" spans="1:7" x14ac:dyDescent="0.25">
      <c r="A30" t="s">
        <v>23</v>
      </c>
      <c r="G30">
        <f>0.19964*10</f>
        <v>1.9964000000000002</v>
      </c>
    </row>
    <row r="33" spans="1:7" x14ac:dyDescent="0.25">
      <c r="A33" s="12" t="s">
        <v>26</v>
      </c>
    </row>
    <row r="35" spans="1:7" x14ac:dyDescent="0.25">
      <c r="B35" t="s">
        <v>8</v>
      </c>
      <c r="C35" t="s">
        <v>10</v>
      </c>
      <c r="D35" t="s">
        <v>8</v>
      </c>
      <c r="E35" t="s">
        <v>10</v>
      </c>
      <c r="G35" t="s">
        <v>16</v>
      </c>
    </row>
    <row r="36" spans="1:7" x14ac:dyDescent="0.25">
      <c r="A36" t="s">
        <v>25</v>
      </c>
      <c r="D36" t="s">
        <v>15</v>
      </c>
      <c r="E36" t="s">
        <v>15</v>
      </c>
      <c r="G36" t="s">
        <v>17</v>
      </c>
    </row>
    <row r="37" spans="1:7" x14ac:dyDescent="0.25">
      <c r="A37" s="12"/>
      <c r="B37" s="10">
        <v>43101</v>
      </c>
      <c r="C37" s="10">
        <f>+B37</f>
        <v>43101</v>
      </c>
      <c r="D37">
        <v>31</v>
      </c>
      <c r="E37">
        <v>49</v>
      </c>
      <c r="F37">
        <f>+D37+E37</f>
        <v>80</v>
      </c>
    </row>
    <row r="38" spans="1:7" x14ac:dyDescent="0.25">
      <c r="A38" t="s">
        <v>11</v>
      </c>
      <c r="B38">
        <f>(0.48363+0.01818+0.02466)*10</f>
        <v>5.2646999999999995</v>
      </c>
      <c r="C38">
        <f>+B38</f>
        <v>5.2646999999999995</v>
      </c>
      <c r="D38">
        <f>+B38*$D$37</f>
        <v>163.20569999999998</v>
      </c>
      <c r="E38">
        <f>+C38*$E$37</f>
        <v>257.97029999999995</v>
      </c>
      <c r="F38">
        <f>+D38+E38</f>
        <v>421.17599999999993</v>
      </c>
      <c r="G38">
        <f>+F38/$F$37</f>
        <v>5.2646999999999995</v>
      </c>
    </row>
    <row r="39" spans="1:7" x14ac:dyDescent="0.25">
      <c r="A39" t="s">
        <v>14</v>
      </c>
      <c r="B39">
        <f>+G48</f>
        <v>1.3028999999999997</v>
      </c>
      <c r="C39">
        <f>+G48</f>
        <v>1.3028999999999997</v>
      </c>
      <c r="D39">
        <f>+B39*$D$37</f>
        <v>40.38989999999999</v>
      </c>
      <c r="E39">
        <f>+C39*$E$37</f>
        <v>63.842099999999988</v>
      </c>
      <c r="F39">
        <f>+D39+E39</f>
        <v>104.23199999999997</v>
      </c>
      <c r="G39">
        <f>+F39/$F$37</f>
        <v>1.3028999999999997</v>
      </c>
    </row>
    <row r="40" spans="1:7" x14ac:dyDescent="0.25">
      <c r="A40" t="s">
        <v>12</v>
      </c>
      <c r="B40">
        <f>+G49</f>
        <v>1.0557999999999998</v>
      </c>
      <c r="C40">
        <f>+G49</f>
        <v>1.0557999999999998</v>
      </c>
      <c r="D40">
        <f>+B40*$D$37</f>
        <v>32.729799999999997</v>
      </c>
      <c r="E40">
        <f>+C40*$E$37</f>
        <v>51.734199999999994</v>
      </c>
      <c r="F40">
        <f>+D40+E40</f>
        <v>84.463999999999999</v>
      </c>
      <c r="G40">
        <f>+F40/$F$37</f>
        <v>1.0558000000000001</v>
      </c>
    </row>
    <row r="41" spans="1:7" x14ac:dyDescent="0.25">
      <c r="A41" t="s">
        <v>13</v>
      </c>
      <c r="B41" s="8">
        <f>SUM(B38:B40)</f>
        <v>7.6233999999999984</v>
      </c>
      <c r="C41" s="8">
        <f>SUM(C38:C40)</f>
        <v>7.6233999999999984</v>
      </c>
      <c r="G41" s="8">
        <f>SUM(G38:G40)</f>
        <v>7.6233999999999984</v>
      </c>
    </row>
    <row r="42" spans="1:7" x14ac:dyDescent="0.25">
      <c r="A42" t="s">
        <v>18</v>
      </c>
      <c r="B42" s="9">
        <v>6</v>
      </c>
      <c r="C42" s="9">
        <v>6</v>
      </c>
      <c r="D42">
        <f>+B42*8</f>
        <v>48</v>
      </c>
      <c r="E42">
        <f>+C42*4</f>
        <v>24</v>
      </c>
      <c r="F42">
        <f>+D42+E42</f>
        <v>72</v>
      </c>
      <c r="G42">
        <f>+F42/F37</f>
        <v>0.9</v>
      </c>
    </row>
    <row r="43" spans="1:7" ht="15.75" thickBot="1" x14ac:dyDescent="0.3">
      <c r="A43" t="s">
        <v>19</v>
      </c>
      <c r="G43" s="11">
        <f>+G38+G42</f>
        <v>6.1646999999999998</v>
      </c>
    </row>
    <row r="44" spans="1:7" ht="16.5" thickTop="1" thickBot="1" x14ac:dyDescent="0.3">
      <c r="A44" s="2" t="s">
        <v>39</v>
      </c>
      <c r="B44" s="2"/>
      <c r="C44" s="2"/>
      <c r="D44" s="2"/>
      <c r="E44" s="2"/>
      <c r="F44" s="2"/>
      <c r="G44" s="13">
        <f>+G41+G42</f>
        <v>8.5233999999999988</v>
      </c>
    </row>
    <row r="45" spans="1:7" ht="15.75" thickTop="1" x14ac:dyDescent="0.25"/>
    <row r="46" spans="1:7" x14ac:dyDescent="0.25">
      <c r="A46" t="s">
        <v>45</v>
      </c>
      <c r="G46">
        <f>(0.16371+0.0552)*10</f>
        <v>2.1890999999999998</v>
      </c>
    </row>
    <row r="47" spans="1:7" x14ac:dyDescent="0.25">
      <c r="A47" t="s">
        <v>46</v>
      </c>
      <c r="G47">
        <f>-0.08862*10</f>
        <v>-0.8862000000000001</v>
      </c>
    </row>
    <row r="48" spans="1:7" x14ac:dyDescent="0.25">
      <c r="A48" t="s">
        <v>24</v>
      </c>
      <c r="G48" s="8">
        <f>SUM(G46:G47)</f>
        <v>1.3028999999999997</v>
      </c>
    </row>
    <row r="49" spans="1:7" x14ac:dyDescent="0.25">
      <c r="A49" t="s">
        <v>47</v>
      </c>
      <c r="G49">
        <f>0.10558*10</f>
        <v>1.0557999999999998</v>
      </c>
    </row>
    <row r="51" spans="1:7" x14ac:dyDescent="0.25">
      <c r="A51" s="12" t="s">
        <v>28</v>
      </c>
    </row>
    <row r="53" spans="1:7" x14ac:dyDescent="0.25">
      <c r="B53" t="s">
        <v>8</v>
      </c>
      <c r="C53" t="s">
        <v>10</v>
      </c>
      <c r="D53" t="s">
        <v>8</v>
      </c>
      <c r="E53" t="s">
        <v>10</v>
      </c>
      <c r="G53" t="s">
        <v>16</v>
      </c>
    </row>
    <row r="54" spans="1:7" x14ac:dyDescent="0.25">
      <c r="A54" t="s">
        <v>25</v>
      </c>
      <c r="D54" t="s">
        <v>15</v>
      </c>
      <c r="E54" t="s">
        <v>15</v>
      </c>
      <c r="G54" t="s">
        <v>17</v>
      </c>
    </row>
    <row r="55" spans="1:7" x14ac:dyDescent="0.25">
      <c r="A55" s="12"/>
      <c r="B55" s="10">
        <v>43040</v>
      </c>
      <c r="C55" s="10">
        <f>+B55</f>
        <v>43040</v>
      </c>
      <c r="D55">
        <v>31</v>
      </c>
      <c r="E55">
        <v>49</v>
      </c>
      <c r="F55">
        <f>+D55+E55</f>
        <v>80</v>
      </c>
    </row>
    <row r="56" spans="1:7" x14ac:dyDescent="0.25">
      <c r="A56" t="s">
        <v>11</v>
      </c>
      <c r="B56">
        <f>(0.4447)*10</f>
        <v>4.4470000000000001</v>
      </c>
      <c r="C56">
        <f>+B56</f>
        <v>4.4470000000000001</v>
      </c>
      <c r="D56">
        <f>+B56*$D$55</f>
        <v>137.857</v>
      </c>
      <c r="E56">
        <f>+C56*$E$55</f>
        <v>217.90299999999999</v>
      </c>
      <c r="F56">
        <f>+D56+E56</f>
        <v>355.76</v>
      </c>
      <c r="G56">
        <f>+F56/$F$55</f>
        <v>4.4470000000000001</v>
      </c>
    </row>
    <row r="57" spans="1:7" x14ac:dyDescent="0.25">
      <c r="A57" t="s">
        <v>14</v>
      </c>
      <c r="B57">
        <f>+G66</f>
        <v>2.7459000000000002</v>
      </c>
      <c r="C57">
        <f>+B57</f>
        <v>2.7459000000000002</v>
      </c>
      <c r="D57">
        <f>+B57*$D$55</f>
        <v>85.122900000000001</v>
      </c>
      <c r="E57">
        <f>+C57*$E$55</f>
        <v>134.54910000000001</v>
      </c>
      <c r="F57">
        <f>+D57+E57</f>
        <v>219.67200000000003</v>
      </c>
      <c r="G57">
        <f>+F57/$F$55</f>
        <v>2.7459000000000002</v>
      </c>
    </row>
    <row r="58" spans="1:7" x14ac:dyDescent="0.25">
      <c r="A58" t="s">
        <v>12</v>
      </c>
      <c r="B58">
        <f>+G67</f>
        <v>1.1920999999999999</v>
      </c>
      <c r="C58">
        <f>+B58</f>
        <v>1.1920999999999999</v>
      </c>
      <c r="D58">
        <f>+B58*$D$55</f>
        <v>36.955100000000002</v>
      </c>
      <c r="E58">
        <f>+C58*$E$55</f>
        <v>58.412899999999993</v>
      </c>
      <c r="F58">
        <f>+D58+E58</f>
        <v>95.367999999999995</v>
      </c>
      <c r="G58">
        <f>+F58/$F$55</f>
        <v>1.1920999999999999</v>
      </c>
    </row>
    <row r="59" spans="1:7" x14ac:dyDescent="0.25">
      <c r="A59" t="s">
        <v>13</v>
      </c>
      <c r="B59" s="8">
        <f>SUM(B56:B58)</f>
        <v>8.3849999999999998</v>
      </c>
      <c r="C59" s="8">
        <f>SUM(C56:C58)</f>
        <v>8.3849999999999998</v>
      </c>
      <c r="G59" s="8">
        <f>SUM(G56:G58)</f>
        <v>8.3849999999999998</v>
      </c>
    </row>
    <row r="60" spans="1:7" x14ac:dyDescent="0.25">
      <c r="A60" t="s">
        <v>18</v>
      </c>
      <c r="B60" s="9">
        <v>8</v>
      </c>
      <c r="C60" s="9">
        <v>8</v>
      </c>
      <c r="D60">
        <f>+B60*8</f>
        <v>64</v>
      </c>
      <c r="E60">
        <f>+C60*4</f>
        <v>32</v>
      </c>
      <c r="F60">
        <f>+D60+E60</f>
        <v>96</v>
      </c>
      <c r="G60">
        <f>+F60/F55</f>
        <v>1.2</v>
      </c>
    </row>
    <row r="61" spans="1:7" ht="15.75" thickBot="1" x14ac:dyDescent="0.3">
      <c r="A61" t="s">
        <v>19</v>
      </c>
      <c r="G61" s="11">
        <f>+G56+G60</f>
        <v>5.6470000000000002</v>
      </c>
    </row>
    <row r="62" spans="1:7" ht="16.5" thickTop="1" thickBot="1" x14ac:dyDescent="0.3">
      <c r="A62" s="2" t="s">
        <v>39</v>
      </c>
      <c r="B62" s="2"/>
      <c r="C62" s="2"/>
      <c r="D62" s="2"/>
      <c r="E62" s="2"/>
      <c r="F62" s="2"/>
      <c r="G62" s="13">
        <f>+G59+G60</f>
        <v>9.5849999999999991</v>
      </c>
    </row>
    <row r="63" spans="1:7" ht="15.75" thickTop="1" x14ac:dyDescent="0.25"/>
    <row r="64" spans="1:7" x14ac:dyDescent="0.25">
      <c r="A64" t="s">
        <v>21</v>
      </c>
      <c r="G64">
        <f>-0.01727*10</f>
        <v>-0.17270000000000002</v>
      </c>
    </row>
    <row r="65" spans="1:7" x14ac:dyDescent="0.25">
      <c r="A65" t="s">
        <v>22</v>
      </c>
      <c r="G65">
        <f>0.29186*10</f>
        <v>2.9186000000000001</v>
      </c>
    </row>
    <row r="66" spans="1:7" x14ac:dyDescent="0.25">
      <c r="A66" t="s">
        <v>24</v>
      </c>
      <c r="G66" s="8">
        <f>SUM(G64:G65)</f>
        <v>2.7459000000000002</v>
      </c>
    </row>
    <row r="67" spans="1:7" x14ac:dyDescent="0.25">
      <c r="A67" t="s">
        <v>27</v>
      </c>
      <c r="G67">
        <f>0.11921*10</f>
        <v>1.1920999999999999</v>
      </c>
    </row>
    <row r="69" spans="1:7" x14ac:dyDescent="0.25">
      <c r="A69" s="12" t="s">
        <v>29</v>
      </c>
    </row>
    <row r="71" spans="1:7" x14ac:dyDescent="0.25">
      <c r="B71" t="s">
        <v>8</v>
      </c>
      <c r="C71" t="s">
        <v>10</v>
      </c>
      <c r="D71" t="s">
        <v>8</v>
      </c>
      <c r="E71" t="s">
        <v>10</v>
      </c>
      <c r="G71" t="s">
        <v>16</v>
      </c>
    </row>
    <row r="72" spans="1:7" x14ac:dyDescent="0.25">
      <c r="A72" t="s">
        <v>25</v>
      </c>
      <c r="D72" t="s">
        <v>15</v>
      </c>
      <c r="E72" t="s">
        <v>15</v>
      </c>
      <c r="G72" t="s">
        <v>17</v>
      </c>
    </row>
    <row r="73" spans="1:7" x14ac:dyDescent="0.25">
      <c r="A73" s="12"/>
      <c r="B73" s="10">
        <v>43160</v>
      </c>
      <c r="C73" s="10">
        <f>+B73</f>
        <v>43160</v>
      </c>
      <c r="D73">
        <v>31</v>
      </c>
      <c r="E73">
        <v>49</v>
      </c>
      <c r="F73">
        <f>+D73+E73</f>
        <v>80</v>
      </c>
    </row>
    <row r="74" spans="1:7" x14ac:dyDescent="0.25">
      <c r="A74" t="s">
        <v>11</v>
      </c>
      <c r="B74">
        <f>(0.91828)*10</f>
        <v>9.1828000000000003</v>
      </c>
      <c r="C74">
        <f>+B74</f>
        <v>9.1828000000000003</v>
      </c>
      <c r="D74">
        <f>+B74*$D$73</f>
        <v>284.66680000000002</v>
      </c>
      <c r="E74">
        <f>+C74*$E$73</f>
        <v>449.9572</v>
      </c>
      <c r="F74">
        <f>+D74+E74</f>
        <v>734.62400000000002</v>
      </c>
      <c r="G74">
        <f>+F74/$F$73</f>
        <v>9.1828000000000003</v>
      </c>
    </row>
    <row r="75" spans="1:7" x14ac:dyDescent="0.25">
      <c r="A75" t="s">
        <v>14</v>
      </c>
      <c r="B75">
        <f>+G83</f>
        <v>1.8388</v>
      </c>
      <c r="C75">
        <f>+B75</f>
        <v>1.8388</v>
      </c>
      <c r="D75">
        <f>+B75*$D$73</f>
        <v>57.002800000000001</v>
      </c>
      <c r="E75">
        <f>+C75*$E$73</f>
        <v>90.101200000000006</v>
      </c>
      <c r="F75">
        <f>+D75+E75</f>
        <v>147.10400000000001</v>
      </c>
      <c r="G75">
        <f>+F75/$F$73</f>
        <v>1.8388000000000002</v>
      </c>
    </row>
    <row r="76" spans="1:7" x14ac:dyDescent="0.25">
      <c r="A76" t="s">
        <v>12</v>
      </c>
      <c r="B76">
        <f>+G84</f>
        <v>1.3714999999999997</v>
      </c>
      <c r="C76">
        <f>+B76</f>
        <v>1.3714999999999997</v>
      </c>
      <c r="D76">
        <f>+B76*$D$73</f>
        <v>42.516499999999994</v>
      </c>
      <c r="E76">
        <f>+C76*$E$73</f>
        <v>67.203499999999991</v>
      </c>
      <c r="F76">
        <f>+D76+E76</f>
        <v>109.71999999999998</v>
      </c>
      <c r="G76">
        <f>+F76/$F$73</f>
        <v>1.3714999999999997</v>
      </c>
    </row>
    <row r="77" spans="1:7" x14ac:dyDescent="0.25">
      <c r="A77" t="s">
        <v>13</v>
      </c>
      <c r="B77" s="8">
        <f>SUM(B74:B76)</f>
        <v>12.393099999999999</v>
      </c>
      <c r="C77" s="8">
        <f>SUM(C74:C76)</f>
        <v>12.393099999999999</v>
      </c>
      <c r="G77" s="8">
        <f>SUM(G74:G76)</f>
        <v>12.3931</v>
      </c>
    </row>
    <row r="78" spans="1:7" x14ac:dyDescent="0.25">
      <c r="A78" t="s">
        <v>18</v>
      </c>
      <c r="B78" s="9"/>
      <c r="C78" s="9"/>
      <c r="D78">
        <f>+B78*8</f>
        <v>0</v>
      </c>
      <c r="E78">
        <f>+C78*4</f>
        <v>0</v>
      </c>
      <c r="F78">
        <f>+D78+E78</f>
        <v>0</v>
      </c>
      <c r="G78">
        <f>+F78/F73</f>
        <v>0</v>
      </c>
    </row>
    <row r="79" spans="1:7" ht="15.75" thickBot="1" x14ac:dyDescent="0.3">
      <c r="A79" t="s">
        <v>19</v>
      </c>
      <c r="G79" s="11">
        <f>+G74+G78</f>
        <v>9.1828000000000003</v>
      </c>
    </row>
    <row r="80" spans="1:7" ht="16.5" thickTop="1" thickBot="1" x14ac:dyDescent="0.3">
      <c r="A80" s="2" t="s">
        <v>39</v>
      </c>
      <c r="B80" s="2"/>
      <c r="C80" s="2"/>
      <c r="D80" s="2"/>
      <c r="E80" s="2"/>
      <c r="F80" s="2"/>
      <c r="G80" s="13">
        <f>+G77+G78</f>
        <v>12.3931</v>
      </c>
    </row>
    <row r="81" spans="1:7" ht="15.75" thickTop="1" x14ac:dyDescent="0.25"/>
    <row r="82" spans="1:7" x14ac:dyDescent="0.25">
      <c r="A82" t="s">
        <v>30</v>
      </c>
      <c r="B82" t="s">
        <v>33</v>
      </c>
      <c r="G82">
        <f>0.32103*10</f>
        <v>3.2102999999999997</v>
      </c>
    </row>
    <row r="83" spans="1:7" x14ac:dyDescent="0.25">
      <c r="A83" t="s">
        <v>22</v>
      </c>
      <c r="B83" t="s">
        <v>32</v>
      </c>
      <c r="G83">
        <f>0.18388*10</f>
        <v>1.8388</v>
      </c>
    </row>
    <row r="84" spans="1:7" x14ac:dyDescent="0.25">
      <c r="A84" t="s">
        <v>31</v>
      </c>
      <c r="G84" s="8">
        <f>+G82-G83</f>
        <v>1.3714999999999997</v>
      </c>
    </row>
    <row r="86" spans="1:7" x14ac:dyDescent="0.25">
      <c r="A86" s="12" t="s">
        <v>34</v>
      </c>
    </row>
    <row r="88" spans="1:7" x14ac:dyDescent="0.25">
      <c r="B88" t="s">
        <v>8</v>
      </c>
      <c r="C88" t="s">
        <v>10</v>
      </c>
      <c r="D88" t="s">
        <v>8</v>
      </c>
      <c r="E88" t="s">
        <v>10</v>
      </c>
      <c r="G88" t="s">
        <v>16</v>
      </c>
    </row>
    <row r="89" spans="1:7" x14ac:dyDescent="0.25">
      <c r="A89" t="s">
        <v>25</v>
      </c>
      <c r="D89" t="s">
        <v>15</v>
      </c>
      <c r="E89" t="s">
        <v>15</v>
      </c>
      <c r="G89" t="s">
        <v>17</v>
      </c>
    </row>
    <row r="90" spans="1:7" x14ac:dyDescent="0.25">
      <c r="A90" s="12"/>
      <c r="B90" s="10">
        <v>42947</v>
      </c>
      <c r="C90" s="10">
        <f>+B90</f>
        <v>42947</v>
      </c>
      <c r="D90">
        <v>31</v>
      </c>
      <c r="E90">
        <v>49</v>
      </c>
      <c r="F90">
        <f>+D90+E90</f>
        <v>80</v>
      </c>
    </row>
    <row r="91" spans="1:7" x14ac:dyDescent="0.25">
      <c r="A91" t="s">
        <v>11</v>
      </c>
      <c r="B91">
        <f>(0.72575+0.03503)*10</f>
        <v>7.6078000000000001</v>
      </c>
      <c r="C91">
        <f>+B91</f>
        <v>7.6078000000000001</v>
      </c>
      <c r="D91">
        <f>+B91*$D$90</f>
        <v>235.84180000000001</v>
      </c>
      <c r="E91">
        <f>+C91*$E$90</f>
        <v>372.78219999999999</v>
      </c>
      <c r="F91">
        <f>+D91+E91</f>
        <v>608.62400000000002</v>
      </c>
      <c r="G91">
        <f>+F91/$F$90</f>
        <v>7.6078000000000001</v>
      </c>
    </row>
    <row r="92" spans="1:7" x14ac:dyDescent="0.25">
      <c r="A92" t="s">
        <v>14</v>
      </c>
      <c r="B92">
        <f>+G101</f>
        <v>4.1100200000000005</v>
      </c>
      <c r="C92">
        <f>+B92</f>
        <v>4.1100200000000005</v>
      </c>
      <c r="D92">
        <f>+B92*$D$90</f>
        <v>127.41062000000001</v>
      </c>
      <c r="E92">
        <f>+C92*$E$90</f>
        <v>201.39098000000001</v>
      </c>
      <c r="F92">
        <f>+D92+E92</f>
        <v>328.80160000000001</v>
      </c>
      <c r="G92">
        <f>+F92/$F$90</f>
        <v>4.1100200000000005</v>
      </c>
    </row>
    <row r="93" spans="1:7" x14ac:dyDescent="0.25">
      <c r="A93" t="s">
        <v>12</v>
      </c>
      <c r="B93" s="17">
        <f>+G100</f>
        <v>0.14408000000000001</v>
      </c>
      <c r="C93" s="17">
        <f>+B93</f>
        <v>0.14408000000000001</v>
      </c>
      <c r="D93">
        <f>+B93*$D$90</f>
        <v>4.4664800000000007</v>
      </c>
      <c r="E93">
        <f>+C93*$E$90</f>
        <v>7.0599200000000009</v>
      </c>
      <c r="F93">
        <f>+D93+E93</f>
        <v>11.526400000000002</v>
      </c>
      <c r="G93">
        <f>+F93/$F$90</f>
        <v>0.14408000000000004</v>
      </c>
    </row>
    <row r="94" spans="1:7" x14ac:dyDescent="0.25">
      <c r="A94" t="s">
        <v>13</v>
      </c>
      <c r="B94" s="8">
        <f>SUM(B91:B93)</f>
        <v>11.8619</v>
      </c>
      <c r="C94" s="8">
        <f>SUM(C91:C93)</f>
        <v>11.8619</v>
      </c>
      <c r="G94" s="8">
        <f>SUM(G91:G93)</f>
        <v>11.8619</v>
      </c>
    </row>
    <row r="95" spans="1:7" x14ac:dyDescent="0.25">
      <c r="A95" t="s">
        <v>18</v>
      </c>
      <c r="B95" s="9">
        <v>10.7</v>
      </c>
      <c r="C95" s="9">
        <f>+B95</f>
        <v>10.7</v>
      </c>
      <c r="D95">
        <f>+B95*8</f>
        <v>85.6</v>
      </c>
      <c r="E95">
        <f>+C95*4</f>
        <v>42.8</v>
      </c>
      <c r="F95">
        <f>+D95+E95</f>
        <v>128.39999999999998</v>
      </c>
      <c r="G95">
        <f>+F95/F90</f>
        <v>1.6049999999999998</v>
      </c>
    </row>
    <row r="96" spans="1:7" x14ac:dyDescent="0.25">
      <c r="A96" t="s">
        <v>19</v>
      </c>
      <c r="G96" s="8">
        <f>+G91+G95</f>
        <v>9.2127999999999997</v>
      </c>
    </row>
    <row r="97" spans="1:7" ht="15.75" thickBot="1" x14ac:dyDescent="0.3">
      <c r="A97" s="2" t="s">
        <v>39</v>
      </c>
      <c r="B97" s="2"/>
      <c r="C97" s="2"/>
      <c r="D97" s="2"/>
      <c r="E97" s="2"/>
      <c r="F97" s="2"/>
      <c r="G97" s="13">
        <f>+G94+G95</f>
        <v>13.466900000000001</v>
      </c>
    </row>
    <row r="98" spans="1:7" ht="15.75" thickTop="1" x14ac:dyDescent="0.25"/>
    <row r="99" spans="1:7" x14ac:dyDescent="0.25">
      <c r="A99" t="s">
        <v>36</v>
      </c>
      <c r="G99">
        <f>(0.42541)*10</f>
        <v>4.2541000000000002</v>
      </c>
    </row>
    <row r="100" spans="1:7" x14ac:dyDescent="0.25">
      <c r="A100" t="s">
        <v>38</v>
      </c>
      <c r="G100">
        <v>0.14408000000000001</v>
      </c>
    </row>
    <row r="101" spans="1:7" x14ac:dyDescent="0.25">
      <c r="A101" t="s">
        <v>37</v>
      </c>
      <c r="G101" s="8">
        <f>+G99-G100</f>
        <v>4.1100200000000005</v>
      </c>
    </row>
    <row r="103" spans="1:7" x14ac:dyDescent="0.25">
      <c r="A103" s="12" t="s">
        <v>35</v>
      </c>
    </row>
    <row r="105" spans="1:7" x14ac:dyDescent="0.25">
      <c r="B105" t="s">
        <v>8</v>
      </c>
      <c r="C105" t="s">
        <v>10</v>
      </c>
      <c r="D105" t="s">
        <v>8</v>
      </c>
      <c r="E105" t="s">
        <v>10</v>
      </c>
      <c r="G105" t="s">
        <v>16</v>
      </c>
    </row>
    <row r="106" spans="1:7" x14ac:dyDescent="0.25">
      <c r="A106" t="s">
        <v>25</v>
      </c>
      <c r="D106" t="s">
        <v>15</v>
      </c>
      <c r="E106" t="s">
        <v>15</v>
      </c>
      <c r="G106" t="s">
        <v>17</v>
      </c>
    </row>
    <row r="107" spans="1:7" x14ac:dyDescent="0.25">
      <c r="A107" s="12"/>
      <c r="B107" s="10">
        <v>42917</v>
      </c>
      <c r="C107" s="10">
        <f>+B107</f>
        <v>42917</v>
      </c>
      <c r="D107">
        <v>31</v>
      </c>
      <c r="E107">
        <v>49</v>
      </c>
      <c r="F107">
        <f>+D107+E107</f>
        <v>80</v>
      </c>
    </row>
    <row r="108" spans="1:7" x14ac:dyDescent="0.25">
      <c r="A108" t="s">
        <v>11</v>
      </c>
      <c r="B108">
        <f>(0.3222-0.00255)*10</f>
        <v>3.1964999999999999</v>
      </c>
      <c r="C108">
        <f>+B108</f>
        <v>3.1964999999999999</v>
      </c>
      <c r="D108">
        <f>+B108*$D$107</f>
        <v>99.091499999999996</v>
      </c>
      <c r="E108">
        <f>+C108*$E$107</f>
        <v>156.6285</v>
      </c>
      <c r="F108">
        <f>+D108+E108</f>
        <v>255.72</v>
      </c>
      <c r="G108">
        <f>+F108/$F$107</f>
        <v>3.1964999999999999</v>
      </c>
    </row>
    <row r="109" spans="1:7" x14ac:dyDescent="0.25">
      <c r="A109" t="s">
        <v>14</v>
      </c>
      <c r="B109">
        <f>+G118</f>
        <v>2.4521000000000002</v>
      </c>
      <c r="C109">
        <f>+B109</f>
        <v>2.4521000000000002</v>
      </c>
      <c r="D109">
        <f>+B109*$D$107</f>
        <v>76.015100000000004</v>
      </c>
      <c r="E109">
        <f>+C109*$E$107</f>
        <v>120.1529</v>
      </c>
      <c r="F109">
        <f>+D109+E109</f>
        <v>196.16800000000001</v>
      </c>
      <c r="G109">
        <f>+F109/$F$107</f>
        <v>2.4521000000000002</v>
      </c>
    </row>
    <row r="110" spans="1:7" x14ac:dyDescent="0.25">
      <c r="A110" t="s">
        <v>12</v>
      </c>
      <c r="B110" s="17">
        <f>+G117</f>
        <v>0.65</v>
      </c>
      <c r="C110" s="17">
        <f>+B110</f>
        <v>0.65</v>
      </c>
      <c r="D110">
        <f>+B110*$D$107</f>
        <v>20.150000000000002</v>
      </c>
      <c r="E110">
        <f>+C110*$E$107</f>
        <v>31.85</v>
      </c>
      <c r="F110">
        <f>+D110+E110</f>
        <v>52</v>
      </c>
      <c r="G110">
        <f>+F110/$F$107</f>
        <v>0.65</v>
      </c>
    </row>
    <row r="111" spans="1:7" x14ac:dyDescent="0.25">
      <c r="A111" t="s">
        <v>13</v>
      </c>
      <c r="B111" s="8">
        <f>SUM(B108:B110)</f>
        <v>6.2986000000000004</v>
      </c>
      <c r="C111" s="8">
        <f>SUM(C108:C110)</f>
        <v>6.2986000000000004</v>
      </c>
      <c r="G111" s="8">
        <f>SUM(G108:G110)</f>
        <v>6.2986000000000004</v>
      </c>
    </row>
    <row r="112" spans="1:7" x14ac:dyDescent="0.25">
      <c r="A112" t="s">
        <v>18</v>
      </c>
      <c r="B112" s="9">
        <v>10.8</v>
      </c>
      <c r="C112" s="9">
        <v>10.8</v>
      </c>
      <c r="D112">
        <f>+B112*8</f>
        <v>86.4</v>
      </c>
      <c r="E112">
        <f>+C112*4</f>
        <v>43.2</v>
      </c>
      <c r="F112">
        <f>+D112+E112</f>
        <v>129.60000000000002</v>
      </c>
      <c r="G112">
        <f>+F112/F107</f>
        <v>1.6200000000000003</v>
      </c>
    </row>
    <row r="113" spans="1:7" x14ac:dyDescent="0.25">
      <c r="A113" t="s">
        <v>19</v>
      </c>
      <c r="G113" s="8">
        <f>+G108+G112</f>
        <v>4.8165000000000004</v>
      </c>
    </row>
    <row r="114" spans="1:7" ht="15.75" thickBot="1" x14ac:dyDescent="0.3">
      <c r="A114" s="2" t="s">
        <v>39</v>
      </c>
      <c r="B114" s="2"/>
      <c r="C114" s="2"/>
      <c r="D114" s="2"/>
      <c r="E114" s="2"/>
      <c r="F114" s="2"/>
      <c r="G114" s="13">
        <f>+G111+G112</f>
        <v>7.9186000000000005</v>
      </c>
    </row>
    <row r="115" spans="1:7" ht="15.75" thickTop="1" x14ac:dyDescent="0.25"/>
    <row r="116" spans="1:7" x14ac:dyDescent="0.25">
      <c r="A116" t="s">
        <v>36</v>
      </c>
      <c r="G116">
        <f>(0.36235-0.05214)*10</f>
        <v>3.1021000000000001</v>
      </c>
    </row>
    <row r="117" spans="1:7" x14ac:dyDescent="0.25">
      <c r="A117" t="s">
        <v>38</v>
      </c>
      <c r="G117" s="14">
        <f>0.065*10</f>
        <v>0.65</v>
      </c>
    </row>
    <row r="118" spans="1:7" x14ac:dyDescent="0.25">
      <c r="A118" t="s">
        <v>37</v>
      </c>
      <c r="G118" s="8">
        <f>+G116-G117</f>
        <v>2.4521000000000002</v>
      </c>
    </row>
  </sheetData>
  <pageMargins left="0.7" right="0.7" top="0.75" bottom="0.75" header="0.3" footer="0.3"/>
  <pageSetup orientation="portrait" r:id="rId1"/>
  <headerFooter>
    <oddFooter>&amp;L&amp;Z&amp;F\&amp;A&amp;R&amp;P</oddFooter>
  </headerFooter>
  <rowBreaks count="3" manualBreakCount="3">
    <brk id="34" max="16383" man="1"/>
    <brk id="71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Weight Calc</vt:lpstr>
      <vt:lpstr>Exhibit 1.06</vt:lpstr>
      <vt:lpstr>Data!Print_Area</vt:lpstr>
    </vt:vector>
  </TitlesOfParts>
  <Manager/>
  <Company/>
  <LinksUpToDate>false</LinksUpToDate>
  <SharedDoc>false</SharedDoc>
  <HyperlinkBase> 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1970-01-01T06:00:00Z</cp:lastPrinted>
  <dcterms:created xsi:type="dcterms:W3CDTF">2014-03-06T17:26:33Z</dcterms:created>
  <dcterms:modified xsi:type="dcterms:W3CDTF">2018-04-30T22:17:14Z</dcterms:modified>
  <cp:category> </cp:category>
</cp:coreProperties>
</file>