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10935"/>
  </bookViews>
  <sheets>
    <sheet name="Summary" sheetId="1" r:id="rId1"/>
    <sheet name="Option 1 Low Case SNG" sheetId="24" r:id="rId2"/>
    <sheet name="Option 1 High Case SNG" sheetId="25" r:id="rId3"/>
    <sheet name="2A Demand Response 30yr" sheetId="22" r:id="rId4"/>
    <sheet name="2A Demand Response 40yr" sheetId="28" r:id="rId5"/>
    <sheet name="Option 4 Ryckman" sheetId="2" r:id="rId6"/>
    <sheet name="Option 5 Clay Basin" sheetId="4" r:id="rId7"/>
    <sheet name="Option 6 Jackson Prairie" sheetId="5" r:id="rId8"/>
    <sheet name="Working Gas" sheetId="34" r:id="rId9"/>
  </sheets>
  <definedNames>
    <definedName name="_xlnm.Print_Area" localSheetId="0">Summary!$A$1:$I$55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5" i="34" l="1"/>
  <c r="AJ5" i="34"/>
  <c r="X5" i="34"/>
  <c r="L5" i="34"/>
  <c r="C5" i="34" l="1"/>
  <c r="D5" i="34" s="1"/>
  <c r="E5" i="34" s="1"/>
  <c r="F5" i="34" s="1"/>
  <c r="G5" i="34" s="1"/>
  <c r="A12" i="34" l="1"/>
  <c r="A13" i="34" s="1"/>
  <c r="A14" i="34" s="1"/>
  <c r="C6" i="34"/>
  <c r="C7" i="34" s="1"/>
  <c r="D4" i="34"/>
  <c r="D13" i="34" s="1"/>
  <c r="E4" i="34" l="1"/>
  <c r="D6" i="34"/>
  <c r="E6" i="34" l="1"/>
  <c r="E7" i="34" s="1"/>
  <c r="D7" i="34"/>
  <c r="F4" i="34"/>
  <c r="F6" i="34" l="1"/>
  <c r="F7" i="34" s="1"/>
  <c r="G4" i="34"/>
  <c r="G6" i="34" l="1"/>
  <c r="G14" i="34" s="1"/>
  <c r="H4" i="34"/>
  <c r="G7" i="34"/>
  <c r="H6" i="34" l="1"/>
  <c r="H7" i="34" s="1"/>
  <c r="I4" i="34"/>
  <c r="I6" i="34" l="1"/>
  <c r="I7" i="34" s="1"/>
  <c r="J4" i="34"/>
  <c r="J6" i="34" l="1"/>
  <c r="J7" i="34" s="1"/>
  <c r="K4" i="34"/>
  <c r="K6" i="34" l="1"/>
  <c r="L4" i="34"/>
  <c r="K7" i="34" l="1"/>
  <c r="L6" i="34"/>
  <c r="M4" i="34"/>
  <c r="M6" i="34" l="1"/>
  <c r="N5" i="34" s="1"/>
  <c r="L7" i="34"/>
  <c r="N4" i="34"/>
  <c r="M7" i="34" l="1"/>
  <c r="N6" i="34"/>
  <c r="O5" i="34" s="1"/>
  <c r="O4" i="34"/>
  <c r="N9" i="34" l="1"/>
  <c r="N14" i="34" s="1"/>
  <c r="N7" i="34"/>
  <c r="P4" i="34"/>
  <c r="O6" i="34" l="1"/>
  <c r="P5" i="34" s="1"/>
  <c r="P6" i="34" s="1"/>
  <c r="O9" i="34"/>
  <c r="O14" i="34" s="1"/>
  <c r="N10" i="34"/>
  <c r="O7" i="34"/>
  <c r="Q4" i="34"/>
  <c r="Q5" i="34" l="1"/>
  <c r="P7" i="34"/>
  <c r="O10" i="34"/>
  <c r="P10" i="34"/>
  <c r="Q6" i="34"/>
  <c r="R5" i="34" s="1"/>
  <c r="P9" i="34"/>
  <c r="P14" i="34" s="1"/>
  <c r="R4" i="34"/>
  <c r="R6" i="34" l="1"/>
  <c r="S5" i="34" s="1"/>
  <c r="Q9" i="34"/>
  <c r="Q14" i="34" s="1"/>
  <c r="Q7" i="34"/>
  <c r="S4" i="34"/>
  <c r="S6" i="34" l="1"/>
  <c r="R9" i="34"/>
  <c r="R14" i="34" s="1"/>
  <c r="Q10" i="34"/>
  <c r="R7" i="34"/>
  <c r="T4" i="34"/>
  <c r="S7" i="34" l="1"/>
  <c r="S10" i="34"/>
  <c r="R10" i="34"/>
  <c r="T6" i="34"/>
  <c r="S9" i="34"/>
  <c r="S14" i="34" s="1"/>
  <c r="U4" i="34"/>
  <c r="T7" i="34" l="1"/>
  <c r="T10" i="34"/>
  <c r="U6" i="34"/>
  <c r="T9" i="34"/>
  <c r="T14" i="34" s="1"/>
  <c r="V4" i="34"/>
  <c r="V6" i="34" l="1"/>
  <c r="U9" i="34"/>
  <c r="U14" i="34" s="1"/>
  <c r="U7" i="34"/>
  <c r="W4" i="34"/>
  <c r="V7" i="34" l="1"/>
  <c r="U10" i="34"/>
  <c r="V10" i="34"/>
  <c r="W6" i="34"/>
  <c r="W7" i="34" s="1"/>
  <c r="V9" i="34"/>
  <c r="V14" i="34" s="1"/>
  <c r="X4" i="34"/>
  <c r="W10" i="34" l="1"/>
  <c r="X6" i="34"/>
  <c r="W9" i="34"/>
  <c r="W14" i="34" s="1"/>
  <c r="Y4" i="34"/>
  <c r="X7" i="34" l="1"/>
  <c r="Y6" i="34"/>
  <c r="X9" i="34"/>
  <c r="X14" i="34" s="1"/>
  <c r="Z4" i="34"/>
  <c r="Y7" i="34" l="1"/>
  <c r="Z5" i="34"/>
  <c r="Y10" i="34"/>
  <c r="X10" i="34"/>
  <c r="Z6" i="34"/>
  <c r="AA5" i="34" s="1"/>
  <c r="Y9" i="34"/>
  <c r="Y14" i="34" s="1"/>
  <c r="AA4" i="34"/>
  <c r="AA6" i="34" l="1"/>
  <c r="AB5" i="34" s="1"/>
  <c r="Z9" i="34"/>
  <c r="Z7" i="34"/>
  <c r="AB4" i="34"/>
  <c r="Z14" i="34" l="1"/>
  <c r="C12" i="28"/>
  <c r="C12" i="22"/>
  <c r="AB6" i="34"/>
  <c r="AC5" i="34" s="1"/>
  <c r="AA9" i="34"/>
  <c r="AA14" i="34" s="1"/>
  <c r="Z10" i="34"/>
  <c r="AA7" i="34"/>
  <c r="AC4" i="34"/>
  <c r="B23" i="5" l="1"/>
  <c r="G23" i="5" s="1"/>
  <c r="B21" i="2"/>
  <c r="F21" i="2" s="1"/>
  <c r="B5" i="25"/>
  <c r="F5" i="25" s="1"/>
  <c r="B5" i="24"/>
  <c r="F5" i="24" s="1"/>
  <c r="B16" i="4"/>
  <c r="G16" i="4" s="1"/>
  <c r="AA10" i="34"/>
  <c r="AC6" i="34"/>
  <c r="AD5" i="34" s="1"/>
  <c r="AB9" i="34"/>
  <c r="AB14" i="34" s="1"/>
  <c r="AB7" i="34"/>
  <c r="AD4" i="34"/>
  <c r="AD6" i="34" l="1"/>
  <c r="AC9" i="34"/>
  <c r="AC14" i="34" s="1"/>
  <c r="AB10" i="34"/>
  <c r="AC7" i="34"/>
  <c r="AE4" i="34"/>
  <c r="AD7" i="34" l="1"/>
  <c r="AE5" i="34"/>
  <c r="AE6" i="34"/>
  <c r="AD9" i="34"/>
  <c r="AD14" i="34" s="1"/>
  <c r="AC10" i="34"/>
  <c r="AD10" i="34"/>
  <c r="AF4" i="34"/>
  <c r="AF6" i="34" l="1"/>
  <c r="AF7" i="34" s="1"/>
  <c r="AE9" i="34"/>
  <c r="AE14" i="34" s="1"/>
  <c r="AE7" i="34"/>
  <c r="AG4" i="34"/>
  <c r="AF10" i="34" l="1"/>
  <c r="AG6" i="34"/>
  <c r="AF9" i="34"/>
  <c r="AF14" i="34" s="1"/>
  <c r="AE10" i="34"/>
  <c r="AH4" i="34"/>
  <c r="AH6" i="34" l="1"/>
  <c r="AH7" i="34" s="1"/>
  <c r="AG9" i="34"/>
  <c r="AG14" i="34" s="1"/>
  <c r="AG7" i="34"/>
  <c r="AI4" i="34"/>
  <c r="AH10" i="34" l="1"/>
  <c r="AG10" i="34"/>
  <c r="AI6" i="34"/>
  <c r="AH9" i="34"/>
  <c r="AH14" i="34" s="1"/>
  <c r="AJ4" i="34"/>
  <c r="AJ6" i="34" l="1"/>
  <c r="AJ7" i="34" s="1"/>
  <c r="AI9" i="34"/>
  <c r="AI14" i="34" s="1"/>
  <c r="AI7" i="34"/>
  <c r="AK4" i="34"/>
  <c r="AI10" i="34" l="1"/>
  <c r="AJ10" i="34"/>
  <c r="AK6" i="34"/>
  <c r="AL5" i="34" s="1"/>
  <c r="AJ9" i="34"/>
  <c r="AJ14" i="34" s="1"/>
  <c r="AL4" i="34"/>
  <c r="AL6" i="34" l="1"/>
  <c r="AK9" i="34"/>
  <c r="AK14" i="34" s="1"/>
  <c r="AK7" i="34"/>
  <c r="AM4" i="34"/>
  <c r="AL7" i="34" l="1"/>
  <c r="AM5" i="34"/>
  <c r="AK10" i="34"/>
  <c r="AL10" i="34"/>
  <c r="AM6" i="34"/>
  <c r="AL9" i="34"/>
  <c r="AL14" i="34" s="1"/>
  <c r="AN4" i="34"/>
  <c r="AM7" i="34" l="1"/>
  <c r="AN5" i="34"/>
  <c r="AM10" i="34"/>
  <c r="AN6" i="34"/>
  <c r="AO5" i="34" s="1"/>
  <c r="AM9" i="34"/>
  <c r="AM14" i="34" s="1"/>
  <c r="AO4" i="34"/>
  <c r="AN7" i="34"/>
  <c r="AN10" i="34" s="1"/>
  <c r="AO6" i="34" l="1"/>
  <c r="AP5" i="34" s="1"/>
  <c r="AN9" i="34"/>
  <c r="AN14" i="34" s="1"/>
  <c r="AP4" i="34"/>
  <c r="AP6" i="34" l="1"/>
  <c r="AO9" i="34"/>
  <c r="AO14" i="34" s="1"/>
  <c r="AO7" i="34"/>
  <c r="AQ4" i="34"/>
  <c r="AP7" i="34" l="1"/>
  <c r="AQ5" i="34"/>
  <c r="AO10" i="34"/>
  <c r="AP10" i="34"/>
  <c r="AQ6" i="34"/>
  <c r="AP9" i="34"/>
  <c r="AP14" i="34" s="1"/>
  <c r="AR4" i="34"/>
  <c r="AR6" i="34" l="1"/>
  <c r="AR7" i="34" s="1"/>
  <c r="AQ9" i="34"/>
  <c r="AQ14" i="34" s="1"/>
  <c r="AQ7" i="34"/>
  <c r="AS4" i="34"/>
  <c r="AR10" i="34" l="1"/>
  <c r="AQ10" i="34"/>
  <c r="AS6" i="34"/>
  <c r="AS7" i="34" s="1"/>
  <c r="AS10" i="34" s="1"/>
  <c r="AR9" i="34"/>
  <c r="AR14" i="34" s="1"/>
  <c r="AT4" i="34"/>
  <c r="AT6" i="34" l="1"/>
  <c r="AT7" i="34" s="1"/>
  <c r="AT10" i="34" s="1"/>
  <c r="AS9" i="34"/>
  <c r="AS14" i="34" s="1"/>
  <c r="AU4" i="34"/>
  <c r="AU6" i="34" l="1"/>
  <c r="AU7" i="34" s="1"/>
  <c r="AU10" i="34" s="1"/>
  <c r="AT9" i="34"/>
  <c r="AT14" i="34" s="1"/>
  <c r="AV4" i="34"/>
  <c r="AV6" i="34" l="1"/>
  <c r="AV9" i="34" s="1"/>
  <c r="AV14" i="34" s="1"/>
  <c r="AU9" i="34"/>
  <c r="AU14" i="34" s="1"/>
  <c r="C13" i="28"/>
  <c r="AV7" i="34" l="1"/>
  <c r="AV10" i="34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C11" i="1" l="1"/>
  <c r="D19" i="28" l="1"/>
  <c r="C5" i="28" s="1"/>
  <c r="D16" i="28" s="1"/>
  <c r="D31" i="28" s="1"/>
  <c r="D19" i="22"/>
  <c r="C215" i="28"/>
  <c r="X213" i="28"/>
  <c r="W213" i="28"/>
  <c r="V213" i="28"/>
  <c r="U213" i="28"/>
  <c r="T213" i="28"/>
  <c r="S213" i="28"/>
  <c r="R213" i="28"/>
  <c r="Q213" i="28"/>
  <c r="P213" i="28"/>
  <c r="O213" i="28"/>
  <c r="N213" i="28"/>
  <c r="M213" i="28"/>
  <c r="L213" i="28"/>
  <c r="K213" i="28"/>
  <c r="J213" i="28"/>
  <c r="I213" i="28"/>
  <c r="H213" i="28"/>
  <c r="G213" i="28"/>
  <c r="F213" i="28"/>
  <c r="E213" i="28"/>
  <c r="D213" i="28"/>
  <c r="X212" i="28"/>
  <c r="W212" i="28"/>
  <c r="V212" i="28"/>
  <c r="U212" i="28"/>
  <c r="T212" i="28"/>
  <c r="S212" i="28"/>
  <c r="R212" i="28"/>
  <c r="Q212" i="28"/>
  <c r="P212" i="28"/>
  <c r="O212" i="28"/>
  <c r="N212" i="28"/>
  <c r="N214" i="28" s="1"/>
  <c r="N215" i="28" s="1"/>
  <c r="M212" i="28"/>
  <c r="M214" i="28" s="1"/>
  <c r="M215" i="28" s="1"/>
  <c r="L212" i="28"/>
  <c r="K212" i="28"/>
  <c r="J212" i="28"/>
  <c r="I212" i="28"/>
  <c r="H212" i="28"/>
  <c r="G212" i="28"/>
  <c r="F212" i="28"/>
  <c r="E212" i="28"/>
  <c r="D212" i="28"/>
  <c r="E210" i="28"/>
  <c r="F210" i="28" s="1"/>
  <c r="G210" i="28" s="1"/>
  <c r="H210" i="28" s="1"/>
  <c r="I210" i="28" s="1"/>
  <c r="J210" i="28" s="1"/>
  <c r="K210" i="28" s="1"/>
  <c r="L210" i="28" s="1"/>
  <c r="M210" i="28" s="1"/>
  <c r="N210" i="28" s="1"/>
  <c r="O210" i="28" s="1"/>
  <c r="P210" i="28" s="1"/>
  <c r="Q210" i="28" s="1"/>
  <c r="R210" i="28" s="1"/>
  <c r="S210" i="28" s="1"/>
  <c r="T210" i="28" s="1"/>
  <c r="U210" i="28" s="1"/>
  <c r="V210" i="28" s="1"/>
  <c r="W210" i="28" s="1"/>
  <c r="X210" i="28" s="1"/>
  <c r="Y210" i="28" s="1"/>
  <c r="Z210" i="28" s="1"/>
  <c r="AA210" i="28" s="1"/>
  <c r="AB210" i="28" s="1"/>
  <c r="AC210" i="28" s="1"/>
  <c r="AD210" i="28" s="1"/>
  <c r="AE210" i="28" s="1"/>
  <c r="AF210" i="28" s="1"/>
  <c r="AG210" i="28" s="1"/>
  <c r="AH210" i="28" s="1"/>
  <c r="AI210" i="28" s="1"/>
  <c r="AJ210" i="28" s="1"/>
  <c r="AK210" i="28" s="1"/>
  <c r="AL210" i="28" s="1"/>
  <c r="AM210" i="28" s="1"/>
  <c r="AN210" i="28" s="1"/>
  <c r="AO210" i="28" s="1"/>
  <c r="AP210" i="28" s="1"/>
  <c r="AQ210" i="28" s="1"/>
  <c r="AR210" i="28" s="1"/>
  <c r="AS210" i="28" s="1"/>
  <c r="AT210" i="28" s="1"/>
  <c r="AU210" i="28" s="1"/>
  <c r="B194" i="28"/>
  <c r="B193" i="28"/>
  <c r="B192" i="28"/>
  <c r="B191" i="28"/>
  <c r="E188" i="28"/>
  <c r="F188" i="28" s="1"/>
  <c r="G188" i="28" s="1"/>
  <c r="H188" i="28" s="1"/>
  <c r="I188" i="28" s="1"/>
  <c r="J188" i="28" s="1"/>
  <c r="K188" i="28" s="1"/>
  <c r="L188" i="28" s="1"/>
  <c r="M188" i="28" s="1"/>
  <c r="N188" i="28" s="1"/>
  <c r="O188" i="28" s="1"/>
  <c r="P188" i="28" s="1"/>
  <c r="Q188" i="28" s="1"/>
  <c r="R188" i="28" s="1"/>
  <c r="S188" i="28" s="1"/>
  <c r="T188" i="28" s="1"/>
  <c r="U188" i="28" s="1"/>
  <c r="V188" i="28" s="1"/>
  <c r="W188" i="28" s="1"/>
  <c r="X188" i="28" s="1"/>
  <c r="Y188" i="28" s="1"/>
  <c r="Z188" i="28" s="1"/>
  <c r="AA188" i="28" s="1"/>
  <c r="AB188" i="28" s="1"/>
  <c r="AC188" i="28" s="1"/>
  <c r="AD188" i="28" s="1"/>
  <c r="AE188" i="28" s="1"/>
  <c r="AF188" i="28" s="1"/>
  <c r="AG188" i="28" s="1"/>
  <c r="AH188" i="28" s="1"/>
  <c r="AI188" i="28" s="1"/>
  <c r="AJ188" i="28" s="1"/>
  <c r="AK188" i="28" s="1"/>
  <c r="AL188" i="28" s="1"/>
  <c r="AM188" i="28" s="1"/>
  <c r="AN188" i="28" s="1"/>
  <c r="AO188" i="28" s="1"/>
  <c r="AP188" i="28" s="1"/>
  <c r="AQ188" i="28" s="1"/>
  <c r="AR188" i="28" s="1"/>
  <c r="AS188" i="28" s="1"/>
  <c r="AT188" i="28" s="1"/>
  <c r="AU188" i="28" s="1"/>
  <c r="E187" i="28"/>
  <c r="F187" i="28" s="1"/>
  <c r="G187" i="28" s="1"/>
  <c r="H187" i="28" s="1"/>
  <c r="I187" i="28" s="1"/>
  <c r="J187" i="28" s="1"/>
  <c r="K187" i="28" s="1"/>
  <c r="L187" i="28" s="1"/>
  <c r="M187" i="28" s="1"/>
  <c r="N187" i="28" s="1"/>
  <c r="O187" i="28" s="1"/>
  <c r="P187" i="28" s="1"/>
  <c r="Q187" i="28" s="1"/>
  <c r="R187" i="28" s="1"/>
  <c r="S187" i="28" s="1"/>
  <c r="T187" i="28" s="1"/>
  <c r="U187" i="28" s="1"/>
  <c r="V187" i="28" s="1"/>
  <c r="W187" i="28" s="1"/>
  <c r="X187" i="28" s="1"/>
  <c r="Y187" i="28" s="1"/>
  <c r="Z187" i="28" s="1"/>
  <c r="AA187" i="28" s="1"/>
  <c r="AB187" i="28" s="1"/>
  <c r="AC187" i="28" s="1"/>
  <c r="AD187" i="28" s="1"/>
  <c r="AE187" i="28" s="1"/>
  <c r="AF187" i="28" s="1"/>
  <c r="AG187" i="28" s="1"/>
  <c r="AH187" i="28" s="1"/>
  <c r="AI187" i="28" s="1"/>
  <c r="AJ187" i="28" s="1"/>
  <c r="AK187" i="28" s="1"/>
  <c r="AL187" i="28" s="1"/>
  <c r="AM187" i="28" s="1"/>
  <c r="AN187" i="28" s="1"/>
  <c r="AO187" i="28" s="1"/>
  <c r="AP187" i="28" s="1"/>
  <c r="AQ187" i="28" s="1"/>
  <c r="AR187" i="28" s="1"/>
  <c r="AS187" i="28" s="1"/>
  <c r="AT187" i="28" s="1"/>
  <c r="AU187" i="28" s="1"/>
  <c r="E186" i="28"/>
  <c r="F186" i="28" s="1"/>
  <c r="G186" i="28" s="1"/>
  <c r="H186" i="28" s="1"/>
  <c r="I186" i="28" s="1"/>
  <c r="J186" i="28" s="1"/>
  <c r="K186" i="28" s="1"/>
  <c r="L186" i="28" s="1"/>
  <c r="M186" i="28" s="1"/>
  <c r="N186" i="28" s="1"/>
  <c r="O186" i="28" s="1"/>
  <c r="P186" i="28" s="1"/>
  <c r="Q186" i="28" s="1"/>
  <c r="R186" i="28" s="1"/>
  <c r="S186" i="28" s="1"/>
  <c r="T186" i="28" s="1"/>
  <c r="U186" i="28" s="1"/>
  <c r="V186" i="28" s="1"/>
  <c r="W186" i="28" s="1"/>
  <c r="X186" i="28" s="1"/>
  <c r="Y186" i="28" s="1"/>
  <c r="Z186" i="28" s="1"/>
  <c r="AA186" i="28" s="1"/>
  <c r="AB186" i="28" s="1"/>
  <c r="AC186" i="28" s="1"/>
  <c r="AD186" i="28" s="1"/>
  <c r="AE186" i="28" s="1"/>
  <c r="AF186" i="28" s="1"/>
  <c r="AG186" i="28" s="1"/>
  <c r="AH186" i="28" s="1"/>
  <c r="AI186" i="28" s="1"/>
  <c r="AJ186" i="28" s="1"/>
  <c r="AK186" i="28" s="1"/>
  <c r="AL186" i="28" s="1"/>
  <c r="AM186" i="28" s="1"/>
  <c r="AN186" i="28" s="1"/>
  <c r="AO186" i="28" s="1"/>
  <c r="AP186" i="28" s="1"/>
  <c r="AQ186" i="28" s="1"/>
  <c r="AR186" i="28" s="1"/>
  <c r="AS186" i="28" s="1"/>
  <c r="AT186" i="28" s="1"/>
  <c r="AU186" i="28" s="1"/>
  <c r="E185" i="28"/>
  <c r="F185" i="28" s="1"/>
  <c r="G185" i="28" s="1"/>
  <c r="H185" i="28" s="1"/>
  <c r="I185" i="28" s="1"/>
  <c r="J185" i="28" s="1"/>
  <c r="K185" i="28" s="1"/>
  <c r="L185" i="28" s="1"/>
  <c r="M185" i="28" s="1"/>
  <c r="N185" i="28" s="1"/>
  <c r="O185" i="28" s="1"/>
  <c r="P185" i="28" s="1"/>
  <c r="Q185" i="28" s="1"/>
  <c r="R185" i="28" s="1"/>
  <c r="S185" i="28" s="1"/>
  <c r="T185" i="28" s="1"/>
  <c r="U185" i="28" s="1"/>
  <c r="V185" i="28" s="1"/>
  <c r="W185" i="28" s="1"/>
  <c r="X185" i="28" s="1"/>
  <c r="Y185" i="28" s="1"/>
  <c r="Z185" i="28" s="1"/>
  <c r="AA185" i="28" s="1"/>
  <c r="AB185" i="28" s="1"/>
  <c r="AC185" i="28" s="1"/>
  <c r="AD185" i="28" s="1"/>
  <c r="AE185" i="28" s="1"/>
  <c r="AF185" i="28" s="1"/>
  <c r="AG185" i="28" s="1"/>
  <c r="AH185" i="28" s="1"/>
  <c r="AI185" i="28" s="1"/>
  <c r="AJ185" i="28" s="1"/>
  <c r="AK185" i="28" s="1"/>
  <c r="AL185" i="28" s="1"/>
  <c r="AM185" i="28" s="1"/>
  <c r="AN185" i="28" s="1"/>
  <c r="AO185" i="28" s="1"/>
  <c r="AP185" i="28" s="1"/>
  <c r="AQ185" i="28" s="1"/>
  <c r="AR185" i="28" s="1"/>
  <c r="AS185" i="28" s="1"/>
  <c r="AT185" i="28" s="1"/>
  <c r="AU185" i="28" s="1"/>
  <c r="E167" i="28"/>
  <c r="F167" i="28" s="1"/>
  <c r="G167" i="28" s="1"/>
  <c r="H167" i="28" s="1"/>
  <c r="I167" i="28" s="1"/>
  <c r="J167" i="28" s="1"/>
  <c r="K167" i="28" s="1"/>
  <c r="L167" i="28" s="1"/>
  <c r="M167" i="28" s="1"/>
  <c r="N167" i="28" s="1"/>
  <c r="O167" i="28" s="1"/>
  <c r="P167" i="28" s="1"/>
  <c r="Q167" i="28" s="1"/>
  <c r="R167" i="28" s="1"/>
  <c r="S167" i="28" s="1"/>
  <c r="T167" i="28" s="1"/>
  <c r="U167" i="28" s="1"/>
  <c r="V167" i="28" s="1"/>
  <c r="W167" i="28" s="1"/>
  <c r="X167" i="28" s="1"/>
  <c r="Y167" i="28" s="1"/>
  <c r="Z167" i="28" s="1"/>
  <c r="AA167" i="28" s="1"/>
  <c r="AB167" i="28" s="1"/>
  <c r="AC167" i="28" s="1"/>
  <c r="AD167" i="28" s="1"/>
  <c r="AE167" i="28" s="1"/>
  <c r="AF167" i="28" s="1"/>
  <c r="AG167" i="28" s="1"/>
  <c r="AH167" i="28" s="1"/>
  <c r="AI167" i="28" s="1"/>
  <c r="AJ167" i="28" s="1"/>
  <c r="AK167" i="28" s="1"/>
  <c r="AL167" i="28" s="1"/>
  <c r="AM167" i="28" s="1"/>
  <c r="AN167" i="28" s="1"/>
  <c r="AO167" i="28" s="1"/>
  <c r="AP167" i="28" s="1"/>
  <c r="AQ167" i="28" s="1"/>
  <c r="AR167" i="28" s="1"/>
  <c r="AS167" i="28" s="1"/>
  <c r="AT167" i="28" s="1"/>
  <c r="AU167" i="28" s="1"/>
  <c r="E166" i="28"/>
  <c r="F166" i="28" s="1"/>
  <c r="G166" i="28" s="1"/>
  <c r="H166" i="28" s="1"/>
  <c r="I166" i="28" s="1"/>
  <c r="J166" i="28" s="1"/>
  <c r="K166" i="28" s="1"/>
  <c r="L166" i="28" s="1"/>
  <c r="M166" i="28" s="1"/>
  <c r="N166" i="28" s="1"/>
  <c r="O166" i="28" s="1"/>
  <c r="P166" i="28" s="1"/>
  <c r="Q166" i="28" s="1"/>
  <c r="R166" i="28" s="1"/>
  <c r="S166" i="28" s="1"/>
  <c r="T166" i="28" s="1"/>
  <c r="U166" i="28" s="1"/>
  <c r="V166" i="28" s="1"/>
  <c r="W166" i="28" s="1"/>
  <c r="X166" i="28" s="1"/>
  <c r="Y166" i="28" s="1"/>
  <c r="Z166" i="28" s="1"/>
  <c r="AA166" i="28" s="1"/>
  <c r="AB166" i="28" s="1"/>
  <c r="AC166" i="28" s="1"/>
  <c r="AD166" i="28" s="1"/>
  <c r="AE166" i="28" s="1"/>
  <c r="AF166" i="28" s="1"/>
  <c r="AG166" i="28" s="1"/>
  <c r="AH166" i="28" s="1"/>
  <c r="AI166" i="28" s="1"/>
  <c r="AJ166" i="28" s="1"/>
  <c r="AK166" i="28" s="1"/>
  <c r="AL166" i="28" s="1"/>
  <c r="AM166" i="28" s="1"/>
  <c r="AN166" i="28" s="1"/>
  <c r="AO166" i="28" s="1"/>
  <c r="AP166" i="28" s="1"/>
  <c r="AQ166" i="28" s="1"/>
  <c r="AR166" i="28" s="1"/>
  <c r="AS166" i="28" s="1"/>
  <c r="AT166" i="28" s="1"/>
  <c r="AU166" i="28" s="1"/>
  <c r="E165" i="28"/>
  <c r="F165" i="28" s="1"/>
  <c r="G165" i="28" s="1"/>
  <c r="H165" i="28" s="1"/>
  <c r="I165" i="28" s="1"/>
  <c r="J165" i="28" s="1"/>
  <c r="K165" i="28" s="1"/>
  <c r="L165" i="28" s="1"/>
  <c r="M165" i="28" s="1"/>
  <c r="N165" i="28" s="1"/>
  <c r="O165" i="28" s="1"/>
  <c r="P165" i="28" s="1"/>
  <c r="Q165" i="28" s="1"/>
  <c r="R165" i="28" s="1"/>
  <c r="S165" i="28" s="1"/>
  <c r="T165" i="28" s="1"/>
  <c r="U165" i="28" s="1"/>
  <c r="V165" i="28" s="1"/>
  <c r="W165" i="28" s="1"/>
  <c r="X165" i="28" s="1"/>
  <c r="Y165" i="28" s="1"/>
  <c r="Z165" i="28" s="1"/>
  <c r="AA165" i="28" s="1"/>
  <c r="AB165" i="28" s="1"/>
  <c r="AC165" i="28" s="1"/>
  <c r="AD165" i="28" s="1"/>
  <c r="AE165" i="28" s="1"/>
  <c r="AF165" i="28" s="1"/>
  <c r="AG165" i="28" s="1"/>
  <c r="AH165" i="28" s="1"/>
  <c r="AI165" i="28" s="1"/>
  <c r="AJ165" i="28" s="1"/>
  <c r="AK165" i="28" s="1"/>
  <c r="AL165" i="28" s="1"/>
  <c r="AM165" i="28" s="1"/>
  <c r="AN165" i="28" s="1"/>
  <c r="AO165" i="28" s="1"/>
  <c r="AP165" i="28" s="1"/>
  <c r="AQ165" i="28" s="1"/>
  <c r="AR165" i="28" s="1"/>
  <c r="AS165" i="28" s="1"/>
  <c r="AT165" i="28" s="1"/>
  <c r="AU165" i="28" s="1"/>
  <c r="E164" i="28"/>
  <c r="F164" i="28" s="1"/>
  <c r="G164" i="28" s="1"/>
  <c r="H164" i="28" s="1"/>
  <c r="I164" i="28" s="1"/>
  <c r="J164" i="28" s="1"/>
  <c r="K164" i="28" s="1"/>
  <c r="L164" i="28" s="1"/>
  <c r="M164" i="28" s="1"/>
  <c r="N164" i="28" s="1"/>
  <c r="O164" i="28" s="1"/>
  <c r="P164" i="28" s="1"/>
  <c r="Q164" i="28" s="1"/>
  <c r="R164" i="28" s="1"/>
  <c r="S164" i="28" s="1"/>
  <c r="T164" i="28" s="1"/>
  <c r="U164" i="28" s="1"/>
  <c r="V164" i="28" s="1"/>
  <c r="W164" i="28" s="1"/>
  <c r="X164" i="28" s="1"/>
  <c r="Y164" i="28" s="1"/>
  <c r="Z164" i="28" s="1"/>
  <c r="AA164" i="28" s="1"/>
  <c r="AB164" i="28" s="1"/>
  <c r="AC164" i="28" s="1"/>
  <c r="AD164" i="28" s="1"/>
  <c r="AE164" i="28" s="1"/>
  <c r="AF164" i="28" s="1"/>
  <c r="AG164" i="28" s="1"/>
  <c r="AH164" i="28" s="1"/>
  <c r="AI164" i="28" s="1"/>
  <c r="AJ164" i="28" s="1"/>
  <c r="AK164" i="28" s="1"/>
  <c r="AL164" i="28" s="1"/>
  <c r="AM164" i="28" s="1"/>
  <c r="AN164" i="28" s="1"/>
  <c r="AO164" i="28" s="1"/>
  <c r="AP164" i="28" s="1"/>
  <c r="AQ164" i="28" s="1"/>
  <c r="AR164" i="28" s="1"/>
  <c r="AS164" i="28" s="1"/>
  <c r="AT164" i="28" s="1"/>
  <c r="AU164" i="28" s="1"/>
  <c r="AV158" i="28"/>
  <c r="AV172" i="28" s="1"/>
  <c r="AV173" i="28" s="1"/>
  <c r="F158" i="28"/>
  <c r="F160" i="28" s="1"/>
  <c r="E158" i="28"/>
  <c r="E160" i="28" s="1"/>
  <c r="D158" i="28"/>
  <c r="D160" i="28" s="1"/>
  <c r="D154" i="28"/>
  <c r="E153" i="28"/>
  <c r="G151" i="28"/>
  <c r="D150" i="28"/>
  <c r="D157" i="28" s="1"/>
  <c r="D172" i="28" s="1"/>
  <c r="E148" i="28"/>
  <c r="F148" i="28" s="1"/>
  <c r="G148" i="28" s="1"/>
  <c r="H148" i="28" s="1"/>
  <c r="I148" i="28" s="1"/>
  <c r="J148" i="28" s="1"/>
  <c r="K148" i="28" s="1"/>
  <c r="L148" i="28" s="1"/>
  <c r="M148" i="28" s="1"/>
  <c r="N148" i="28" s="1"/>
  <c r="O148" i="28" s="1"/>
  <c r="P148" i="28" s="1"/>
  <c r="Q148" i="28" s="1"/>
  <c r="R148" i="28" s="1"/>
  <c r="S148" i="28" s="1"/>
  <c r="T148" i="28" s="1"/>
  <c r="U148" i="28" s="1"/>
  <c r="V148" i="28" s="1"/>
  <c r="W148" i="28" s="1"/>
  <c r="X148" i="28" s="1"/>
  <c r="Y148" i="28" s="1"/>
  <c r="Z148" i="28" s="1"/>
  <c r="AA148" i="28" s="1"/>
  <c r="AB148" i="28" s="1"/>
  <c r="AC148" i="28" s="1"/>
  <c r="AD148" i="28" s="1"/>
  <c r="AE148" i="28" s="1"/>
  <c r="AF148" i="28" s="1"/>
  <c r="AG148" i="28" s="1"/>
  <c r="AH148" i="28" s="1"/>
  <c r="AI148" i="28" s="1"/>
  <c r="AJ148" i="28" s="1"/>
  <c r="AK148" i="28" s="1"/>
  <c r="AL148" i="28" s="1"/>
  <c r="AM148" i="28" s="1"/>
  <c r="AN148" i="28" s="1"/>
  <c r="AO148" i="28" s="1"/>
  <c r="AP148" i="28" s="1"/>
  <c r="AQ148" i="28" s="1"/>
  <c r="AR148" i="28" s="1"/>
  <c r="AS148" i="28" s="1"/>
  <c r="AT148" i="28" s="1"/>
  <c r="AU148" i="28" s="1"/>
  <c r="I135" i="28"/>
  <c r="H135" i="28"/>
  <c r="G135" i="28"/>
  <c r="F135" i="28"/>
  <c r="E135" i="28"/>
  <c r="D135" i="28"/>
  <c r="K134" i="28"/>
  <c r="L134" i="28" s="1"/>
  <c r="AK63" i="28" s="1"/>
  <c r="J134" i="28"/>
  <c r="K133" i="28"/>
  <c r="L133" i="28" s="1"/>
  <c r="AJ63" i="28" s="1"/>
  <c r="J133" i="28"/>
  <c r="K132" i="28"/>
  <c r="L132" i="28" s="1"/>
  <c r="AI63" i="28" s="1"/>
  <c r="J132" i="28"/>
  <c r="K131" i="28"/>
  <c r="L131" i="28" s="1"/>
  <c r="AH63" i="28" s="1"/>
  <c r="J131" i="28"/>
  <c r="K130" i="28"/>
  <c r="L130" i="28" s="1"/>
  <c r="AG63" i="28" s="1"/>
  <c r="J130" i="28"/>
  <c r="K129" i="28"/>
  <c r="L129" i="28" s="1"/>
  <c r="AF63" i="28" s="1"/>
  <c r="J129" i="28"/>
  <c r="K128" i="28"/>
  <c r="L128" i="28" s="1"/>
  <c r="AE63" i="28" s="1"/>
  <c r="J128" i="28"/>
  <c r="K127" i="28"/>
  <c r="L127" i="28" s="1"/>
  <c r="AD63" i="28" s="1"/>
  <c r="J127" i="28"/>
  <c r="K126" i="28"/>
  <c r="L126" i="28" s="1"/>
  <c r="AC63" i="28" s="1"/>
  <c r="J126" i="28"/>
  <c r="K125" i="28"/>
  <c r="L125" i="28" s="1"/>
  <c r="AB63" i="28" s="1"/>
  <c r="J125" i="28"/>
  <c r="K124" i="28"/>
  <c r="L124" i="28" s="1"/>
  <c r="AA63" i="28" s="1"/>
  <c r="J124" i="28"/>
  <c r="K123" i="28"/>
  <c r="L123" i="28" s="1"/>
  <c r="Z63" i="28" s="1"/>
  <c r="J123" i="28"/>
  <c r="K122" i="28"/>
  <c r="L122" i="28" s="1"/>
  <c r="J122" i="28"/>
  <c r="K121" i="28"/>
  <c r="L121" i="28" s="1"/>
  <c r="X63" i="28" s="1"/>
  <c r="J121" i="28"/>
  <c r="K120" i="28"/>
  <c r="L120" i="28" s="1"/>
  <c r="W63" i="28" s="1"/>
  <c r="J120" i="28"/>
  <c r="K119" i="28"/>
  <c r="L119" i="28" s="1"/>
  <c r="V63" i="28" s="1"/>
  <c r="J119" i="28"/>
  <c r="K118" i="28"/>
  <c r="L118" i="28" s="1"/>
  <c r="U63" i="28" s="1"/>
  <c r="J118" i="28"/>
  <c r="L117" i="28"/>
  <c r="T63" i="28" s="1"/>
  <c r="K117" i="28"/>
  <c r="J117" i="28"/>
  <c r="K116" i="28"/>
  <c r="L116" i="28" s="1"/>
  <c r="S63" i="28" s="1"/>
  <c r="J116" i="28"/>
  <c r="K115" i="28"/>
  <c r="L115" i="28" s="1"/>
  <c r="R63" i="28" s="1"/>
  <c r="J115" i="28"/>
  <c r="K114" i="28"/>
  <c r="L114" i="28" s="1"/>
  <c r="Q63" i="28" s="1"/>
  <c r="J114" i="28"/>
  <c r="K113" i="28"/>
  <c r="L113" i="28" s="1"/>
  <c r="P63" i="28" s="1"/>
  <c r="J113" i="28"/>
  <c r="K112" i="28"/>
  <c r="L112" i="28" s="1"/>
  <c r="O63" i="28" s="1"/>
  <c r="J112" i="28"/>
  <c r="K111" i="28"/>
  <c r="L111" i="28" s="1"/>
  <c r="N63" i="28" s="1"/>
  <c r="J111" i="28"/>
  <c r="K110" i="28"/>
  <c r="L110" i="28" s="1"/>
  <c r="M63" i="28" s="1"/>
  <c r="J110" i="28"/>
  <c r="K109" i="28"/>
  <c r="L109" i="28" s="1"/>
  <c r="L63" i="28" s="1"/>
  <c r="J109" i="28"/>
  <c r="K108" i="28"/>
  <c r="L108" i="28" s="1"/>
  <c r="K63" i="28" s="1"/>
  <c r="J108" i="28"/>
  <c r="K107" i="28"/>
  <c r="J107" i="28"/>
  <c r="K106" i="28"/>
  <c r="L106" i="28" s="1"/>
  <c r="I63" i="28" s="1"/>
  <c r="J106" i="28"/>
  <c r="K105" i="28"/>
  <c r="L105" i="28" s="1"/>
  <c r="H63" i="28" s="1"/>
  <c r="J105" i="28"/>
  <c r="K104" i="28"/>
  <c r="L104" i="28" s="1"/>
  <c r="G63" i="28" s="1"/>
  <c r="J104" i="28"/>
  <c r="K103" i="28"/>
  <c r="L103" i="28" s="1"/>
  <c r="F63" i="28" s="1"/>
  <c r="J103" i="28"/>
  <c r="K102" i="28"/>
  <c r="L102" i="28" s="1"/>
  <c r="J102" i="28"/>
  <c r="B102" i="28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K101" i="28"/>
  <c r="L101" i="28" s="1"/>
  <c r="D63" i="28" s="1"/>
  <c r="J101" i="28"/>
  <c r="K99" i="28"/>
  <c r="D94" i="28"/>
  <c r="H87" i="28"/>
  <c r="G87" i="28"/>
  <c r="F87" i="28"/>
  <c r="E87" i="28"/>
  <c r="D87" i="28"/>
  <c r="E84" i="28"/>
  <c r="F84" i="28" s="1"/>
  <c r="G84" i="28" s="1"/>
  <c r="H84" i="28" s="1"/>
  <c r="I84" i="28" s="1"/>
  <c r="J84" i="28" s="1"/>
  <c r="K84" i="28" s="1"/>
  <c r="L84" i="28" s="1"/>
  <c r="M84" i="28" s="1"/>
  <c r="N84" i="28" s="1"/>
  <c r="O84" i="28" s="1"/>
  <c r="P84" i="28" s="1"/>
  <c r="Q84" i="28" s="1"/>
  <c r="R84" i="28" s="1"/>
  <c r="S84" i="28" s="1"/>
  <c r="T84" i="28" s="1"/>
  <c r="U84" i="28" s="1"/>
  <c r="V84" i="28" s="1"/>
  <c r="W84" i="28" s="1"/>
  <c r="X84" i="28" s="1"/>
  <c r="Y84" i="28" s="1"/>
  <c r="Z84" i="28" s="1"/>
  <c r="AA84" i="28" s="1"/>
  <c r="AB84" i="28" s="1"/>
  <c r="AC84" i="28" s="1"/>
  <c r="AD84" i="28" s="1"/>
  <c r="AE84" i="28" s="1"/>
  <c r="AF84" i="28" s="1"/>
  <c r="AG84" i="28" s="1"/>
  <c r="B83" i="28"/>
  <c r="D80" i="28"/>
  <c r="E80" i="28" s="1"/>
  <c r="F80" i="28" s="1"/>
  <c r="G80" i="28" s="1"/>
  <c r="H80" i="28" s="1"/>
  <c r="I80" i="28" s="1"/>
  <c r="J80" i="28" s="1"/>
  <c r="K80" i="28" s="1"/>
  <c r="L80" i="28" s="1"/>
  <c r="M80" i="28" s="1"/>
  <c r="N80" i="28" s="1"/>
  <c r="O80" i="28" s="1"/>
  <c r="P80" i="28" s="1"/>
  <c r="Q80" i="28" s="1"/>
  <c r="R80" i="28" s="1"/>
  <c r="S80" i="28" s="1"/>
  <c r="T80" i="28" s="1"/>
  <c r="U80" i="28" s="1"/>
  <c r="V80" i="28" s="1"/>
  <c r="W80" i="28" s="1"/>
  <c r="X80" i="28" s="1"/>
  <c r="Y80" i="28" s="1"/>
  <c r="Z80" i="28" s="1"/>
  <c r="AA80" i="28" s="1"/>
  <c r="AB80" i="28" s="1"/>
  <c r="AC80" i="28" s="1"/>
  <c r="AD80" i="28" s="1"/>
  <c r="AE80" i="28" s="1"/>
  <c r="AF80" i="28" s="1"/>
  <c r="AG80" i="28" s="1"/>
  <c r="AH80" i="28" s="1"/>
  <c r="AI80" i="28" s="1"/>
  <c r="AJ80" i="28" s="1"/>
  <c r="AK80" i="28" s="1"/>
  <c r="AL80" i="28" s="1"/>
  <c r="AM80" i="28" s="1"/>
  <c r="AN80" i="28" s="1"/>
  <c r="AO80" i="28" s="1"/>
  <c r="AP80" i="28" s="1"/>
  <c r="AQ80" i="28" s="1"/>
  <c r="AR80" i="28" s="1"/>
  <c r="AS80" i="28" s="1"/>
  <c r="AT80" i="28" s="1"/>
  <c r="AU80" i="28" s="1"/>
  <c r="AU76" i="28"/>
  <c r="AT76" i="28"/>
  <c r="AS76" i="28"/>
  <c r="AR76" i="28"/>
  <c r="AQ76" i="28"/>
  <c r="AP76" i="28"/>
  <c r="AO76" i="28"/>
  <c r="AN76" i="28"/>
  <c r="AM76" i="28"/>
  <c r="AL76" i="28"/>
  <c r="AK76" i="28"/>
  <c r="AJ76" i="28"/>
  <c r="AI76" i="28"/>
  <c r="AH76" i="28"/>
  <c r="E71" i="28"/>
  <c r="F71" i="28" s="1"/>
  <c r="G71" i="28" s="1"/>
  <c r="H71" i="28" s="1"/>
  <c r="I71" i="28" s="1"/>
  <c r="J71" i="28" s="1"/>
  <c r="K71" i="28" s="1"/>
  <c r="L71" i="28" s="1"/>
  <c r="M71" i="28" s="1"/>
  <c r="N71" i="28" s="1"/>
  <c r="O71" i="28" s="1"/>
  <c r="P71" i="28" s="1"/>
  <c r="Q71" i="28" s="1"/>
  <c r="R71" i="28" s="1"/>
  <c r="S71" i="28" s="1"/>
  <c r="T71" i="28" s="1"/>
  <c r="U71" i="28" s="1"/>
  <c r="V71" i="28" s="1"/>
  <c r="W71" i="28" s="1"/>
  <c r="X71" i="28" s="1"/>
  <c r="Y71" i="28" s="1"/>
  <c r="Z71" i="28" s="1"/>
  <c r="AA71" i="28" s="1"/>
  <c r="AB71" i="28" s="1"/>
  <c r="AC71" i="28" s="1"/>
  <c r="AD71" i="28" s="1"/>
  <c r="AE71" i="28" s="1"/>
  <c r="AF71" i="28" s="1"/>
  <c r="AG71" i="28" s="1"/>
  <c r="AH71" i="28" s="1"/>
  <c r="AI71" i="28" s="1"/>
  <c r="AJ71" i="28" s="1"/>
  <c r="AK71" i="28" s="1"/>
  <c r="AL71" i="28" s="1"/>
  <c r="AM71" i="28" s="1"/>
  <c r="AN71" i="28" s="1"/>
  <c r="AO71" i="28" s="1"/>
  <c r="AP71" i="28" s="1"/>
  <c r="AQ71" i="28" s="1"/>
  <c r="AR71" i="28" s="1"/>
  <c r="AS71" i="28" s="1"/>
  <c r="AT71" i="28" s="1"/>
  <c r="AU71" i="28" s="1"/>
  <c r="C65" i="28"/>
  <c r="C64" i="28"/>
  <c r="AU63" i="28"/>
  <c r="AT63" i="28"/>
  <c r="AS63" i="28"/>
  <c r="AR63" i="28"/>
  <c r="AQ63" i="28"/>
  <c r="AP63" i="28"/>
  <c r="AO63" i="28"/>
  <c r="AN63" i="28"/>
  <c r="AM63" i="28"/>
  <c r="AL63" i="28"/>
  <c r="Y63" i="28"/>
  <c r="D35" i="28"/>
  <c r="A32" i="28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E30" i="28"/>
  <c r="BS18" i="28"/>
  <c r="D18" i="28"/>
  <c r="BH16" i="28"/>
  <c r="BJ16" i="28" s="1"/>
  <c r="L16" i="28"/>
  <c r="M16" i="28" s="1"/>
  <c r="BT15" i="28"/>
  <c r="BH15" i="28"/>
  <c r="BJ15" i="28" s="1"/>
  <c r="M15" i="28"/>
  <c r="H15" i="28"/>
  <c r="BT14" i="28"/>
  <c r="C14" i="28"/>
  <c r="D67" i="28" s="1"/>
  <c r="BT13" i="28"/>
  <c r="BT12" i="28"/>
  <c r="D12" i="28"/>
  <c r="D52" i="28" s="1"/>
  <c r="E52" i="28" s="1"/>
  <c r="BT11" i="28"/>
  <c r="D11" i="28"/>
  <c r="BT10" i="28"/>
  <c r="BH10" i="28"/>
  <c r="BT9" i="28"/>
  <c r="BI9" i="28"/>
  <c r="BJ9" i="28" s="1"/>
  <c r="BE9" i="28"/>
  <c r="D9" i="28"/>
  <c r="D46" i="28" s="1"/>
  <c r="BT8" i="28"/>
  <c r="BI8" i="28"/>
  <c r="BJ8" i="28" s="1"/>
  <c r="BF8" i="28"/>
  <c r="BE8" i="28"/>
  <c r="H8" i="28"/>
  <c r="BT7" i="28"/>
  <c r="H7" i="28"/>
  <c r="B68" i="28" s="1"/>
  <c r="BT6" i="28"/>
  <c r="BI6" i="28"/>
  <c r="BJ6" i="28" s="1"/>
  <c r="BT5" i="28"/>
  <c r="BP5" i="28"/>
  <c r="BP6" i="28" s="1"/>
  <c r="BP7" i="28" s="1"/>
  <c r="BP8" i="28" s="1"/>
  <c r="BP9" i="28" s="1"/>
  <c r="BP10" i="28" s="1"/>
  <c r="BP11" i="28" s="1"/>
  <c r="BP12" i="28" s="1"/>
  <c r="BP13" i="28" s="1"/>
  <c r="BP14" i="28" s="1"/>
  <c r="BP15" i="28" s="1"/>
  <c r="BP18" i="28" s="1"/>
  <c r="BI5" i="28"/>
  <c r="BJ5" i="28" s="1"/>
  <c r="BT4" i="28"/>
  <c r="D214" i="28" l="1"/>
  <c r="K214" i="28"/>
  <c r="K215" i="28" s="1"/>
  <c r="S214" i="28"/>
  <c r="S215" i="28" s="1"/>
  <c r="Y64" i="28"/>
  <c r="H214" i="28"/>
  <c r="H215" i="28" s="1"/>
  <c r="P214" i="28"/>
  <c r="P215" i="28" s="1"/>
  <c r="X214" i="28"/>
  <c r="X215" i="28" s="1"/>
  <c r="O214" i="28"/>
  <c r="O215" i="28" s="1"/>
  <c r="W214" i="28"/>
  <c r="W215" i="28" s="1"/>
  <c r="BT18" i="28"/>
  <c r="BJ10" i="28"/>
  <c r="E214" i="28"/>
  <c r="E215" i="28" s="1"/>
  <c r="K135" i="28"/>
  <c r="L214" i="28"/>
  <c r="L215" i="28" s="1"/>
  <c r="T214" i="28"/>
  <c r="T215" i="28" s="1"/>
  <c r="G214" i="28"/>
  <c r="G215" i="28" s="1"/>
  <c r="J214" i="28"/>
  <c r="J215" i="28" s="1"/>
  <c r="R214" i="28"/>
  <c r="R215" i="28" s="1"/>
  <c r="U214" i="28"/>
  <c r="U215" i="28" s="1"/>
  <c r="Z64" i="28"/>
  <c r="F214" i="28"/>
  <c r="F215" i="28" s="1"/>
  <c r="V214" i="28"/>
  <c r="V215" i="28" s="1"/>
  <c r="D73" i="28"/>
  <c r="E46" i="28"/>
  <c r="E31" i="28"/>
  <c r="E32" i="28" s="1"/>
  <c r="D65" i="28"/>
  <c r="D49" i="28"/>
  <c r="B60" i="28"/>
  <c r="E76" i="28"/>
  <c r="F52" i="28"/>
  <c r="BJ17" i="28"/>
  <c r="AS64" i="28"/>
  <c r="AN64" i="28"/>
  <c r="AF64" i="28"/>
  <c r="X64" i="28"/>
  <c r="P64" i="28"/>
  <c r="H64" i="28"/>
  <c r="AP64" i="28"/>
  <c r="AG64" i="28"/>
  <c r="W64" i="28"/>
  <c r="N64" i="28"/>
  <c r="AQ64" i="28"/>
  <c r="AE64" i="28"/>
  <c r="U64" i="28"/>
  <c r="K64" i="28"/>
  <c r="AO64" i="28"/>
  <c r="AD64" i="28"/>
  <c r="T64" i="28"/>
  <c r="AM64" i="28"/>
  <c r="AC64" i="28"/>
  <c r="S64" i="28"/>
  <c r="I64" i="28"/>
  <c r="AL64" i="28"/>
  <c r="AB64" i="28"/>
  <c r="R64" i="28"/>
  <c r="G64" i="28"/>
  <c r="AK64" i="28"/>
  <c r="AA64" i="28"/>
  <c r="Q64" i="28"/>
  <c r="F64" i="28"/>
  <c r="AH64" i="28"/>
  <c r="M18" i="28"/>
  <c r="D64" i="28"/>
  <c r="AI64" i="28"/>
  <c r="L64" i="28"/>
  <c r="AJ64" i="28"/>
  <c r="L107" i="28"/>
  <c r="J63" i="28" s="1"/>
  <c r="J64" i="28" s="1"/>
  <c r="B59" i="28"/>
  <c r="M17" i="28"/>
  <c r="D32" i="28"/>
  <c r="D34" i="28" s="1"/>
  <c r="M64" i="28"/>
  <c r="AR64" i="28"/>
  <c r="E63" i="28"/>
  <c r="E64" i="28" s="1"/>
  <c r="C218" i="28"/>
  <c r="D76" i="28"/>
  <c r="BH17" i="28"/>
  <c r="E94" i="28"/>
  <c r="F30" i="28"/>
  <c r="O64" i="28"/>
  <c r="AT64" i="28"/>
  <c r="V64" i="28"/>
  <c r="AU64" i="28"/>
  <c r="J135" i="28"/>
  <c r="E154" i="28"/>
  <c r="F153" i="28"/>
  <c r="G158" i="28"/>
  <c r="G160" i="28" s="1"/>
  <c r="H151" i="28"/>
  <c r="D155" i="28"/>
  <c r="E150" i="28"/>
  <c r="D161" i="28"/>
  <c r="D171" i="28"/>
  <c r="D170" i="28"/>
  <c r="D173" i="28" s="1"/>
  <c r="D215" i="28"/>
  <c r="I214" i="28"/>
  <c r="I215" i="28" s="1"/>
  <c r="Q214" i="28"/>
  <c r="Q215" i="28" s="1"/>
  <c r="Y215" i="28" l="1"/>
  <c r="Y214" i="28"/>
  <c r="D180" i="28"/>
  <c r="D194" i="28" s="1"/>
  <c r="D50" i="28"/>
  <c r="E48" i="28"/>
  <c r="F150" i="28"/>
  <c r="E157" i="28"/>
  <c r="E155" i="28"/>
  <c r="F154" i="28"/>
  <c r="G153" i="28"/>
  <c r="L135" i="28"/>
  <c r="AV63" i="28"/>
  <c r="F76" i="28"/>
  <c r="G52" i="28"/>
  <c r="F94" i="28"/>
  <c r="G30" i="28"/>
  <c r="H158" i="28"/>
  <c r="H160" i="28" s="1"/>
  <c r="I151" i="28"/>
  <c r="AY64" i="28"/>
  <c r="D66" i="28"/>
  <c r="AV64" i="28"/>
  <c r="E73" i="28"/>
  <c r="F46" i="28"/>
  <c r="E35" i="28"/>
  <c r="E34" i="28"/>
  <c r="F31" i="28"/>
  <c r="D177" i="28"/>
  <c r="C177" i="28" s="1"/>
  <c r="D174" i="28"/>
  <c r="C216" i="28"/>
  <c r="C217" i="28" s="1"/>
  <c r="C219" i="28" s="1"/>
  <c r="C87" i="28"/>
  <c r="B61" i="28"/>
  <c r="M19" i="28"/>
  <c r="C180" i="28" l="1"/>
  <c r="C220" i="28"/>
  <c r="D14" i="28"/>
  <c r="E161" i="28"/>
  <c r="E170" i="28"/>
  <c r="E171" i="28"/>
  <c r="E172" i="28"/>
  <c r="D191" i="28"/>
  <c r="D68" i="28"/>
  <c r="F155" i="28"/>
  <c r="F157" i="28"/>
  <c r="G150" i="28"/>
  <c r="G94" i="28"/>
  <c r="G95" i="28" s="1"/>
  <c r="H30" i="28"/>
  <c r="D178" i="28"/>
  <c r="D179" i="28" s="1"/>
  <c r="F95" i="28"/>
  <c r="E95" i="28"/>
  <c r="D95" i="28"/>
  <c r="E65" i="28"/>
  <c r="E49" i="28"/>
  <c r="F35" i="28"/>
  <c r="G35" i="28" s="1"/>
  <c r="G31" i="28"/>
  <c r="F32" i="28"/>
  <c r="H52" i="28"/>
  <c r="G76" i="28"/>
  <c r="H153" i="28"/>
  <c r="G154" i="28"/>
  <c r="D74" i="28"/>
  <c r="D75" i="28" s="1"/>
  <c r="D77" i="28" s="1"/>
  <c r="D51" i="28"/>
  <c r="I158" i="28"/>
  <c r="I160" i="28" s="1"/>
  <c r="J151" i="28"/>
  <c r="F73" i="28"/>
  <c r="G46" i="28"/>
  <c r="E173" i="28" l="1"/>
  <c r="E174" i="28" s="1"/>
  <c r="G157" i="28"/>
  <c r="H150" i="28"/>
  <c r="G155" i="28"/>
  <c r="E66" i="28"/>
  <c r="F170" i="28"/>
  <c r="F172" i="28"/>
  <c r="F161" i="28"/>
  <c r="F171" i="28"/>
  <c r="F34" i="28"/>
  <c r="E177" i="28"/>
  <c r="E180" i="28"/>
  <c r="E194" i="28" s="1"/>
  <c r="H31" i="28"/>
  <c r="G32" i="28"/>
  <c r="G65" i="28"/>
  <c r="G66" i="28" s="1"/>
  <c r="G68" i="28" s="1"/>
  <c r="J158" i="28"/>
  <c r="J160" i="28" s="1"/>
  <c r="K151" i="28"/>
  <c r="H154" i="28"/>
  <c r="I153" i="28"/>
  <c r="H35" i="28"/>
  <c r="F65" i="28"/>
  <c r="F66" i="28" s="1"/>
  <c r="F68" i="28" s="1"/>
  <c r="D55" i="28"/>
  <c r="F48" i="28"/>
  <c r="F49" i="28" s="1"/>
  <c r="G48" i="28" s="1"/>
  <c r="E50" i="28"/>
  <c r="D192" i="28"/>
  <c r="C178" i="28"/>
  <c r="D181" i="28"/>
  <c r="D182" i="28" s="1"/>
  <c r="D193" i="28"/>
  <c r="C179" i="28"/>
  <c r="H94" i="28"/>
  <c r="H95" i="28" s="1"/>
  <c r="I30" i="28"/>
  <c r="H46" i="28"/>
  <c r="G73" i="28"/>
  <c r="H76" i="28"/>
  <c r="I52" i="28"/>
  <c r="F173" i="28" l="1"/>
  <c r="D195" i="28"/>
  <c r="D197" i="28" s="1"/>
  <c r="L151" i="28"/>
  <c r="K158" i="28"/>
  <c r="K160" i="28" s="1"/>
  <c r="E191" i="28"/>
  <c r="I35" i="28"/>
  <c r="G34" i="28"/>
  <c r="F50" i="28"/>
  <c r="I31" i="28"/>
  <c r="H32" i="28"/>
  <c r="I46" i="28"/>
  <c r="H73" i="28"/>
  <c r="E178" i="28"/>
  <c r="E192" i="28" s="1"/>
  <c r="H157" i="28"/>
  <c r="H155" i="28"/>
  <c r="I150" i="28"/>
  <c r="D56" i="28"/>
  <c r="D57" i="28" s="1"/>
  <c r="E54" i="28"/>
  <c r="E74" i="28"/>
  <c r="E51" i="28"/>
  <c r="I154" i="28"/>
  <c r="J153" i="28"/>
  <c r="G171" i="28"/>
  <c r="G170" i="28"/>
  <c r="G172" i="28"/>
  <c r="G161" i="28"/>
  <c r="H65" i="28"/>
  <c r="H66" i="28" s="1"/>
  <c r="H68" i="28" s="1"/>
  <c r="F174" i="28"/>
  <c r="F177" i="28"/>
  <c r="F178" i="28" s="1"/>
  <c r="F180" i="28"/>
  <c r="F194" i="28" s="1"/>
  <c r="I76" i="28"/>
  <c r="J52" i="28"/>
  <c r="I94" i="28"/>
  <c r="I95" i="28" s="1"/>
  <c r="J30" i="28"/>
  <c r="G49" i="28"/>
  <c r="H48" i="28" s="1"/>
  <c r="H49" i="28" s="1"/>
  <c r="I48" i="28" s="1"/>
  <c r="E68" i="28"/>
  <c r="G50" i="28" l="1"/>
  <c r="J35" i="28"/>
  <c r="J65" i="28" s="1"/>
  <c r="J66" i="28" s="1"/>
  <c r="J68" i="28" s="1"/>
  <c r="F192" i="28"/>
  <c r="F179" i="28"/>
  <c r="F193" i="28" s="1"/>
  <c r="G173" i="28"/>
  <c r="G174" i="28" s="1"/>
  <c r="E55" i="28"/>
  <c r="F74" i="28"/>
  <c r="F51" i="28"/>
  <c r="G177" i="28"/>
  <c r="G178" i="28" s="1"/>
  <c r="G180" i="28"/>
  <c r="G194" i="28" s="1"/>
  <c r="J31" i="28"/>
  <c r="I32" i="28"/>
  <c r="I34" i="28" s="1"/>
  <c r="I73" i="28"/>
  <c r="J46" i="28"/>
  <c r="H171" i="28"/>
  <c r="H161" i="28"/>
  <c r="H172" i="28"/>
  <c r="H170" i="28"/>
  <c r="J94" i="28"/>
  <c r="J95" i="28" s="1"/>
  <c r="K30" i="28"/>
  <c r="H34" i="28"/>
  <c r="I49" i="28"/>
  <c r="J48" i="28" s="1"/>
  <c r="I65" i="28"/>
  <c r="I66" i="28" s="1"/>
  <c r="L158" i="28"/>
  <c r="L160" i="28" s="1"/>
  <c r="M151" i="28"/>
  <c r="J76" i="28"/>
  <c r="K52" i="28"/>
  <c r="E75" i="28"/>
  <c r="E77" i="28" s="1"/>
  <c r="E179" i="28"/>
  <c r="G74" i="28"/>
  <c r="G51" i="28"/>
  <c r="J150" i="28"/>
  <c r="I155" i="28"/>
  <c r="I157" i="28"/>
  <c r="H50" i="28"/>
  <c r="F191" i="28"/>
  <c r="D78" i="28"/>
  <c r="D79" i="28" s="1"/>
  <c r="D81" i="28" s="1"/>
  <c r="K153" i="28"/>
  <c r="J154" i="28"/>
  <c r="H173" i="28" l="1"/>
  <c r="G192" i="28"/>
  <c r="G179" i="28"/>
  <c r="G193" i="28" s="1"/>
  <c r="F181" i="28"/>
  <c r="F182" i="28" s="1"/>
  <c r="K35" i="28"/>
  <c r="K65" i="28" s="1"/>
  <c r="K66" i="28" s="1"/>
  <c r="K68" i="28" s="1"/>
  <c r="F195" i="28"/>
  <c r="F197" i="28" s="1"/>
  <c r="G191" i="28"/>
  <c r="G195" i="28" s="1"/>
  <c r="G197" i="28" s="1"/>
  <c r="G181" i="28"/>
  <c r="G182" i="28" s="1"/>
  <c r="I68" i="28"/>
  <c r="L30" i="28"/>
  <c r="K94" i="28"/>
  <c r="K95" i="28" s="1"/>
  <c r="I172" i="28"/>
  <c r="I161" i="28"/>
  <c r="I171" i="28"/>
  <c r="I170" i="28"/>
  <c r="E193" i="28"/>
  <c r="E195" i="28" s="1"/>
  <c r="E197" i="28" s="1"/>
  <c r="E181" i="28"/>
  <c r="E182" i="28" s="1"/>
  <c r="N151" i="28"/>
  <c r="M158" i="28"/>
  <c r="M160" i="28" s="1"/>
  <c r="H174" i="28"/>
  <c r="H177" i="28"/>
  <c r="H180" i="28"/>
  <c r="H194" i="28" s="1"/>
  <c r="J73" i="28"/>
  <c r="K46" i="28"/>
  <c r="K31" i="28"/>
  <c r="J32" i="28"/>
  <c r="J34" i="28" s="1"/>
  <c r="G75" i="28"/>
  <c r="G77" i="28" s="1"/>
  <c r="F54" i="28"/>
  <c r="F75" i="28"/>
  <c r="F77" i="28" s="1"/>
  <c r="J49" i="28"/>
  <c r="K48" i="28" s="1"/>
  <c r="J157" i="28"/>
  <c r="J155" i="28"/>
  <c r="K150" i="28"/>
  <c r="D69" i="28"/>
  <c r="D36" i="28"/>
  <c r="D59" i="28"/>
  <c r="D60" i="28"/>
  <c r="H74" i="28"/>
  <c r="H51" i="28"/>
  <c r="L52" i="28"/>
  <c r="K76" i="28"/>
  <c r="K154" i="28"/>
  <c r="L153" i="28"/>
  <c r="E56" i="28"/>
  <c r="I50" i="28"/>
  <c r="L35" i="28" l="1"/>
  <c r="H191" i="28"/>
  <c r="L31" i="28"/>
  <c r="K32" i="28"/>
  <c r="K34" i="28" s="1"/>
  <c r="L154" i="28"/>
  <c r="M153" i="28"/>
  <c r="O151" i="28"/>
  <c r="N158" i="28"/>
  <c r="N160" i="28" s="1"/>
  <c r="I177" i="28"/>
  <c r="I180" i="28"/>
  <c r="I194" i="28" s="1"/>
  <c r="D61" i="28"/>
  <c r="D38" i="28"/>
  <c r="K49" i="28"/>
  <c r="L48" i="28" s="1"/>
  <c r="I74" i="28"/>
  <c r="I51" i="28"/>
  <c r="K155" i="28"/>
  <c r="K157" i="28"/>
  <c r="L150" i="28"/>
  <c r="L46" i="28"/>
  <c r="K73" i="28"/>
  <c r="J50" i="28"/>
  <c r="J172" i="28"/>
  <c r="J171" i="28"/>
  <c r="J170" i="28"/>
  <c r="J161" i="28"/>
  <c r="I173" i="28"/>
  <c r="I174" i="28" s="1"/>
  <c r="E78" i="28"/>
  <c r="E79" i="28" s="1"/>
  <c r="E81" i="28" s="1"/>
  <c r="E57" i="28"/>
  <c r="H75" i="28"/>
  <c r="H77" i="28" s="1"/>
  <c r="L94" i="28"/>
  <c r="L95" i="28" s="1"/>
  <c r="M30" i="28"/>
  <c r="L76" i="28"/>
  <c r="M52" i="28"/>
  <c r="F55" i="28"/>
  <c r="F56" i="28" s="1"/>
  <c r="H178" i="28"/>
  <c r="M35" i="28" l="1"/>
  <c r="L65" i="28"/>
  <c r="AY35" i="28"/>
  <c r="N35" i="28"/>
  <c r="N65" i="28" s="1"/>
  <c r="N66" i="28" s="1"/>
  <c r="N68" i="28" s="1"/>
  <c r="I191" i="28"/>
  <c r="E69" i="28"/>
  <c r="E36" i="28"/>
  <c r="E59" i="28"/>
  <c r="E60" i="28"/>
  <c r="L155" i="28"/>
  <c r="M150" i="28"/>
  <c r="L157" i="28"/>
  <c r="N153" i="28"/>
  <c r="M154" i="28"/>
  <c r="F78" i="28"/>
  <c r="F79" i="28" s="1"/>
  <c r="F81" i="28" s="1"/>
  <c r="F57" i="28"/>
  <c r="O158" i="28"/>
  <c r="O160" i="28" s="1"/>
  <c r="P151" i="28"/>
  <c r="L73" i="28"/>
  <c r="M46" i="28"/>
  <c r="J177" i="28"/>
  <c r="J178" i="28" s="1"/>
  <c r="J192" i="28" s="1"/>
  <c r="J180" i="28"/>
  <c r="J194" i="28" s="1"/>
  <c r="K172" i="28"/>
  <c r="K170" i="28"/>
  <c r="K161" i="28"/>
  <c r="K171" i="28"/>
  <c r="J173" i="28"/>
  <c r="J174" i="28" s="1"/>
  <c r="D37" i="28"/>
  <c r="M76" i="28"/>
  <c r="N52" i="28"/>
  <c r="AY52" i="28"/>
  <c r="L49" i="28"/>
  <c r="M48" i="28" s="1"/>
  <c r="H192" i="28"/>
  <c r="H179" i="28"/>
  <c r="H193" i="28" s="1"/>
  <c r="K50" i="28"/>
  <c r="M31" i="28"/>
  <c r="L32" i="28"/>
  <c r="L34" i="28" s="1"/>
  <c r="N30" i="28"/>
  <c r="M94" i="28"/>
  <c r="M95" i="28" s="1"/>
  <c r="G54" i="28"/>
  <c r="J74" i="28"/>
  <c r="J51" i="28"/>
  <c r="I75" i="28"/>
  <c r="I77" i="28" s="1"/>
  <c r="I178" i="28"/>
  <c r="A19" i="2"/>
  <c r="F18" i="2"/>
  <c r="L66" i="28" l="1"/>
  <c r="M65" i="28"/>
  <c r="M66" i="28" s="1"/>
  <c r="M68" i="28" s="1"/>
  <c r="O35" i="28"/>
  <c r="O65" i="28" s="1"/>
  <c r="O66" i="28" s="1"/>
  <c r="O68" i="28" s="1"/>
  <c r="H195" i="28"/>
  <c r="H197" i="28" s="1"/>
  <c r="K177" i="28"/>
  <c r="K178" i="28"/>
  <c r="K192" i="28" s="1"/>
  <c r="K180" i="28"/>
  <c r="K194" i="28" s="1"/>
  <c r="N94" i="28"/>
  <c r="N95" i="28" s="1"/>
  <c r="O30" i="28"/>
  <c r="AY48" i="28"/>
  <c r="M49" i="28"/>
  <c r="J75" i="28"/>
  <c r="J77" i="28" s="1"/>
  <c r="P158" i="28"/>
  <c r="P160" i="28" s="1"/>
  <c r="Q151" i="28"/>
  <c r="L172" i="28"/>
  <c r="L171" i="28"/>
  <c r="L161" i="28"/>
  <c r="L170" i="28"/>
  <c r="M73" i="28"/>
  <c r="N46" i="28"/>
  <c r="AY46" i="28"/>
  <c r="N154" i="28"/>
  <c r="O153" i="28"/>
  <c r="L50" i="28"/>
  <c r="G55" i="28"/>
  <c r="K74" i="28"/>
  <c r="K51" i="28"/>
  <c r="J179" i="28"/>
  <c r="J193" i="28" s="1"/>
  <c r="M155" i="28"/>
  <c r="M157" i="28"/>
  <c r="N150" i="28"/>
  <c r="N31" i="28"/>
  <c r="M32" i="28"/>
  <c r="AY32" i="28" s="1"/>
  <c r="AY31" i="28"/>
  <c r="N76" i="28"/>
  <c r="O52" i="28"/>
  <c r="I192" i="28"/>
  <c r="I179" i="28"/>
  <c r="D39" i="28"/>
  <c r="K173" i="28"/>
  <c r="K174" i="28" s="1"/>
  <c r="J191" i="28"/>
  <c r="F69" i="28"/>
  <c r="F36" i="28"/>
  <c r="F60" i="28"/>
  <c r="F59" i="28"/>
  <c r="H181" i="28"/>
  <c r="H182" i="28" s="1"/>
  <c r="E61" i="28"/>
  <c r="E38" i="28"/>
  <c r="Z18" i="5"/>
  <c r="O16" i="5"/>
  <c r="Q16" i="5" s="1"/>
  <c r="AA15" i="5"/>
  <c r="O15" i="5"/>
  <c r="AA14" i="5"/>
  <c r="AA13" i="5"/>
  <c r="AA12" i="5"/>
  <c r="AA11" i="5"/>
  <c r="AA10" i="5"/>
  <c r="O10" i="5"/>
  <c r="AA9" i="5"/>
  <c r="P9" i="5"/>
  <c r="Q9" i="5" s="1"/>
  <c r="L9" i="5"/>
  <c r="AA8" i="5"/>
  <c r="P8" i="5"/>
  <c r="Q8" i="5" s="1"/>
  <c r="M8" i="5"/>
  <c r="L8" i="5"/>
  <c r="AA7" i="5"/>
  <c r="AA6" i="5"/>
  <c r="P6" i="5"/>
  <c r="Q6" i="5" s="1"/>
  <c r="AA5" i="5"/>
  <c r="W5" i="5"/>
  <c r="W6" i="5" s="1"/>
  <c r="W7" i="5" s="1"/>
  <c r="W8" i="5" s="1"/>
  <c r="W9" i="5" s="1"/>
  <c r="W10" i="5" s="1"/>
  <c r="W11" i="5" s="1"/>
  <c r="W12" i="5" s="1"/>
  <c r="W13" i="5" s="1"/>
  <c r="W14" i="5" s="1"/>
  <c r="W15" i="5" s="1"/>
  <c r="W18" i="5" s="1"/>
  <c r="P5" i="5"/>
  <c r="Q5" i="5" s="1"/>
  <c r="AA4" i="5"/>
  <c r="AA18" i="4"/>
  <c r="P16" i="4"/>
  <c r="R16" i="4" s="1"/>
  <c r="AB15" i="4"/>
  <c r="P15" i="4"/>
  <c r="AB14" i="4"/>
  <c r="AB13" i="4"/>
  <c r="AB12" i="4"/>
  <c r="AB11" i="4"/>
  <c r="AB10" i="4"/>
  <c r="P10" i="4"/>
  <c r="AB9" i="4"/>
  <c r="Q9" i="4"/>
  <c r="R9" i="4" s="1"/>
  <c r="M9" i="4"/>
  <c r="AB8" i="4"/>
  <c r="Q8" i="4"/>
  <c r="R8" i="4" s="1"/>
  <c r="N8" i="4"/>
  <c r="M8" i="4"/>
  <c r="AB7" i="4"/>
  <c r="AB6" i="4"/>
  <c r="Q6" i="4"/>
  <c r="R6" i="4" s="1"/>
  <c r="AB5" i="4"/>
  <c r="X5" i="4"/>
  <c r="X6" i="4" s="1"/>
  <c r="X7" i="4" s="1"/>
  <c r="X8" i="4" s="1"/>
  <c r="X9" i="4" s="1"/>
  <c r="X10" i="4" s="1"/>
  <c r="X11" i="4" s="1"/>
  <c r="X12" i="4" s="1"/>
  <c r="X13" i="4" s="1"/>
  <c r="X14" i="4" s="1"/>
  <c r="X15" i="4" s="1"/>
  <c r="X18" i="4" s="1"/>
  <c r="Q5" i="4"/>
  <c r="R5" i="4" s="1"/>
  <c r="AB4" i="4"/>
  <c r="AB21" i="2"/>
  <c r="Q19" i="2"/>
  <c r="S19" i="2" s="1"/>
  <c r="AC18" i="2"/>
  <c r="Q18" i="2"/>
  <c r="S18" i="2" s="1"/>
  <c r="AC17" i="2"/>
  <c r="AC16" i="2"/>
  <c r="AC15" i="2"/>
  <c r="AC14" i="2"/>
  <c r="AC13" i="2"/>
  <c r="Q13" i="2"/>
  <c r="AC12" i="2"/>
  <c r="R12" i="2"/>
  <c r="S12" i="2" s="1"/>
  <c r="N12" i="2"/>
  <c r="AC11" i="2"/>
  <c r="R11" i="2"/>
  <c r="S11" i="2" s="1"/>
  <c r="O11" i="2"/>
  <c r="N11" i="2"/>
  <c r="AC10" i="2"/>
  <c r="AC9" i="2"/>
  <c r="R9" i="2"/>
  <c r="S9" i="2" s="1"/>
  <c r="AC8" i="2"/>
  <c r="Y8" i="2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21" i="2" s="1"/>
  <c r="R8" i="2"/>
  <c r="S8" i="2" s="1"/>
  <c r="AC7" i="2"/>
  <c r="BS18" i="22"/>
  <c r="BH16" i="22"/>
  <c r="BJ16" i="22" s="1"/>
  <c r="BT15" i="22"/>
  <c r="BH15" i="22"/>
  <c r="BT14" i="22"/>
  <c r="BT13" i="22"/>
  <c r="BT12" i="22"/>
  <c r="BT11" i="22"/>
  <c r="BT10" i="22"/>
  <c r="BH10" i="22"/>
  <c r="BT9" i="22"/>
  <c r="BI9" i="22"/>
  <c r="BJ9" i="22" s="1"/>
  <c r="BE9" i="22"/>
  <c r="BT8" i="22"/>
  <c r="BI8" i="22"/>
  <c r="BJ8" i="22" s="1"/>
  <c r="BF8" i="22"/>
  <c r="BE8" i="22"/>
  <c r="BT7" i="22"/>
  <c r="BT6" i="22"/>
  <c r="BI6" i="22"/>
  <c r="BJ6" i="22" s="1"/>
  <c r="BT5" i="22"/>
  <c r="BP5" i="22"/>
  <c r="BP6" i="22" s="1"/>
  <c r="BP7" i="22" s="1"/>
  <c r="BP8" i="22" s="1"/>
  <c r="BP9" i="22" s="1"/>
  <c r="BP10" i="22" s="1"/>
  <c r="BP11" i="22" s="1"/>
  <c r="BP12" i="22" s="1"/>
  <c r="BP13" i="22" s="1"/>
  <c r="BP14" i="22" s="1"/>
  <c r="BP15" i="22" s="1"/>
  <c r="BP18" i="22" s="1"/>
  <c r="BI5" i="22"/>
  <c r="BJ5" i="22" s="1"/>
  <c r="BT4" i="22"/>
  <c r="Y30" i="25"/>
  <c r="N28" i="25"/>
  <c r="P28" i="25" s="1"/>
  <c r="Z27" i="25"/>
  <c r="N27" i="25"/>
  <c r="Z26" i="25"/>
  <c r="Z25" i="25"/>
  <c r="Z24" i="25"/>
  <c r="Z23" i="25"/>
  <c r="Z22" i="25"/>
  <c r="N22" i="25"/>
  <c r="Z21" i="25"/>
  <c r="O21" i="25"/>
  <c r="P21" i="25" s="1"/>
  <c r="K21" i="25"/>
  <c r="Z20" i="25"/>
  <c r="O20" i="25"/>
  <c r="P20" i="25" s="1"/>
  <c r="L20" i="25"/>
  <c r="K20" i="25"/>
  <c r="Z19" i="25"/>
  <c r="Z18" i="25"/>
  <c r="O18" i="25"/>
  <c r="P18" i="25" s="1"/>
  <c r="Z17" i="25"/>
  <c r="V17" i="25"/>
  <c r="V18" i="25" s="1"/>
  <c r="V19" i="25" s="1"/>
  <c r="V20" i="25" s="1"/>
  <c r="V21" i="25" s="1"/>
  <c r="V22" i="25" s="1"/>
  <c r="V23" i="25" s="1"/>
  <c r="V24" i="25" s="1"/>
  <c r="V25" i="25" s="1"/>
  <c r="V26" i="25" s="1"/>
  <c r="V27" i="25" s="1"/>
  <c r="V30" i="25" s="1"/>
  <c r="O17" i="25"/>
  <c r="P17" i="25" s="1"/>
  <c r="Z16" i="25"/>
  <c r="AA28" i="24"/>
  <c r="P26" i="24"/>
  <c r="R26" i="24" s="1"/>
  <c r="AB25" i="24"/>
  <c r="P25" i="24"/>
  <c r="AB24" i="24"/>
  <c r="AB23" i="24"/>
  <c r="AB22" i="24"/>
  <c r="AB21" i="24"/>
  <c r="AB20" i="24"/>
  <c r="P20" i="24"/>
  <c r="AB19" i="24"/>
  <c r="Q19" i="24"/>
  <c r="R19" i="24" s="1"/>
  <c r="M19" i="24"/>
  <c r="AB18" i="24"/>
  <c r="Q18" i="24"/>
  <c r="R18" i="24" s="1"/>
  <c r="N18" i="24"/>
  <c r="M18" i="24"/>
  <c r="AB17" i="24"/>
  <c r="AB16" i="24"/>
  <c r="Q16" i="24"/>
  <c r="R16" i="24" s="1"/>
  <c r="AB15" i="24"/>
  <c r="X15" i="24"/>
  <c r="X16" i="24" s="1"/>
  <c r="X17" i="24" s="1"/>
  <c r="X18" i="24" s="1"/>
  <c r="X19" i="24" s="1"/>
  <c r="X20" i="24" s="1"/>
  <c r="X21" i="24" s="1"/>
  <c r="X22" i="24" s="1"/>
  <c r="X23" i="24" s="1"/>
  <c r="X24" i="24" s="1"/>
  <c r="X25" i="24" s="1"/>
  <c r="X28" i="24" s="1"/>
  <c r="Q15" i="24"/>
  <c r="R15" i="24" s="1"/>
  <c r="AB14" i="24"/>
  <c r="L173" i="28" l="1"/>
  <c r="AY65" i="28"/>
  <c r="L68" i="28"/>
  <c r="AY68" i="28" s="1"/>
  <c r="AY66" i="28"/>
  <c r="P35" i="28"/>
  <c r="K179" i="28"/>
  <c r="K193" i="28" s="1"/>
  <c r="I193" i="28"/>
  <c r="I195" i="28" s="1"/>
  <c r="I197" i="28" s="1"/>
  <c r="I181" i="28"/>
  <c r="I182" i="28" s="1"/>
  <c r="J181" i="28"/>
  <c r="J182" i="28" s="1"/>
  <c r="M161" i="28"/>
  <c r="M172" i="28"/>
  <c r="M171" i="28"/>
  <c r="M170" i="28"/>
  <c r="H54" i="28"/>
  <c r="N48" i="28"/>
  <c r="AY49" i="28"/>
  <c r="K75" i="28"/>
  <c r="K77" i="28" s="1"/>
  <c r="O76" i="28"/>
  <c r="P52" i="28"/>
  <c r="J195" i="28"/>
  <c r="J197" i="28" s="1"/>
  <c r="D89" i="28"/>
  <c r="H18" i="28"/>
  <c r="D44" i="28"/>
  <c r="G56" i="28"/>
  <c r="R151" i="28"/>
  <c r="Q158" i="28"/>
  <c r="Q160" i="28" s="1"/>
  <c r="K191" i="28"/>
  <c r="N157" i="28"/>
  <c r="O150" i="28"/>
  <c r="N155" i="28"/>
  <c r="E37" i="28"/>
  <c r="F61" i="28"/>
  <c r="F37" i="28" s="1"/>
  <c r="F38" i="28"/>
  <c r="O31" i="28"/>
  <c r="N32" i="28"/>
  <c r="N34" i="28" s="1"/>
  <c r="L74" i="28"/>
  <c r="L51" i="28"/>
  <c r="N73" i="28"/>
  <c r="O46" i="28"/>
  <c r="M50" i="28"/>
  <c r="L177" i="28"/>
  <c r="L178" i="28" s="1"/>
  <c r="L192" i="28" s="1"/>
  <c r="L174" i="28"/>
  <c r="L180" i="28"/>
  <c r="L194" i="28" s="1"/>
  <c r="M34" i="28"/>
  <c r="O154" i="28"/>
  <c r="P153" i="28"/>
  <c r="P30" i="28"/>
  <c r="O94" i="28"/>
  <c r="O95" i="28" s="1"/>
  <c r="O17" i="5"/>
  <c r="P27" i="24"/>
  <c r="N29" i="25"/>
  <c r="BH17" i="22"/>
  <c r="AB28" i="24"/>
  <c r="BT18" i="22"/>
  <c r="BJ10" i="22"/>
  <c r="BJ15" i="22"/>
  <c r="BJ17" i="22" s="1"/>
  <c r="AC21" i="2"/>
  <c r="S13" i="2"/>
  <c r="AB18" i="4"/>
  <c r="R10" i="4"/>
  <c r="P17" i="4"/>
  <c r="R15" i="4"/>
  <c r="R17" i="4" s="1"/>
  <c r="AA18" i="5"/>
  <c r="Q10" i="5"/>
  <c r="Q15" i="5"/>
  <c r="Q17" i="5" s="1"/>
  <c r="S20" i="2"/>
  <c r="Q20" i="2"/>
  <c r="P22" i="25"/>
  <c r="Z30" i="25"/>
  <c r="P27" i="25"/>
  <c r="P29" i="25" s="1"/>
  <c r="R20" i="24"/>
  <c r="R25" i="24"/>
  <c r="R27" i="24" s="1"/>
  <c r="M173" i="28" l="1"/>
  <c r="K195" i="28"/>
  <c r="K197" i="28" s="1"/>
  <c r="P65" i="28"/>
  <c r="P66" i="28" s="1"/>
  <c r="P68" i="28" s="1"/>
  <c r="Q35" i="28"/>
  <c r="K181" i="28"/>
  <c r="K182" i="28" s="1"/>
  <c r="F39" i="28"/>
  <c r="F89" i="28" s="1"/>
  <c r="S151" i="28"/>
  <c r="R158" i="28"/>
  <c r="R160" i="28" s="1"/>
  <c r="P31" i="28"/>
  <c r="O32" i="28"/>
  <c r="O34" i="28" s="1"/>
  <c r="P94" i="28"/>
  <c r="P95" i="28" s="1"/>
  <c r="Q30" i="28"/>
  <c r="O73" i="28"/>
  <c r="P46" i="28"/>
  <c r="M174" i="28"/>
  <c r="M177" i="28"/>
  <c r="M180" i="28"/>
  <c r="M194" i="28" s="1"/>
  <c r="G78" i="28"/>
  <c r="G79" i="28" s="1"/>
  <c r="G81" i="28" s="1"/>
  <c r="G57" i="28"/>
  <c r="Q52" i="28"/>
  <c r="P76" i="28"/>
  <c r="P154" i="28"/>
  <c r="Q153" i="28"/>
  <c r="L191" i="28"/>
  <c r="M74" i="28"/>
  <c r="AY50" i="28"/>
  <c r="M51" i="28"/>
  <c r="N49" i="28"/>
  <c r="O48" i="28" s="1"/>
  <c r="O157" i="28"/>
  <c r="O155" i="28"/>
  <c r="P150" i="28"/>
  <c r="L179" i="28"/>
  <c r="L193" i="28" s="1"/>
  <c r="N171" i="28"/>
  <c r="N161" i="28"/>
  <c r="N170" i="28"/>
  <c r="N172" i="28"/>
  <c r="H55" i="28"/>
  <c r="AY34" i="28"/>
  <c r="L75" i="28"/>
  <c r="L77" i="28" s="1"/>
  <c r="E39" i="28"/>
  <c r="Q65" i="28" l="1"/>
  <c r="Q66" i="28" s="1"/>
  <c r="Q68" i="28" s="1"/>
  <c r="R35" i="28"/>
  <c r="N177" i="28"/>
  <c r="N178" i="28" s="1"/>
  <c r="N192" i="28" s="1"/>
  <c r="N180" i="28"/>
  <c r="N194" i="28" s="1"/>
  <c r="Q76" i="28"/>
  <c r="R52" i="28"/>
  <c r="Q31" i="28"/>
  <c r="P32" i="28"/>
  <c r="P34" i="28" s="1"/>
  <c r="N173" i="28"/>
  <c r="N174" i="28" s="1"/>
  <c r="P157" i="28"/>
  <c r="P155" i="28"/>
  <c r="Q150" i="28"/>
  <c r="L195" i="28"/>
  <c r="L197" i="28" s="1"/>
  <c r="G69" i="28"/>
  <c r="G36" i="28"/>
  <c r="G60" i="28"/>
  <c r="G59" i="28"/>
  <c r="P73" i="28"/>
  <c r="Q46" i="28"/>
  <c r="S158" i="28"/>
  <c r="S160" i="28" s="1"/>
  <c r="T151" i="28"/>
  <c r="O49" i="28"/>
  <c r="P48" i="28" s="1"/>
  <c r="N50" i="28"/>
  <c r="M191" i="28"/>
  <c r="E89" i="28"/>
  <c r="I54" i="28"/>
  <c r="L181" i="28"/>
  <c r="L182" i="28" s="1"/>
  <c r="M75" i="28"/>
  <c r="M77" i="28" s="1"/>
  <c r="AY51" i="28"/>
  <c r="H56" i="28"/>
  <c r="O171" i="28"/>
  <c r="O170" i="28"/>
  <c r="O161" i="28"/>
  <c r="O172" i="28"/>
  <c r="R153" i="28"/>
  <c r="Q154" i="28"/>
  <c r="M178" i="28"/>
  <c r="Q94" i="28"/>
  <c r="Q95" i="28" s="1"/>
  <c r="R30" i="28"/>
  <c r="R65" i="28" l="1"/>
  <c r="R66" i="28" s="1"/>
  <c r="R68" i="28" s="1"/>
  <c r="S35" i="28"/>
  <c r="O173" i="28"/>
  <c r="N179" i="28"/>
  <c r="N193" i="28" s="1"/>
  <c r="O174" i="28"/>
  <c r="O177" i="28"/>
  <c r="O178" i="28" s="1"/>
  <c r="O180" i="28"/>
  <c r="O194" i="28" s="1"/>
  <c r="N74" i="28"/>
  <c r="N51" i="28"/>
  <c r="R31" i="28"/>
  <c r="Q32" i="28"/>
  <c r="Q34" i="28" s="1"/>
  <c r="S153" i="28"/>
  <c r="R154" i="28"/>
  <c r="P170" i="28"/>
  <c r="P171" i="28"/>
  <c r="P173" i="28" s="1"/>
  <c r="P172" i="28"/>
  <c r="P161" i="28"/>
  <c r="T158" i="28"/>
  <c r="T160" i="28" s="1"/>
  <c r="U151" i="28"/>
  <c r="Q73" i="28"/>
  <c r="R46" i="28"/>
  <c r="M192" i="28"/>
  <c r="M179" i="28"/>
  <c r="I55" i="28"/>
  <c r="J54" i="28" s="1"/>
  <c r="P49" i="28"/>
  <c r="Q48" i="28" s="1"/>
  <c r="G61" i="28"/>
  <c r="G38" i="28"/>
  <c r="N191" i="28"/>
  <c r="R76" i="28"/>
  <c r="S52" i="28"/>
  <c r="R94" i="28"/>
  <c r="R95" i="28" s="1"/>
  <c r="S30" i="28"/>
  <c r="Q155" i="28"/>
  <c r="R150" i="28"/>
  <c r="Q157" i="28"/>
  <c r="H78" i="28"/>
  <c r="H79" i="28" s="1"/>
  <c r="H81" i="28" s="1"/>
  <c r="H57" i="28"/>
  <c r="O50" i="28"/>
  <c r="A8" i="25"/>
  <c r="C10" i="1"/>
  <c r="F4" i="25"/>
  <c r="F3" i="25"/>
  <c r="F2" i="25"/>
  <c r="F6" i="25" s="1"/>
  <c r="F4" i="24"/>
  <c r="F3" i="24"/>
  <c r="F2" i="24"/>
  <c r="F6" i="24" s="1"/>
  <c r="O192" i="28" l="1"/>
  <c r="O179" i="28"/>
  <c r="O193" i="28" s="1"/>
  <c r="S65" i="28"/>
  <c r="S66" i="28" s="1"/>
  <c r="S68" i="28" s="1"/>
  <c r="T35" i="28"/>
  <c r="E8" i="1"/>
  <c r="N181" i="28"/>
  <c r="N182" i="28" s="1"/>
  <c r="N195" i="28"/>
  <c r="N197" i="28" s="1"/>
  <c r="G37" i="28"/>
  <c r="N75" i="28"/>
  <c r="N77" i="28" s="1"/>
  <c r="O191" i="28"/>
  <c r="O195" i="28" s="1"/>
  <c r="O197" i="28" s="1"/>
  <c r="H69" i="28"/>
  <c r="H36" i="28"/>
  <c r="H59" i="28"/>
  <c r="H60" i="28"/>
  <c r="J55" i="28"/>
  <c r="K54" i="28" s="1"/>
  <c r="U158" i="28"/>
  <c r="U160" i="28" s="1"/>
  <c r="V151" i="28"/>
  <c r="T153" i="28"/>
  <c r="S154" i="28"/>
  <c r="R157" i="28"/>
  <c r="S150" i="28"/>
  <c r="R155" i="28"/>
  <c r="Q49" i="28"/>
  <c r="R48" i="28" s="1"/>
  <c r="P50" i="28"/>
  <c r="S94" i="28"/>
  <c r="S95" i="28" s="1"/>
  <c r="T30" i="28"/>
  <c r="I56" i="28"/>
  <c r="T52" i="28"/>
  <c r="S76" i="28"/>
  <c r="S31" i="28"/>
  <c r="R32" i="28"/>
  <c r="R34" i="28" s="1"/>
  <c r="R73" i="28"/>
  <c r="S46" i="28"/>
  <c r="O74" i="28"/>
  <c r="O51" i="28"/>
  <c r="P177" i="28"/>
  <c r="P174" i="28"/>
  <c r="P180" i="28"/>
  <c r="P194" i="28" s="1"/>
  <c r="P178" i="28"/>
  <c r="P192" i="28" s="1"/>
  <c r="Q171" i="28"/>
  <c r="Q170" i="28"/>
  <c r="Q172" i="28"/>
  <c r="Q161" i="28"/>
  <c r="M193" i="28"/>
  <c r="M195" i="28" s="1"/>
  <c r="M197" i="28" s="1"/>
  <c r="M181" i="28"/>
  <c r="M182" i="28" s="1"/>
  <c r="E9" i="1"/>
  <c r="O181" i="28" l="1"/>
  <c r="O182" i="28" s="1"/>
  <c r="U35" i="28"/>
  <c r="T65" i="28"/>
  <c r="T66" i="28" s="1"/>
  <c r="T68" i="28" s="1"/>
  <c r="J56" i="28"/>
  <c r="J78" i="28" s="1"/>
  <c r="J79" i="28" s="1"/>
  <c r="J81" i="28" s="1"/>
  <c r="P74" i="28"/>
  <c r="P51" i="28"/>
  <c r="Q177" i="28"/>
  <c r="Q180" i="28"/>
  <c r="Q194" i="28" s="1"/>
  <c r="S157" i="28"/>
  <c r="T150" i="28"/>
  <c r="S155" i="28"/>
  <c r="P179" i="28"/>
  <c r="P193" i="28" s="1"/>
  <c r="H61" i="28"/>
  <c r="H38" i="28"/>
  <c r="I78" i="28"/>
  <c r="I79" i="28" s="1"/>
  <c r="I81" i="28" s="1"/>
  <c r="I57" i="28"/>
  <c r="Q50" i="28"/>
  <c r="V158" i="28"/>
  <c r="V160" i="28" s="1"/>
  <c r="W151" i="28"/>
  <c r="G39" i="28"/>
  <c r="T76" i="28"/>
  <c r="U52" i="28"/>
  <c r="S73" i="28"/>
  <c r="T46" i="28"/>
  <c r="T154" i="28"/>
  <c r="U153" i="28"/>
  <c r="Q173" i="28"/>
  <c r="Q174" i="28" s="1"/>
  <c r="T31" i="28"/>
  <c r="S32" i="28"/>
  <c r="S34" i="28" s="1"/>
  <c r="T94" i="28"/>
  <c r="T95" i="28" s="1"/>
  <c r="U30" i="28"/>
  <c r="O75" i="28"/>
  <c r="O77" i="28" s="1"/>
  <c r="R172" i="28"/>
  <c r="R170" i="28"/>
  <c r="R161" i="28"/>
  <c r="R171" i="28"/>
  <c r="R49" i="28"/>
  <c r="S48" i="28" s="1"/>
  <c r="P191" i="28"/>
  <c r="K55" i="28"/>
  <c r="L54" i="28" s="1"/>
  <c r="Q178" i="28" l="1"/>
  <c r="Q192" i="28" s="1"/>
  <c r="J57" i="28"/>
  <c r="J69" i="28" s="1"/>
  <c r="U65" i="28"/>
  <c r="U66" i="28" s="1"/>
  <c r="U68" i="28" s="1"/>
  <c r="V35" i="28"/>
  <c r="R173" i="28"/>
  <c r="R174" i="28" s="1"/>
  <c r="G89" i="28"/>
  <c r="P181" i="28"/>
  <c r="P182" i="28" s="1"/>
  <c r="U154" i="28"/>
  <c r="V153" i="28"/>
  <c r="I69" i="28"/>
  <c r="I36" i="28"/>
  <c r="I60" i="28"/>
  <c r="I59" i="28"/>
  <c r="S172" i="28"/>
  <c r="S170" i="28"/>
  <c r="S161" i="28"/>
  <c r="S171" i="28"/>
  <c r="U76" i="28"/>
  <c r="V52" i="28"/>
  <c r="L55" i="28"/>
  <c r="M54" i="28" s="1"/>
  <c r="K56" i="28"/>
  <c r="P75" i="28"/>
  <c r="P77" i="28" s="1"/>
  <c r="J36" i="28"/>
  <c r="J60" i="28"/>
  <c r="J59" i="28"/>
  <c r="T73" i="28"/>
  <c r="U46" i="28"/>
  <c r="Q74" i="28"/>
  <c r="Q51" i="28"/>
  <c r="P195" i="28"/>
  <c r="P197" i="28" s="1"/>
  <c r="S49" i="28"/>
  <c r="T48" i="28" s="1"/>
  <c r="X151" i="28"/>
  <c r="W158" i="28"/>
  <c r="W160" i="28" s="1"/>
  <c r="R177" i="28"/>
  <c r="R180" i="28"/>
  <c r="R194" i="28" s="1"/>
  <c r="T155" i="28"/>
  <c r="U150" i="28"/>
  <c r="T157" i="28"/>
  <c r="U94" i="28"/>
  <c r="U95" i="28" s="1"/>
  <c r="V30" i="28"/>
  <c r="R50" i="28"/>
  <c r="U31" i="28"/>
  <c r="T32" i="28"/>
  <c r="T34" i="28" s="1"/>
  <c r="H37" i="28"/>
  <c r="Q191" i="28"/>
  <c r="Q179" i="28" l="1"/>
  <c r="W35" i="28"/>
  <c r="V65" i="28"/>
  <c r="V66" i="28" s="1"/>
  <c r="V68" i="28" s="1"/>
  <c r="S173" i="28"/>
  <c r="S174" i="28" s="1"/>
  <c r="K78" i="28"/>
  <c r="K79" i="28" s="1"/>
  <c r="K81" i="28" s="1"/>
  <c r="K57" i="28"/>
  <c r="V76" i="28"/>
  <c r="W52" i="28"/>
  <c r="U155" i="28"/>
  <c r="V150" i="28"/>
  <c r="U157" i="28"/>
  <c r="X158" i="28"/>
  <c r="X160" i="28" s="1"/>
  <c r="Y151" i="28"/>
  <c r="Q75" i="28"/>
  <c r="Q77" i="28" s="1"/>
  <c r="M55" i="28"/>
  <c r="M56" i="28" s="1"/>
  <c r="AY54" i="28"/>
  <c r="R191" i="28"/>
  <c r="J61" i="28"/>
  <c r="J37" i="28" s="1"/>
  <c r="J38" i="28"/>
  <c r="L56" i="28"/>
  <c r="I38" i="28"/>
  <c r="I61" i="28"/>
  <c r="I37" i="28" s="1"/>
  <c r="T171" i="28"/>
  <c r="T161" i="28"/>
  <c r="T170" i="28"/>
  <c r="T172" i="28"/>
  <c r="R74" i="28"/>
  <c r="R51" i="28"/>
  <c r="H39" i="28"/>
  <c r="R178" i="28"/>
  <c r="R192" i="28" s="1"/>
  <c r="T49" i="28"/>
  <c r="U48" i="28" s="1"/>
  <c r="V154" i="28"/>
  <c r="W153" i="28"/>
  <c r="S177" i="28"/>
  <c r="S178" i="28" s="1"/>
  <c r="S180" i="28"/>
  <c r="S194" i="28" s="1"/>
  <c r="V94" i="28"/>
  <c r="V95" i="28" s="1"/>
  <c r="W30" i="28"/>
  <c r="V31" i="28"/>
  <c r="U32" i="28"/>
  <c r="U34" i="28" s="1"/>
  <c r="S50" i="28"/>
  <c r="U73" i="28"/>
  <c r="V46" i="28"/>
  <c r="U10" i="4"/>
  <c r="BM17" i="22"/>
  <c r="V13" i="2"/>
  <c r="U20" i="24"/>
  <c r="T10" i="5"/>
  <c r="S29" i="25"/>
  <c r="Q193" i="28" l="1"/>
  <c r="Q195" i="28" s="1"/>
  <c r="Q197" i="28" s="1"/>
  <c r="Q181" i="28"/>
  <c r="Q182" i="28" s="1"/>
  <c r="I39" i="28"/>
  <c r="I89" i="28" s="1"/>
  <c r="X35" i="28"/>
  <c r="X65" i="28" s="1"/>
  <c r="X66" i="28" s="1"/>
  <c r="X68" i="28" s="1"/>
  <c r="W65" i="28"/>
  <c r="W66" i="28" s="1"/>
  <c r="W68" i="28" s="1"/>
  <c r="J39" i="28"/>
  <c r="J89" i="28" s="1"/>
  <c r="S192" i="28"/>
  <c r="S179" i="28"/>
  <c r="S193" i="28" s="1"/>
  <c r="T173" i="28"/>
  <c r="T174" i="28" s="1"/>
  <c r="R179" i="28"/>
  <c r="R193" i="28" s="1"/>
  <c r="R195" i="28" s="1"/>
  <c r="R197" i="28" s="1"/>
  <c r="U27" i="24"/>
  <c r="U25" i="24" s="1"/>
  <c r="V25" i="24" s="1"/>
  <c r="S22" i="25"/>
  <c r="S18" i="25" s="1"/>
  <c r="T18" i="25" s="1"/>
  <c r="R18" i="25" s="1"/>
  <c r="BM17" i="28"/>
  <c r="M78" i="28"/>
  <c r="M79" i="28" s="1"/>
  <c r="M81" i="28" s="1"/>
  <c r="M57" i="28"/>
  <c r="AY56" i="28"/>
  <c r="V73" i="28"/>
  <c r="W46" i="28"/>
  <c r="U49" i="28"/>
  <c r="V48" i="28" s="1"/>
  <c r="R75" i="28"/>
  <c r="R77" i="28" s="1"/>
  <c r="H89" i="28"/>
  <c r="S74" i="28"/>
  <c r="S51" i="28"/>
  <c r="N54" i="28"/>
  <c r="AY55" i="28"/>
  <c r="S191" i="28"/>
  <c r="L78" i="28"/>
  <c r="L79" i="28" s="1"/>
  <c r="L81" i="28" s="1"/>
  <c r="L57" i="28"/>
  <c r="U172" i="28"/>
  <c r="U161" i="28"/>
  <c r="U170" i="28"/>
  <c r="U171" i="28"/>
  <c r="K69" i="28"/>
  <c r="K36" i="28"/>
  <c r="K60" i="28"/>
  <c r="K59" i="28"/>
  <c r="W94" i="28"/>
  <c r="W95" i="28" s="1"/>
  <c r="X30" i="28"/>
  <c r="T50" i="28"/>
  <c r="Y158" i="28"/>
  <c r="Y160" i="28" s="1"/>
  <c r="Z151" i="28"/>
  <c r="W31" i="28"/>
  <c r="V32" i="28"/>
  <c r="V34" i="28" s="1"/>
  <c r="T177" i="28"/>
  <c r="T180" i="28"/>
  <c r="T194" i="28" s="1"/>
  <c r="V155" i="28"/>
  <c r="V157" i="28"/>
  <c r="W150" i="28"/>
  <c r="W76" i="28"/>
  <c r="X52" i="28"/>
  <c r="X153" i="28"/>
  <c r="W154" i="28"/>
  <c r="U19" i="24"/>
  <c r="V19" i="24" s="1"/>
  <c r="T19" i="24" s="1"/>
  <c r="U16" i="24"/>
  <c r="V16" i="24" s="1"/>
  <c r="T16" i="24" s="1"/>
  <c r="U15" i="24"/>
  <c r="V15" i="24" s="1"/>
  <c r="T15" i="24" s="1"/>
  <c r="U18" i="24"/>
  <c r="V18" i="24" s="1"/>
  <c r="T18" i="24" s="1"/>
  <c r="BM16" i="22"/>
  <c r="BN16" i="22" s="1"/>
  <c r="BL16" i="22" s="1"/>
  <c r="BM15" i="22"/>
  <c r="BN15" i="22" s="1"/>
  <c r="BL15" i="22" s="1"/>
  <c r="T9" i="5"/>
  <c r="U9" i="5" s="1"/>
  <c r="S9" i="5" s="1"/>
  <c r="T8" i="5"/>
  <c r="U8" i="5" s="1"/>
  <c r="S8" i="5" s="1"/>
  <c r="T6" i="5"/>
  <c r="U6" i="5" s="1"/>
  <c r="S6" i="5" s="1"/>
  <c r="T5" i="5"/>
  <c r="U5" i="5" s="1"/>
  <c r="S5" i="5" s="1"/>
  <c r="V8" i="2"/>
  <c r="W8" i="2" s="1"/>
  <c r="U8" i="2" s="1"/>
  <c r="V9" i="2"/>
  <c r="W9" i="2" s="1"/>
  <c r="U9" i="2" s="1"/>
  <c r="V12" i="2"/>
  <c r="W12" i="2" s="1"/>
  <c r="U12" i="2" s="1"/>
  <c r="V11" i="2"/>
  <c r="W11" i="2" s="1"/>
  <c r="U11" i="2" s="1"/>
  <c r="U6" i="4"/>
  <c r="V6" i="4" s="1"/>
  <c r="T6" i="4" s="1"/>
  <c r="U5" i="4"/>
  <c r="V5" i="4" s="1"/>
  <c r="T5" i="4" s="1"/>
  <c r="U8" i="4"/>
  <c r="V8" i="4" s="1"/>
  <c r="T8" i="4" s="1"/>
  <c r="U9" i="4"/>
  <c r="V9" i="4" s="1"/>
  <c r="T9" i="4" s="1"/>
  <c r="S27" i="25"/>
  <c r="T27" i="25" s="1"/>
  <c r="S28" i="25"/>
  <c r="T28" i="25" s="1"/>
  <c r="S181" i="28" l="1"/>
  <c r="S182" i="28" s="1"/>
  <c r="S195" i="28"/>
  <c r="S197" i="28" s="1"/>
  <c r="U26" i="24"/>
  <c r="V26" i="24" s="1"/>
  <c r="S21" i="25"/>
  <c r="T21" i="25" s="1"/>
  <c r="R21" i="25" s="1"/>
  <c r="Y35" i="28"/>
  <c r="Y65" i="28" s="1"/>
  <c r="Y66" i="28" s="1"/>
  <c r="Y68" i="28" s="1"/>
  <c r="S17" i="25"/>
  <c r="T17" i="25" s="1"/>
  <c r="R17" i="25" s="1"/>
  <c r="T179" i="28"/>
  <c r="T193" i="28" s="1"/>
  <c r="T178" i="28"/>
  <c r="T192" i="28" s="1"/>
  <c r="S20" i="25"/>
  <c r="T20" i="25" s="1"/>
  <c r="R20" i="25" s="1"/>
  <c r="U50" i="28"/>
  <c r="U51" i="28" s="1"/>
  <c r="U173" i="28"/>
  <c r="U174" i="28" s="1"/>
  <c r="R181" i="28"/>
  <c r="R182" i="28" s="1"/>
  <c r="BM16" i="28"/>
  <c r="BN16" i="28" s="1"/>
  <c r="BL16" i="28" s="1"/>
  <c r="BM15" i="28"/>
  <c r="BN15" i="28" s="1"/>
  <c r="BL15" i="28" s="1"/>
  <c r="Z158" i="28"/>
  <c r="Z160" i="28" s="1"/>
  <c r="AA151" i="28"/>
  <c r="K61" i="28"/>
  <c r="K37" i="28" s="1"/>
  <c r="K38" i="28"/>
  <c r="X31" i="28"/>
  <c r="W32" i="28"/>
  <c r="W34" i="28" s="1"/>
  <c r="S75" i="28"/>
  <c r="S77" i="28" s="1"/>
  <c r="X76" i="28"/>
  <c r="Y52" i="28"/>
  <c r="M69" i="28"/>
  <c r="M36" i="28"/>
  <c r="M60" i="28"/>
  <c r="M59" i="28"/>
  <c r="AY57" i="28"/>
  <c r="V161" i="28"/>
  <c r="V172" i="28"/>
  <c r="V171" i="28"/>
  <c r="V170" i="28"/>
  <c r="X46" i="28"/>
  <c r="W73" i="28"/>
  <c r="L69" i="28"/>
  <c r="L36" i="28"/>
  <c r="L60" i="28"/>
  <c r="L59" i="28"/>
  <c r="T74" i="28"/>
  <c r="T51" i="28"/>
  <c r="U177" i="28"/>
  <c r="U178" i="28" s="1"/>
  <c r="U180" i="28"/>
  <c r="U194" i="28" s="1"/>
  <c r="N55" i="28"/>
  <c r="O54" i="28" s="1"/>
  <c r="X154" i="28"/>
  <c r="Y153" i="28"/>
  <c r="W157" i="28"/>
  <c r="W155" i="28"/>
  <c r="X150" i="28"/>
  <c r="T191" i="28"/>
  <c r="X94" i="28"/>
  <c r="X95" i="28" s="1"/>
  <c r="Y30" i="28"/>
  <c r="V49" i="28"/>
  <c r="W48" i="28" s="1"/>
  <c r="R28" i="25"/>
  <c r="T26" i="24"/>
  <c r="AH15" i="24"/>
  <c r="R27" i="25"/>
  <c r="T25" i="24"/>
  <c r="AI15" i="24"/>
  <c r="Z35" i="28" l="1"/>
  <c r="Z65" i="28" s="1"/>
  <c r="Z66" i="28" s="1"/>
  <c r="Z68" i="28" s="1"/>
  <c r="T195" i="28"/>
  <c r="T197" i="28" s="1"/>
  <c r="AG17" i="25"/>
  <c r="AA35" i="28"/>
  <c r="AB35" i="28" s="1"/>
  <c r="T181" i="28"/>
  <c r="T182" i="28" s="1"/>
  <c r="K39" i="28"/>
  <c r="K89" i="28" s="1"/>
  <c r="U74" i="28"/>
  <c r="AF17" i="25"/>
  <c r="AA20" i="25" s="1"/>
  <c r="AB20" i="25" s="1"/>
  <c r="U192" i="28"/>
  <c r="U179" i="28"/>
  <c r="U193" i="28" s="1"/>
  <c r="N56" i="28"/>
  <c r="N57" i="28" s="1"/>
  <c r="AY60" i="28"/>
  <c r="U75" i="28"/>
  <c r="U77" i="28" s="1"/>
  <c r="V50" i="28"/>
  <c r="Y31" i="28"/>
  <c r="X32" i="28"/>
  <c r="X34" i="28" s="1"/>
  <c r="X73" i="28"/>
  <c r="Y46" i="28"/>
  <c r="V177" i="28"/>
  <c r="V178" i="28" s="1"/>
  <c r="V192" i="28" s="1"/>
  <c r="V180" i="28"/>
  <c r="V194" i="28" s="1"/>
  <c r="L61" i="28"/>
  <c r="L37" i="28" s="1"/>
  <c r="L38" i="28"/>
  <c r="W49" i="28"/>
  <c r="X48" i="28" s="1"/>
  <c r="Y154" i="28"/>
  <c r="Z153" i="28"/>
  <c r="Y94" i="28"/>
  <c r="Y95" i="28" s="1"/>
  <c r="Z30" i="28"/>
  <c r="V173" i="28"/>
  <c r="V174" i="28" s="1"/>
  <c r="AB151" i="28"/>
  <c r="AA158" i="28"/>
  <c r="AA160" i="28" s="1"/>
  <c r="AY36" i="28"/>
  <c r="W171" i="28"/>
  <c r="W172" i="28"/>
  <c r="W161" i="28"/>
  <c r="W170" i="28"/>
  <c r="U191" i="28"/>
  <c r="X157" i="28"/>
  <c r="X155" i="28"/>
  <c r="Y150" i="28"/>
  <c r="O55" i="28"/>
  <c r="P54" i="28" s="1"/>
  <c r="T75" i="28"/>
  <c r="T77" i="28" s="1"/>
  <c r="M61" i="28"/>
  <c r="M38" i="28"/>
  <c r="AY38" i="28" s="1"/>
  <c r="AY59" i="28"/>
  <c r="Z52" i="28"/>
  <c r="Y76" i="28"/>
  <c r="AA18" i="25"/>
  <c r="AB18" i="25" s="1"/>
  <c r="AA16" i="25"/>
  <c r="AA26" i="25"/>
  <c r="AB26" i="25" s="1"/>
  <c r="AA17" i="25"/>
  <c r="AB17" i="25" s="1"/>
  <c r="AA27" i="25"/>
  <c r="AB27" i="25" s="1"/>
  <c r="AC25" i="24"/>
  <c r="AD25" i="24" s="1"/>
  <c r="AC15" i="24"/>
  <c r="AD15" i="24" s="1"/>
  <c r="AC24" i="24"/>
  <c r="AD24" i="24" s="1"/>
  <c r="AC16" i="24"/>
  <c r="AD16" i="24" s="1"/>
  <c r="AC14" i="24"/>
  <c r="AC20" i="24"/>
  <c r="AD20" i="24" s="1"/>
  <c r="AC22" i="24"/>
  <c r="AD22" i="24" s="1"/>
  <c r="AC21" i="24"/>
  <c r="AD21" i="24" s="1"/>
  <c r="AC17" i="24"/>
  <c r="AD17" i="24" s="1"/>
  <c r="AC23" i="24"/>
  <c r="AD23" i="24" s="1"/>
  <c r="AC18" i="24"/>
  <c r="AD18" i="24" s="1"/>
  <c r="AC19" i="24"/>
  <c r="AD19" i="24" s="1"/>
  <c r="AA25" i="25" l="1"/>
  <c r="AB25" i="25" s="1"/>
  <c r="AA19" i="25"/>
  <c r="AB19" i="25" s="1"/>
  <c r="AA21" i="25"/>
  <c r="AB21" i="25" s="1"/>
  <c r="L39" i="28"/>
  <c r="L89" i="28" s="1"/>
  <c r="AA65" i="28"/>
  <c r="AA66" i="28" s="1"/>
  <c r="AA68" i="28" s="1"/>
  <c r="N78" i="28"/>
  <c r="N79" i="28" s="1"/>
  <c r="N81" i="28" s="1"/>
  <c r="AA22" i="25"/>
  <c r="AB22" i="25" s="1"/>
  <c r="AA24" i="25"/>
  <c r="AB24" i="25" s="1"/>
  <c r="AA23" i="25"/>
  <c r="AB23" i="25" s="1"/>
  <c r="U195" i="28"/>
  <c r="U197" i="28" s="1"/>
  <c r="U181" i="28"/>
  <c r="U182" i="28" s="1"/>
  <c r="P55" i="28"/>
  <c r="Q54" i="28" s="1"/>
  <c r="Z150" i="28"/>
  <c r="Y157" i="28"/>
  <c r="Y155" i="28"/>
  <c r="W50" i="28"/>
  <c r="Y73" i="28"/>
  <c r="Z46" i="28"/>
  <c r="W177" i="28"/>
  <c r="W178" i="28" s="1"/>
  <c r="W192" i="28" s="1"/>
  <c r="W180" i="28"/>
  <c r="W194" i="28" s="1"/>
  <c r="AA153" i="28"/>
  <c r="Z154" i="28"/>
  <c r="W173" i="28"/>
  <c r="W174" i="28" s="1"/>
  <c r="Z31" i="28"/>
  <c r="Y32" i="28"/>
  <c r="Y34" i="28" s="1"/>
  <c r="X49" i="28"/>
  <c r="Y48" i="28" s="1"/>
  <c r="M37" i="28"/>
  <c r="AY61" i="28"/>
  <c r="AB65" i="28"/>
  <c r="AB66" i="28" s="1"/>
  <c r="AB68" i="28" s="1"/>
  <c r="AC35" i="28"/>
  <c r="N36" i="28"/>
  <c r="N69" i="28"/>
  <c r="N59" i="28"/>
  <c r="N60" i="28"/>
  <c r="O56" i="28"/>
  <c r="AA52" i="28"/>
  <c r="Z76" i="28"/>
  <c r="V74" i="28"/>
  <c r="V51" i="28"/>
  <c r="AB158" i="28"/>
  <c r="AB160" i="28" s="1"/>
  <c r="AC151" i="28"/>
  <c r="X170" i="28"/>
  <c r="X171" i="28"/>
  <c r="X161" i="28"/>
  <c r="X172" i="28"/>
  <c r="Z94" i="28"/>
  <c r="Z95" i="28" s="1"/>
  <c r="AA30" i="28"/>
  <c r="V191" i="28"/>
  <c r="V179" i="28"/>
  <c r="V193" i="28" s="1"/>
  <c r="AD14" i="24"/>
  <c r="AD28" i="24" s="1"/>
  <c r="AC28" i="24"/>
  <c r="AB16" i="25"/>
  <c r="AA30" i="25" l="1"/>
  <c r="AB30" i="25"/>
  <c r="G9" i="1" s="1"/>
  <c r="W179" i="28"/>
  <c r="W193" i="28" s="1"/>
  <c r="V195" i="28"/>
  <c r="V197" i="28" s="1"/>
  <c r="V181" i="28"/>
  <c r="V182" i="28" s="1"/>
  <c r="X173" i="28"/>
  <c r="X174" i="28" s="1"/>
  <c r="W74" i="28"/>
  <c r="W51" i="28"/>
  <c r="AB52" i="28"/>
  <c r="AA76" i="28"/>
  <c r="AA94" i="28"/>
  <c r="AA95" i="28" s="1"/>
  <c r="AB30" i="28"/>
  <c r="W191" i="28"/>
  <c r="Z155" i="28"/>
  <c r="Z157" i="28"/>
  <c r="AA150" i="28"/>
  <c r="Y171" i="28"/>
  <c r="Y161" i="28"/>
  <c r="Y170" i="28"/>
  <c r="Y172" i="28"/>
  <c r="AC158" i="28"/>
  <c r="AC160" i="28" s="1"/>
  <c r="AD151" i="28"/>
  <c r="M39" i="28"/>
  <c r="AY37" i="28"/>
  <c r="AZ39" i="28" s="1"/>
  <c r="AA31" i="28"/>
  <c r="Z32" i="28"/>
  <c r="Z34" i="28" s="1"/>
  <c r="AB153" i="28"/>
  <c r="AA154" i="28"/>
  <c r="X177" i="28"/>
  <c r="X178" i="28"/>
  <c r="X192" i="28" s="1"/>
  <c r="X180" i="28"/>
  <c r="X194" i="28" s="1"/>
  <c r="O78" i="28"/>
  <c r="O79" i="28" s="1"/>
  <c r="O81" i="28" s="1"/>
  <c r="O57" i="28"/>
  <c r="N61" i="28"/>
  <c r="N37" i="28" s="1"/>
  <c r="N38" i="28"/>
  <c r="Y49" i="28"/>
  <c r="Z48" i="28" s="1"/>
  <c r="Q55" i="28"/>
  <c r="R54" i="28" s="1"/>
  <c r="AC65" i="28"/>
  <c r="AC66" i="28" s="1"/>
  <c r="AC68" i="28" s="1"/>
  <c r="AD35" i="28"/>
  <c r="V75" i="28"/>
  <c r="V77" i="28" s="1"/>
  <c r="X50" i="28"/>
  <c r="AA46" i="28"/>
  <c r="Z73" i="28"/>
  <c r="P56" i="28"/>
  <c r="G8" i="1"/>
  <c r="AD30" i="24"/>
  <c r="H8" i="1" s="1"/>
  <c r="AB32" i="25" l="1"/>
  <c r="H9" i="1" s="1"/>
  <c r="W195" i="28"/>
  <c r="W197" i="28" s="1"/>
  <c r="W181" i="28"/>
  <c r="W182" i="28" s="1"/>
  <c r="Y173" i="28"/>
  <c r="Y174" i="28" s="1"/>
  <c r="N39" i="28"/>
  <c r="N89" i="28" s="1"/>
  <c r="X179" i="28"/>
  <c r="X193" i="28" s="1"/>
  <c r="AD65" i="28"/>
  <c r="AD66" i="28" s="1"/>
  <c r="AD68" i="28" s="1"/>
  <c r="AE35" i="28"/>
  <c r="AB94" i="28"/>
  <c r="AB95" i="28" s="1"/>
  <c r="AC30" i="28"/>
  <c r="O69" i="28"/>
  <c r="O36" i="28"/>
  <c r="O59" i="28"/>
  <c r="O60" i="28"/>
  <c r="Z171" i="28"/>
  <c r="Z170" i="28"/>
  <c r="Z172" i="28"/>
  <c r="Z161" i="28"/>
  <c r="W75" i="28"/>
  <c r="W77" i="28" s="1"/>
  <c r="P78" i="28"/>
  <c r="P79" i="28" s="1"/>
  <c r="P81" i="28" s="1"/>
  <c r="P57" i="28"/>
  <c r="R55" i="28"/>
  <c r="S54" i="28" s="1"/>
  <c r="AB76" i="28"/>
  <c r="AC52" i="28"/>
  <c r="Q56" i="28"/>
  <c r="X74" i="28"/>
  <c r="X51" i="28"/>
  <c r="Z49" i="28"/>
  <c r="AA48" i="28" s="1"/>
  <c r="AB31" i="28"/>
  <c r="AA32" i="28"/>
  <c r="AA34" i="28" s="1"/>
  <c r="M89" i="28"/>
  <c r="AY39" i="28"/>
  <c r="AE151" i="28"/>
  <c r="AD158" i="28"/>
  <c r="AD160" i="28" s="1"/>
  <c r="Y50" i="28"/>
  <c r="X191" i="28"/>
  <c r="AA73" i="28"/>
  <c r="AB46" i="28"/>
  <c r="AB150" i="28"/>
  <c r="AA157" i="28"/>
  <c r="AA155" i="28"/>
  <c r="AC153" i="28"/>
  <c r="AB154" i="28"/>
  <c r="Y177" i="28"/>
  <c r="Y180" i="28"/>
  <c r="Y194" i="28" s="1"/>
  <c r="X181" i="28" l="1"/>
  <c r="X182" i="28" s="1"/>
  <c r="X195" i="28"/>
  <c r="X197" i="28" s="1"/>
  <c r="Z173" i="28"/>
  <c r="AA172" i="28"/>
  <c r="AA170" i="28"/>
  <c r="AA161" i="28"/>
  <c r="AA171" i="28"/>
  <c r="AB155" i="28"/>
  <c r="AB157" i="28"/>
  <c r="AC150" i="28"/>
  <c r="AD30" i="28"/>
  <c r="AC94" i="28"/>
  <c r="AC95" i="28" s="1"/>
  <c r="Z50" i="28"/>
  <c r="Z174" i="28"/>
  <c r="Z177" i="28"/>
  <c r="Z178" i="28" s="1"/>
  <c r="Z192" i="28" s="1"/>
  <c r="Z180" i="28"/>
  <c r="Z194" i="28" s="1"/>
  <c r="AE65" i="28"/>
  <c r="AE66" i="28" s="1"/>
  <c r="AE68" i="28" s="1"/>
  <c r="AF35" i="28"/>
  <c r="Y74" i="28"/>
  <c r="Y51" i="28"/>
  <c r="AC76" i="28"/>
  <c r="AD52" i="28"/>
  <c r="AC31" i="28"/>
  <c r="AB32" i="28"/>
  <c r="AB34" i="28" s="1"/>
  <c r="Y191" i="28"/>
  <c r="AA49" i="28"/>
  <c r="AB48" i="28" s="1"/>
  <c r="R56" i="28"/>
  <c r="AE158" i="28"/>
  <c r="AE160" i="28" s="1"/>
  <c r="AF151" i="28"/>
  <c r="X75" i="28"/>
  <c r="X77" i="28" s="1"/>
  <c r="P69" i="28"/>
  <c r="P36" i="28"/>
  <c r="P59" i="28"/>
  <c r="P60" i="28"/>
  <c r="S55" i="28"/>
  <c r="T54" i="28" s="1"/>
  <c r="AB73" i="28"/>
  <c r="AC46" i="28"/>
  <c r="AD153" i="28"/>
  <c r="AC154" i="28"/>
  <c r="Y178" i="28"/>
  <c r="Q78" i="28"/>
  <c r="Q79" i="28" s="1"/>
  <c r="Q81" i="28" s="1"/>
  <c r="Q57" i="28"/>
  <c r="O61" i="28"/>
  <c r="O37" i="28" s="1"/>
  <c r="O38" i="28"/>
  <c r="O39" i="28" l="1"/>
  <c r="O89" i="28" s="1"/>
  <c r="Z179" i="28"/>
  <c r="Z193" i="28" s="1"/>
  <c r="AA173" i="28"/>
  <c r="S56" i="28"/>
  <c r="S78" i="28" s="1"/>
  <c r="S79" i="28" s="1"/>
  <c r="S81" i="28" s="1"/>
  <c r="AG151" i="28"/>
  <c r="AF158" i="28"/>
  <c r="AF160" i="28" s="1"/>
  <c r="AB49" i="28"/>
  <c r="AC48" i="28" s="1"/>
  <c r="Z74" i="28"/>
  <c r="Z51" i="28"/>
  <c r="AD154" i="28"/>
  <c r="AE153" i="28"/>
  <c r="R78" i="28"/>
  <c r="R79" i="28" s="1"/>
  <c r="R81" i="28" s="1"/>
  <c r="R57" i="28"/>
  <c r="P61" i="28"/>
  <c r="P37" i="28" s="1"/>
  <c r="P38" i="28"/>
  <c r="AC73" i="28"/>
  <c r="AD46" i="28"/>
  <c r="AA50" i="28"/>
  <c r="AD94" i="28"/>
  <c r="AD95" i="28" s="1"/>
  <c r="AE30" i="28"/>
  <c r="AA174" i="28"/>
  <c r="AA177" i="28"/>
  <c r="AA178" i="28" s="1"/>
  <c r="AA192" i="28" s="1"/>
  <c r="AA180" i="28"/>
  <c r="AA194" i="28" s="1"/>
  <c r="Y192" i="28"/>
  <c r="Y179" i="28"/>
  <c r="Y193" i="28" s="1"/>
  <c r="AD76" i="28"/>
  <c r="AE52" i="28"/>
  <c r="Y75" i="28"/>
  <c r="Y77" i="28" s="1"/>
  <c r="Z191" i="28"/>
  <c r="AC157" i="28"/>
  <c r="AD150" i="28"/>
  <c r="AC155" i="28"/>
  <c r="AF65" i="28"/>
  <c r="AF66" i="28" s="1"/>
  <c r="AF68" i="28" s="1"/>
  <c r="AG35" i="28"/>
  <c r="AD31" i="28"/>
  <c r="AC32" i="28"/>
  <c r="AC34" i="28" s="1"/>
  <c r="Q36" i="28"/>
  <c r="Q69" i="28"/>
  <c r="Q59" i="28"/>
  <c r="Q60" i="28"/>
  <c r="T55" i="28"/>
  <c r="U54" i="28" s="1"/>
  <c r="Y181" i="28"/>
  <c r="Y182" i="28" s="1"/>
  <c r="AB172" i="28"/>
  <c r="AB170" i="28"/>
  <c r="AB161" i="28"/>
  <c r="AB171" i="28"/>
  <c r="P39" i="28" l="1"/>
  <c r="P89" i="28" s="1"/>
  <c r="S57" i="28"/>
  <c r="S59" i="28" s="1"/>
  <c r="Z181" i="28"/>
  <c r="Z182" i="28" s="1"/>
  <c r="AB173" i="28"/>
  <c r="AB174" i="28" s="1"/>
  <c r="Z195" i="28"/>
  <c r="Z197" i="28" s="1"/>
  <c r="Y195" i="28"/>
  <c r="Y197" i="28" s="1"/>
  <c r="AG65" i="28"/>
  <c r="AG66" i="28" s="1"/>
  <c r="AG68" i="28" s="1"/>
  <c r="AH35" i="28"/>
  <c r="AE76" i="28"/>
  <c r="AF52" i="28"/>
  <c r="AB50" i="28"/>
  <c r="AA191" i="28"/>
  <c r="AE31" i="28"/>
  <c r="AD32" i="28"/>
  <c r="AD34" i="28" s="1"/>
  <c r="T56" i="28"/>
  <c r="AE154" i="28"/>
  <c r="AF153" i="28"/>
  <c r="AD73" i="28"/>
  <c r="AE46" i="28"/>
  <c r="Q61" i="28"/>
  <c r="Q37" i="28" s="1"/>
  <c r="Q38" i="28"/>
  <c r="AD157" i="28"/>
  <c r="AE150" i="28"/>
  <c r="AD155" i="28"/>
  <c r="AH151" i="28"/>
  <c r="AG158" i="28"/>
  <c r="AG160" i="28" s="1"/>
  <c r="R69" i="28"/>
  <c r="R59" i="28"/>
  <c r="R36" i="28"/>
  <c r="R60" i="28"/>
  <c r="U55" i="28"/>
  <c r="V54" i="28" s="1"/>
  <c r="AA74" i="28"/>
  <c r="AA51" i="28"/>
  <c r="AB177" i="28"/>
  <c r="AB180" i="28"/>
  <c r="AB194" i="28" s="1"/>
  <c r="AC49" i="28"/>
  <c r="AD48" i="28" s="1"/>
  <c r="AA179" i="28"/>
  <c r="AA193" i="28" s="1"/>
  <c r="AC172" i="28"/>
  <c r="AC161" i="28"/>
  <c r="AC171" i="28"/>
  <c r="AC170" i="28"/>
  <c r="AE94" i="28"/>
  <c r="AE95" i="28" s="1"/>
  <c r="AF30" i="28"/>
  <c r="Z75" i="28"/>
  <c r="Z77" i="28" s="1"/>
  <c r="S69" i="28" l="1"/>
  <c r="S60" i="28"/>
  <c r="S61" i="28" s="1"/>
  <c r="S37" i="28" s="1"/>
  <c r="S36" i="28"/>
  <c r="Q39" i="28"/>
  <c r="Q89" i="28" s="1"/>
  <c r="AC173" i="28"/>
  <c r="AD171" i="28"/>
  <c r="AD161" i="28"/>
  <c r="AD172" i="28"/>
  <c r="AD170" i="28"/>
  <c r="AF76" i="28"/>
  <c r="AG52" i="28"/>
  <c r="AH65" i="28"/>
  <c r="AH66" i="28" s="1"/>
  <c r="AH68" i="28" s="1"/>
  <c r="AI35" i="28"/>
  <c r="AF31" i="28"/>
  <c r="AE32" i="28"/>
  <c r="AE34" i="28" s="1"/>
  <c r="T78" i="28"/>
  <c r="T79" i="28" s="1"/>
  <c r="T81" i="28" s="1"/>
  <c r="T57" i="28"/>
  <c r="AF94" i="28"/>
  <c r="AF95" i="28" s="1"/>
  <c r="AG30" i="28"/>
  <c r="AD49" i="28"/>
  <c r="AE48" i="28" s="1"/>
  <c r="AH158" i="28"/>
  <c r="AH160" i="28" s="1"/>
  <c r="AI151" i="28"/>
  <c r="AB74" i="28"/>
  <c r="AB51" i="28"/>
  <c r="R61" i="28"/>
  <c r="R37" i="28" s="1"/>
  <c r="R38" i="28"/>
  <c r="AB191" i="28"/>
  <c r="AA75" i="28"/>
  <c r="AA77" i="28" s="1"/>
  <c r="AC50" i="28"/>
  <c r="V55" i="28"/>
  <c r="W54" i="28" s="1"/>
  <c r="AE73" i="28"/>
  <c r="AF46" i="28"/>
  <c r="S38" i="28"/>
  <c r="AA195" i="28"/>
  <c r="AA197" i="28" s="1"/>
  <c r="AE155" i="28"/>
  <c r="AF150" i="28"/>
  <c r="AE157" i="28"/>
  <c r="AF154" i="28"/>
  <c r="AG153" i="28"/>
  <c r="AC174" i="28"/>
  <c r="AC177" i="28"/>
  <c r="AC178" i="28" s="1"/>
  <c r="AC192" i="28" s="1"/>
  <c r="AC180" i="28"/>
  <c r="AC194" i="28" s="1"/>
  <c r="AB178" i="28"/>
  <c r="U56" i="28"/>
  <c r="AA181" i="28"/>
  <c r="AA182" i="28" s="1"/>
  <c r="R39" i="28" l="1"/>
  <c r="R89" i="28" s="1"/>
  <c r="V56" i="28"/>
  <c r="V78" i="28" s="1"/>
  <c r="V79" i="28" s="1"/>
  <c r="V81" i="28" s="1"/>
  <c r="AD50" i="28"/>
  <c r="AD51" i="28" s="1"/>
  <c r="S39" i="28"/>
  <c r="S89" i="28" s="1"/>
  <c r="AD74" i="28"/>
  <c r="AB75" i="28"/>
  <c r="AB77" i="28" s="1"/>
  <c r="AC191" i="28"/>
  <c r="AD177" i="28"/>
  <c r="AD178" i="28" s="1"/>
  <c r="AD192" i="28" s="1"/>
  <c r="AD180" i="28"/>
  <c r="AD194" i="28" s="1"/>
  <c r="AF73" i="28"/>
  <c r="AG46" i="28"/>
  <c r="AI65" i="28"/>
  <c r="AI66" i="28" s="1"/>
  <c r="AI68" i="28" s="1"/>
  <c r="AJ35" i="28"/>
  <c r="AG31" i="28"/>
  <c r="AF32" i="28"/>
  <c r="AF34" i="28" s="1"/>
  <c r="U78" i="28"/>
  <c r="U79" i="28" s="1"/>
  <c r="U81" i="28" s="1"/>
  <c r="U57" i="28"/>
  <c r="AJ151" i="28"/>
  <c r="AI158" i="28"/>
  <c r="AI160" i="28" s="1"/>
  <c r="AG94" i="28"/>
  <c r="AG95" i="28" s="1"/>
  <c r="AH30" i="28"/>
  <c r="AG154" i="28"/>
  <c r="AH153" i="28"/>
  <c r="AB192" i="28"/>
  <c r="AB179" i="28"/>
  <c r="AB193" i="28" s="1"/>
  <c r="AE171" i="28"/>
  <c r="AE161" i="28"/>
  <c r="AE172" i="28"/>
  <c r="AE170" i="28"/>
  <c r="T36" i="28"/>
  <c r="T69" i="28"/>
  <c r="T59" i="28"/>
  <c r="T60" i="28"/>
  <c r="AD173" i="28"/>
  <c r="AD174" i="28" s="1"/>
  <c r="AC74" i="28"/>
  <c r="AC51" i="28"/>
  <c r="AC179" i="28"/>
  <c r="AC193" i="28" s="1"/>
  <c r="AF157" i="28"/>
  <c r="AG150" i="28"/>
  <c r="AF155" i="28"/>
  <c r="W55" i="28"/>
  <c r="X54" i="28" s="1"/>
  <c r="AE49" i="28"/>
  <c r="AF48" i="28" s="1"/>
  <c r="AG76" i="28"/>
  <c r="AH52" i="28"/>
  <c r="AI52" i="28" s="1"/>
  <c r="AJ52" i="28" s="1"/>
  <c r="AK52" i="28" s="1"/>
  <c r="AL52" i="28" s="1"/>
  <c r="AM52" i="28" s="1"/>
  <c r="AN52" i="28" s="1"/>
  <c r="AO52" i="28" s="1"/>
  <c r="AP52" i="28" s="1"/>
  <c r="AQ52" i="28" s="1"/>
  <c r="AR52" i="28" s="1"/>
  <c r="AS52" i="28" s="1"/>
  <c r="AT52" i="28" s="1"/>
  <c r="AU52" i="28" s="1"/>
  <c r="V57" i="28" l="1"/>
  <c r="AD179" i="28"/>
  <c r="AD193" i="28" s="1"/>
  <c r="AC181" i="28"/>
  <c r="AC182" i="28" s="1"/>
  <c r="AC195" i="28"/>
  <c r="AC197" i="28" s="1"/>
  <c r="AB195" i="28"/>
  <c r="AB197" i="28" s="1"/>
  <c r="AH94" i="28"/>
  <c r="AH95" i="28" s="1"/>
  <c r="AI30" i="28"/>
  <c r="AD75" i="28"/>
  <c r="AD77" i="28" s="1"/>
  <c r="AG155" i="28"/>
  <c r="AH150" i="28"/>
  <c r="AG157" i="28"/>
  <c r="AF172" i="28"/>
  <c r="AF170" i="28"/>
  <c r="AF171" i="28"/>
  <c r="AF161" i="28"/>
  <c r="AE50" i="28"/>
  <c r="X55" i="28"/>
  <c r="Y54" i="28" s="1"/>
  <c r="AJ65" i="28"/>
  <c r="AJ66" i="28" s="1"/>
  <c r="AJ68" i="28" s="1"/>
  <c r="BA35" i="28"/>
  <c r="AK35" i="28"/>
  <c r="AE177" i="28"/>
  <c r="AE178" i="28"/>
  <c r="AE192" i="28" s="1"/>
  <c r="AE180" i="28"/>
  <c r="AE194" i="28" s="1"/>
  <c r="AE179" i="28"/>
  <c r="AE193" i="28" s="1"/>
  <c r="T61" i="28"/>
  <c r="T37" i="28" s="1"/>
  <c r="T38" i="28"/>
  <c r="AE173" i="28"/>
  <c r="AE174" i="28" s="1"/>
  <c r="AF49" i="28"/>
  <c r="AG48" i="28" s="1"/>
  <c r="V36" i="28"/>
  <c r="V69" i="28"/>
  <c r="V60" i="28"/>
  <c r="V59" i="28"/>
  <c r="AC75" i="28"/>
  <c r="AC77" i="28" s="1"/>
  <c r="W56" i="28"/>
  <c r="AJ158" i="28"/>
  <c r="AJ160" i="28" s="1"/>
  <c r="AK151" i="28"/>
  <c r="AG73" i="28"/>
  <c r="AH46" i="28"/>
  <c r="AH31" i="28"/>
  <c r="AG32" i="28"/>
  <c r="AG34" i="28" s="1"/>
  <c r="AH154" i="28"/>
  <c r="AI153" i="28"/>
  <c r="U69" i="28"/>
  <c r="U36" i="28"/>
  <c r="U60" i="28"/>
  <c r="U59" i="28"/>
  <c r="AD181" i="28"/>
  <c r="AD182" i="28" s="1"/>
  <c r="AD191" i="28"/>
  <c r="AB181" i="28"/>
  <c r="AB182" i="28" s="1"/>
  <c r="AD195" i="28" l="1"/>
  <c r="AD197" i="28" s="1"/>
  <c r="AF173" i="28"/>
  <c r="AF174" i="28" s="1"/>
  <c r="T39" i="28"/>
  <c r="T89" i="28" s="1"/>
  <c r="AE74" i="28"/>
  <c r="AE51" i="28"/>
  <c r="V61" i="28"/>
  <c r="V37" i="28" s="1"/>
  <c r="V38" i="28"/>
  <c r="AI46" i="28"/>
  <c r="AH73" i="28"/>
  <c r="AI94" i="28"/>
  <c r="AI95" i="28" s="1"/>
  <c r="AJ30" i="28"/>
  <c r="AK158" i="28"/>
  <c r="AK160" i="28" s="1"/>
  <c r="AL151" i="28"/>
  <c r="AG49" i="28"/>
  <c r="AH48" i="28" s="1"/>
  <c r="AE191" i="28"/>
  <c r="AE195" i="28" s="1"/>
  <c r="AE197" i="28" s="1"/>
  <c r="AE181" i="28"/>
  <c r="AE182" i="28" s="1"/>
  <c r="AF177" i="28"/>
  <c r="AF178" i="28" s="1"/>
  <c r="AF192" i="28" s="1"/>
  <c r="AF180" i="28"/>
  <c r="AF194" i="28" s="1"/>
  <c r="W78" i="28"/>
  <c r="W79" i="28" s="1"/>
  <c r="W81" i="28" s="1"/>
  <c r="W57" i="28"/>
  <c r="AF50" i="28"/>
  <c r="Y55" i="28"/>
  <c r="Z54" i="28" s="1"/>
  <c r="AG170" i="28"/>
  <c r="AG172" i="28"/>
  <c r="AG171" i="28"/>
  <c r="AG161" i="28"/>
  <c r="AJ153" i="28"/>
  <c r="AI154" i="28"/>
  <c r="U61" i="28"/>
  <c r="U37" i="28" s="1"/>
  <c r="U38" i="28"/>
  <c r="AI31" i="28"/>
  <c r="AH32" i="28"/>
  <c r="AH34" i="28" s="1"/>
  <c r="AK65" i="28"/>
  <c r="AL35" i="28"/>
  <c r="X56" i="28"/>
  <c r="AH157" i="28"/>
  <c r="AH155" i="28"/>
  <c r="AI150" i="28"/>
  <c r="U39" i="28" l="1"/>
  <c r="U89" i="28" s="1"/>
  <c r="Y56" i="28"/>
  <c r="Y78" i="28" s="1"/>
  <c r="Y79" i="28" s="1"/>
  <c r="Y81" i="28" s="1"/>
  <c r="V39" i="28"/>
  <c r="V89" i="28" s="1"/>
  <c r="AL158" i="28"/>
  <c r="AL160" i="28" s="1"/>
  <c r="AM151" i="28"/>
  <c r="AE75" i="28"/>
  <c r="AE77" i="28" s="1"/>
  <c r="AJ154" i="28"/>
  <c r="AK153" i="28"/>
  <c r="X78" i="28"/>
  <c r="X79" i="28" s="1"/>
  <c r="X81" i="28" s="1"/>
  <c r="X57" i="28"/>
  <c r="AG177" i="28"/>
  <c r="AG178" i="28" s="1"/>
  <c r="AG192" i="28" s="1"/>
  <c r="AG180" i="28"/>
  <c r="AG194" i="28" s="1"/>
  <c r="AG50" i="28"/>
  <c r="AI155" i="28"/>
  <c r="AI157" i="28"/>
  <c r="AJ150" i="28"/>
  <c r="W36" i="28"/>
  <c r="W69" i="28"/>
  <c r="W59" i="28"/>
  <c r="W60" i="28"/>
  <c r="AJ94" i="28"/>
  <c r="AJ95" i="28" s="1"/>
  <c r="AK30" i="28"/>
  <c r="AJ31" i="28"/>
  <c r="AI32" i="28"/>
  <c r="AI34" i="28" s="1"/>
  <c r="AL65" i="28"/>
  <c r="AL66" i="28" s="1"/>
  <c r="AL68" i="28" s="1"/>
  <c r="AM35" i="28"/>
  <c r="AG173" i="28"/>
  <c r="AG174" i="28" s="1"/>
  <c r="AF179" i="28"/>
  <c r="AF193" i="28" s="1"/>
  <c r="AK66" i="28"/>
  <c r="AK68" i="28" s="1"/>
  <c r="AV65" i="28"/>
  <c r="AJ46" i="28"/>
  <c r="AI73" i="28"/>
  <c r="AF74" i="28"/>
  <c r="AF51" i="28"/>
  <c r="AH171" i="28"/>
  <c r="AH161" i="28"/>
  <c r="AH172" i="28"/>
  <c r="AH170" i="28"/>
  <c r="AH49" i="28"/>
  <c r="AI48" i="28" s="1"/>
  <c r="Z55" i="28"/>
  <c r="AA54" i="28" s="1"/>
  <c r="AF191" i="28"/>
  <c r="AG179" i="28" l="1"/>
  <c r="AG193" i="28" s="1"/>
  <c r="AH173" i="28"/>
  <c r="Y57" i="28"/>
  <c r="Y69" i="28" s="1"/>
  <c r="AF195" i="28"/>
  <c r="AF197" i="28" s="1"/>
  <c r="AF181" i="28"/>
  <c r="AF182" i="28" s="1"/>
  <c r="AK31" i="28"/>
  <c r="AJ32" i="28"/>
  <c r="BA32" i="28" s="1"/>
  <c r="BA31" i="28"/>
  <c r="W61" i="28"/>
  <c r="W37" i="28" s="1"/>
  <c r="W38" i="28"/>
  <c r="AA55" i="28"/>
  <c r="AB54" i="28" s="1"/>
  <c r="Z56" i="28"/>
  <c r="AG191" i="28"/>
  <c r="AG195" i="28" s="1"/>
  <c r="AG197" i="28" s="1"/>
  <c r="AG181" i="28"/>
  <c r="AG182" i="28" s="1"/>
  <c r="AI49" i="28"/>
  <c r="AJ48" i="28" s="1"/>
  <c r="AL30" i="28"/>
  <c r="AM30" i="28" s="1"/>
  <c r="AN30" i="28" s="1"/>
  <c r="AO30" i="28" s="1"/>
  <c r="AP30" i="28" s="1"/>
  <c r="AQ30" i="28" s="1"/>
  <c r="AR30" i="28" s="1"/>
  <c r="AS30" i="28" s="1"/>
  <c r="AT30" i="28" s="1"/>
  <c r="AU30" i="28" s="1"/>
  <c r="X69" i="28"/>
  <c r="X36" i="28"/>
  <c r="X59" i="28"/>
  <c r="X60" i="28"/>
  <c r="AK46" i="28"/>
  <c r="AJ73" i="28"/>
  <c r="AM158" i="28"/>
  <c r="AM160" i="28" s="1"/>
  <c r="AN151" i="28"/>
  <c r="AH177" i="28"/>
  <c r="AH178" i="28" s="1"/>
  <c r="AH192" i="28" s="1"/>
  <c r="AH174" i="28"/>
  <c r="AH180" i="28"/>
  <c r="AH194" i="28" s="1"/>
  <c r="AF75" i="28"/>
  <c r="AF77" i="28" s="1"/>
  <c r="AJ155" i="28"/>
  <c r="AK150" i="28"/>
  <c r="AJ157" i="28"/>
  <c r="AI172" i="28"/>
  <c r="AI170" i="28"/>
  <c r="AI161" i="28"/>
  <c r="AI171" i="28"/>
  <c r="AH50" i="28"/>
  <c r="AM65" i="28"/>
  <c r="AM66" i="28" s="1"/>
  <c r="AM68" i="28" s="1"/>
  <c r="AN35" i="28"/>
  <c r="AG74" i="28"/>
  <c r="AG51" i="28"/>
  <c r="AL153" i="28"/>
  <c r="AK154" i="28"/>
  <c r="Y59" i="28" l="1"/>
  <c r="Y60" i="28"/>
  <c r="Y36" i="28"/>
  <c r="W39" i="28"/>
  <c r="W89" i="28" s="1"/>
  <c r="AI173" i="28"/>
  <c r="AI174" i="28" s="1"/>
  <c r="AH191" i="28"/>
  <c r="AA56" i="28"/>
  <c r="AN65" i="28"/>
  <c r="AN66" i="28" s="1"/>
  <c r="AN68" i="28" s="1"/>
  <c r="AO35" i="28"/>
  <c r="AB55" i="28"/>
  <c r="AC54" i="28" s="1"/>
  <c r="AJ49" i="28"/>
  <c r="AK48" i="28" s="1"/>
  <c r="AM153" i="28"/>
  <c r="AL154" i="28"/>
  <c r="AN158" i="28"/>
  <c r="AN160" i="28" s="1"/>
  <c r="AO151" i="28"/>
  <c r="AI50" i="28"/>
  <c r="AJ34" i="28"/>
  <c r="Z78" i="28"/>
  <c r="Z79" i="28" s="1"/>
  <c r="Z81" i="28" s="1"/>
  <c r="Z57" i="28"/>
  <c r="AK73" i="28"/>
  <c r="AL46" i="28"/>
  <c r="AH74" i="28"/>
  <c r="AH51" i="28"/>
  <c r="AG75" i="28"/>
  <c r="AG77" i="28" s="1"/>
  <c r="AJ171" i="28"/>
  <c r="AJ161" i="28"/>
  <c r="AJ170" i="28"/>
  <c r="AJ172" i="28"/>
  <c r="AK157" i="28"/>
  <c r="AL150" i="28"/>
  <c r="AK155" i="28"/>
  <c r="AL31" i="28"/>
  <c r="AK32" i="28"/>
  <c r="AK34" i="28" s="1"/>
  <c r="AI177" i="28"/>
  <c r="AI180" i="28"/>
  <c r="AI194" i="28" s="1"/>
  <c r="AH179" i="28"/>
  <c r="AH193" i="28" s="1"/>
  <c r="X61" i="28"/>
  <c r="X37" i="28" s="1"/>
  <c r="X38" i="28"/>
  <c r="Y61" i="28" l="1"/>
  <c r="Y37" i="28" s="1"/>
  <c r="Y38" i="28"/>
  <c r="Y39" i="28"/>
  <c r="Y89" i="28" s="1"/>
  <c r="X39" i="28"/>
  <c r="X89" i="28" s="1"/>
  <c r="AI191" i="28"/>
  <c r="AJ177" i="28"/>
  <c r="AJ180" i="28"/>
  <c r="AJ194" i="28" s="1"/>
  <c r="AN153" i="28"/>
  <c r="AM154" i="28"/>
  <c r="AK49" i="28"/>
  <c r="AL48" i="28" s="1"/>
  <c r="AC55" i="28"/>
  <c r="AD54" i="28" s="1"/>
  <c r="AA78" i="28"/>
  <c r="AA79" i="28" s="1"/>
  <c r="AA81" i="28" s="1"/>
  <c r="AA57" i="28"/>
  <c r="AM31" i="28"/>
  <c r="AL32" i="28"/>
  <c r="AL34" i="28" s="1"/>
  <c r="BA34" i="28"/>
  <c r="AJ50" i="28"/>
  <c r="AI178" i="28"/>
  <c r="AI192" i="28" s="1"/>
  <c r="AM150" i="28"/>
  <c r="AL155" i="28"/>
  <c r="AL157" i="28"/>
  <c r="AO158" i="28"/>
  <c r="AO160" i="28" s="1"/>
  <c r="AP151" i="28"/>
  <c r="AB56" i="28"/>
  <c r="AH181" i="28"/>
  <c r="AH182" i="28" s="1"/>
  <c r="AH75" i="28"/>
  <c r="AH77" i="28" s="1"/>
  <c r="AK172" i="28"/>
  <c r="AK170" i="28"/>
  <c r="AK171" i="28"/>
  <c r="AK161" i="28"/>
  <c r="AH195" i="28"/>
  <c r="AH197" i="28" s="1"/>
  <c r="Z36" i="28"/>
  <c r="Z69" i="28"/>
  <c r="Z59" i="28"/>
  <c r="Z60" i="28"/>
  <c r="AI74" i="28"/>
  <c r="AI51" i="28"/>
  <c r="AJ173" i="28"/>
  <c r="AJ174" i="28" s="1"/>
  <c r="AL73" i="28"/>
  <c r="AM46" i="28"/>
  <c r="AO65" i="28"/>
  <c r="AO66" i="28" s="1"/>
  <c r="AO68" i="28" s="1"/>
  <c r="AP35" i="28"/>
  <c r="AI179" i="28" l="1"/>
  <c r="AI193" i="28" s="1"/>
  <c r="AI195" i="28" s="1"/>
  <c r="AI197" i="28" s="1"/>
  <c r="AD55" i="28"/>
  <c r="AE54" i="28" s="1"/>
  <c r="AK177" i="28"/>
  <c r="AK178" i="28" s="1"/>
  <c r="AK192" i="28" s="1"/>
  <c r="AK180" i="28"/>
  <c r="AK194" i="28" s="1"/>
  <c r="AC56" i="28"/>
  <c r="AP158" i="28"/>
  <c r="AP160" i="28" s="1"/>
  <c r="AQ151" i="28"/>
  <c r="AI75" i="28"/>
  <c r="AI77" i="28" s="1"/>
  <c r="AL170" i="28"/>
  <c r="AL161" i="28"/>
  <c r="AL171" i="28"/>
  <c r="AL172" i="28"/>
  <c r="AM73" i="28"/>
  <c r="AN46" i="28"/>
  <c r="AJ74" i="28"/>
  <c r="AJ51" i="28"/>
  <c r="AP65" i="28"/>
  <c r="AP66" i="28" s="1"/>
  <c r="AP68" i="28" s="1"/>
  <c r="AQ35" i="28"/>
  <c r="AN31" i="28"/>
  <c r="AM32" i="28"/>
  <c r="AM34" i="28" s="1"/>
  <c r="AN154" i="28"/>
  <c r="AO153" i="28"/>
  <c r="AB78" i="28"/>
  <c r="AB79" i="28" s="1"/>
  <c r="AB81" i="28" s="1"/>
  <c r="AB57" i="28"/>
  <c r="AJ191" i="28"/>
  <c r="AM157" i="28"/>
  <c r="AN150" i="28"/>
  <c r="AM155" i="28"/>
  <c r="AA69" i="28"/>
  <c r="AA36" i="28"/>
  <c r="AA60" i="28"/>
  <c r="AA59" i="28"/>
  <c r="AL49" i="28"/>
  <c r="AM48" i="28" s="1"/>
  <c r="AK173" i="28"/>
  <c r="AK174" i="28" s="1"/>
  <c r="AK50" i="28"/>
  <c r="Z61" i="28"/>
  <c r="Z37" i="28" s="1"/>
  <c r="Z38" i="28"/>
  <c r="AJ178" i="28"/>
  <c r="AJ192" i="28" s="1"/>
  <c r="Z39" i="28" l="1"/>
  <c r="Z89" i="28" s="1"/>
  <c r="AI181" i="28"/>
  <c r="AI182" i="28" s="1"/>
  <c r="AK179" i="28"/>
  <c r="AK193" i="28" s="1"/>
  <c r="AK191" i="28"/>
  <c r="AQ65" i="28"/>
  <c r="AQ66" i="28" s="1"/>
  <c r="AQ68" i="28" s="1"/>
  <c r="AR35" i="28"/>
  <c r="AN157" i="28"/>
  <c r="AO150" i="28"/>
  <c r="AN155" i="28"/>
  <c r="AJ75" i="28"/>
  <c r="AJ77" i="28" s="1"/>
  <c r="AR151" i="28"/>
  <c r="AQ158" i="28"/>
  <c r="AQ160" i="28" s="1"/>
  <c r="AE55" i="28"/>
  <c r="AF54" i="28" s="1"/>
  <c r="AB36" i="28"/>
  <c r="AB69" i="28"/>
  <c r="AB60" i="28"/>
  <c r="AB59" i="28"/>
  <c r="AM49" i="28"/>
  <c r="AN48" i="28" s="1"/>
  <c r="AO154" i="28"/>
  <c r="AP153" i="28"/>
  <c r="AM171" i="28"/>
  <c r="AM172" i="28"/>
  <c r="AM170" i="28"/>
  <c r="AM161" i="28"/>
  <c r="AL177" i="28"/>
  <c r="AL178" i="28" s="1"/>
  <c r="AL180" i="28"/>
  <c r="AL194" i="28" s="1"/>
  <c r="AD56" i="28"/>
  <c r="AA61" i="28"/>
  <c r="AA37" i="28" s="1"/>
  <c r="AA38" i="28"/>
  <c r="AK74" i="28"/>
  <c r="AK51" i="28"/>
  <c r="AL50" i="28"/>
  <c r="AJ179" i="28"/>
  <c r="AO31" i="28"/>
  <c r="AN32" i="28"/>
  <c r="AN34" i="28" s="1"/>
  <c r="AN73" i="28"/>
  <c r="AO46" i="28"/>
  <c r="AL173" i="28"/>
  <c r="AL174" i="28" s="1"/>
  <c r="AC78" i="28"/>
  <c r="AC79" i="28" s="1"/>
  <c r="AC81" i="28" s="1"/>
  <c r="AC57" i="28"/>
  <c r="AK181" i="28" l="1"/>
  <c r="AK182" i="28" s="1"/>
  <c r="AK195" i="28"/>
  <c r="AK197" i="28" s="1"/>
  <c r="AL192" i="28"/>
  <c r="AL179" i="28"/>
  <c r="AL193" i="28" s="1"/>
  <c r="AA39" i="28"/>
  <c r="AA89" i="28" s="1"/>
  <c r="AM173" i="28"/>
  <c r="AN49" i="28"/>
  <c r="AO48" i="28" s="1"/>
  <c r="AN161" i="28"/>
  <c r="AN170" i="28"/>
  <c r="AN171" i="28"/>
  <c r="AN172" i="28"/>
  <c r="AP154" i="28"/>
  <c r="AQ153" i="28"/>
  <c r="AD78" i="28"/>
  <c r="AD79" i="28" s="1"/>
  <c r="AD81" i="28" s="1"/>
  <c r="AD57" i="28"/>
  <c r="AJ193" i="28"/>
  <c r="AJ195" i="28" s="1"/>
  <c r="AJ197" i="28" s="1"/>
  <c r="AJ181" i="28"/>
  <c r="AJ182" i="28" s="1"/>
  <c r="AM50" i="28"/>
  <c r="AE56" i="28"/>
  <c r="AK75" i="28"/>
  <c r="AK77" i="28" s="1"/>
  <c r="AO155" i="28"/>
  <c r="AO157" i="28"/>
  <c r="AP150" i="28"/>
  <c r="AL74" i="28"/>
  <c r="AL51" i="28"/>
  <c r="AB61" i="28"/>
  <c r="AB37" i="28" s="1"/>
  <c r="AB38" i="28"/>
  <c r="AR65" i="28"/>
  <c r="AR66" i="28" s="1"/>
  <c r="AR68" i="28" s="1"/>
  <c r="AS35" i="28"/>
  <c r="AP31" i="28"/>
  <c r="AO32" i="28"/>
  <c r="AO34" i="28" s="1"/>
  <c r="AL181" i="28"/>
  <c r="AL182" i="28" s="1"/>
  <c r="AL191" i="28"/>
  <c r="AC69" i="28"/>
  <c r="AC36" i="28"/>
  <c r="AC59" i="28"/>
  <c r="AC60" i="28"/>
  <c r="AF55" i="28"/>
  <c r="AG54" i="28" s="1"/>
  <c r="AO73" i="28"/>
  <c r="AP46" i="28"/>
  <c r="AM177" i="28"/>
  <c r="AM178" i="28" s="1"/>
  <c r="AM192" i="28" s="1"/>
  <c r="AM174" i="28"/>
  <c r="AM180" i="28"/>
  <c r="AM194" i="28" s="1"/>
  <c r="AR158" i="28"/>
  <c r="AR160" i="28" s="1"/>
  <c r="AS151" i="28"/>
  <c r="AL195" i="28" l="1"/>
  <c r="AL197" i="28" s="1"/>
  <c r="AB39" i="28"/>
  <c r="AB89" i="28" s="1"/>
  <c r="AN173" i="28"/>
  <c r="AN174" i="28" s="1"/>
  <c r="AD69" i="28"/>
  <c r="AD36" i="28"/>
  <c r="AD59" i="28"/>
  <c r="AD60" i="28"/>
  <c r="AC61" i="28"/>
  <c r="AC37" i="28" s="1"/>
  <c r="AC38" i="28"/>
  <c r="AR153" i="28"/>
  <c r="AQ154" i="28"/>
  <c r="AN50" i="28"/>
  <c r="AG55" i="28"/>
  <c r="AH54" i="28" s="1"/>
  <c r="AO172" i="28"/>
  <c r="AO171" i="28"/>
  <c r="AO161" i="28"/>
  <c r="AO170" i="28"/>
  <c r="AO49" i="28"/>
  <c r="AP48" i="28" s="1"/>
  <c r="AM191" i="28"/>
  <c r="AP157" i="28"/>
  <c r="AP155" i="28"/>
  <c r="AQ150" i="28"/>
  <c r="AQ31" i="28"/>
  <c r="AP32" i="28"/>
  <c r="AP34" i="28" s="1"/>
  <c r="AS65" i="28"/>
  <c r="AS66" i="28" s="1"/>
  <c r="AS68" i="28" s="1"/>
  <c r="AT35" i="28"/>
  <c r="AL75" i="28"/>
  <c r="AL77" i="28" s="1"/>
  <c r="AE78" i="28"/>
  <c r="AE79" i="28" s="1"/>
  <c r="AE81" i="28" s="1"/>
  <c r="AE57" i="28"/>
  <c r="AN177" i="28"/>
  <c r="AN178" i="28" s="1"/>
  <c r="AN192" i="28" s="1"/>
  <c r="AN180" i="28"/>
  <c r="AN194" i="28" s="1"/>
  <c r="AF56" i="28"/>
  <c r="AM179" i="28"/>
  <c r="AM193" i="28" s="1"/>
  <c r="AS158" i="28"/>
  <c r="AS160" i="28" s="1"/>
  <c r="AT151" i="28"/>
  <c r="AP73" i="28"/>
  <c r="AQ46" i="28"/>
  <c r="AM74" i="28"/>
  <c r="AM51" i="28"/>
  <c r="AO173" i="28" l="1"/>
  <c r="AC39" i="28"/>
  <c r="AC89" i="28" s="1"/>
  <c r="AR154" i="28"/>
  <c r="AS153" i="28"/>
  <c r="AH55" i="28"/>
  <c r="AI54" i="28" s="1"/>
  <c r="AD61" i="28"/>
  <c r="AD37" i="28" s="1"/>
  <c r="AD38" i="28"/>
  <c r="AQ73" i="28"/>
  <c r="AR46" i="28"/>
  <c r="AR31" i="28"/>
  <c r="AQ32" i="28"/>
  <c r="AQ34" i="28" s="1"/>
  <c r="AP49" i="28"/>
  <c r="AQ48" i="28" s="1"/>
  <c r="AG56" i="28"/>
  <c r="AM75" i="28"/>
  <c r="AM77" i="28" s="1"/>
  <c r="AM195" i="28"/>
  <c r="AM197" i="28" s="1"/>
  <c r="AN191" i="28"/>
  <c r="AQ157" i="28"/>
  <c r="AR150" i="28"/>
  <c r="AQ155" i="28"/>
  <c r="AO50" i="28"/>
  <c r="AN74" i="28"/>
  <c r="AN51" i="28"/>
  <c r="AP170" i="28"/>
  <c r="AP172" i="28"/>
  <c r="AP171" i="28"/>
  <c r="AP161" i="28"/>
  <c r="AF78" i="28"/>
  <c r="AF79" i="28" s="1"/>
  <c r="AF81" i="28" s="1"/>
  <c r="AF57" i="28"/>
  <c r="AE69" i="28"/>
  <c r="AE36" i="28"/>
  <c r="AE59" i="28"/>
  <c r="AE60" i="28"/>
  <c r="AM181" i="28"/>
  <c r="AM182" i="28" s="1"/>
  <c r="AN179" i="28"/>
  <c r="AN193" i="28" s="1"/>
  <c r="AT158" i="28"/>
  <c r="AT160" i="28" s="1"/>
  <c r="AU151" i="28"/>
  <c r="AU158" i="28" s="1"/>
  <c r="AU160" i="28" s="1"/>
  <c r="AT65" i="28"/>
  <c r="AT66" i="28" s="1"/>
  <c r="AT68" i="28" s="1"/>
  <c r="AU35" i="28"/>
  <c r="AO174" i="28"/>
  <c r="AO177" i="28"/>
  <c r="AO178" i="28" s="1"/>
  <c r="AO192" i="28" s="1"/>
  <c r="AO180" i="28"/>
  <c r="AO194" i="28" s="1"/>
  <c r="AD39" i="28" l="1"/>
  <c r="AD89" i="28" s="1"/>
  <c r="AN195" i="28"/>
  <c r="AN197" i="28" s="1"/>
  <c r="AO179" i="28"/>
  <c r="AO193" i="28" s="1"/>
  <c r="AO191" i="28"/>
  <c r="AI55" i="28"/>
  <c r="AJ54" i="28" s="1"/>
  <c r="AS31" i="28"/>
  <c r="AR32" i="28"/>
  <c r="AR34" i="28" s="1"/>
  <c r="AE61" i="28"/>
  <c r="AE37" i="28" s="1"/>
  <c r="AE38" i="28"/>
  <c r="AQ172" i="28"/>
  <c r="AQ170" i="28"/>
  <c r="AQ161" i="28"/>
  <c r="AQ171" i="28"/>
  <c r="AG78" i="28"/>
  <c r="AG79" i="28" s="1"/>
  <c r="AG81" i="28" s="1"/>
  <c r="AG57" i="28"/>
  <c r="AN75" i="28"/>
  <c r="AN77" i="28" s="1"/>
  <c r="AH56" i="28"/>
  <c r="AO74" i="28"/>
  <c r="AO51" i="28"/>
  <c r="AU65" i="28"/>
  <c r="AU66" i="28" s="1"/>
  <c r="AU68" i="28" s="1"/>
  <c r="AR155" i="28"/>
  <c r="AS150" i="28"/>
  <c r="AR157" i="28"/>
  <c r="AP177" i="28"/>
  <c r="AP180" i="28"/>
  <c r="AP194" i="28" s="1"/>
  <c r="AQ49" i="28"/>
  <c r="AR48" i="28" s="1"/>
  <c r="AF69" i="28"/>
  <c r="AF36" i="28"/>
  <c r="AF60" i="28"/>
  <c r="AF59" i="28"/>
  <c r="AT153" i="28"/>
  <c r="AS154" i="28"/>
  <c r="AS46" i="28"/>
  <c r="AR73" i="28"/>
  <c r="AP173" i="28"/>
  <c r="AP174" i="28" s="1"/>
  <c r="AN181" i="28"/>
  <c r="AN182" i="28" s="1"/>
  <c r="AP50" i="28"/>
  <c r="AO181" i="28" l="1"/>
  <c r="AO182" i="28" s="1"/>
  <c r="AE39" i="28"/>
  <c r="AE89" i="28" s="1"/>
  <c r="AO195" i="28"/>
  <c r="AO197" i="28" s="1"/>
  <c r="AP191" i="28"/>
  <c r="AJ55" i="28"/>
  <c r="AK54" i="28" s="1"/>
  <c r="AO75" i="28"/>
  <c r="AO77" i="28" s="1"/>
  <c r="AS73" i="28"/>
  <c r="AT46" i="28"/>
  <c r="AH78" i="28"/>
  <c r="AH79" i="28" s="1"/>
  <c r="AH81" i="28" s="1"/>
  <c r="AH57" i="28"/>
  <c r="AI56" i="28"/>
  <c r="AS155" i="28"/>
  <c r="AT150" i="28"/>
  <c r="AS157" i="28"/>
  <c r="AT31" i="28"/>
  <c r="AS32" i="28"/>
  <c r="AS34" i="28" s="1"/>
  <c r="AR49" i="28"/>
  <c r="AS48" i="28" s="1"/>
  <c r="AQ50" i="28"/>
  <c r="AG69" i="28"/>
  <c r="AG36" i="28"/>
  <c r="AG60" i="28"/>
  <c r="AG59" i="28"/>
  <c r="AU153" i="28"/>
  <c r="AU154" i="28" s="1"/>
  <c r="AT154" i="28"/>
  <c r="AP178" i="28"/>
  <c r="AP192" i="28" s="1"/>
  <c r="AQ177" i="28"/>
  <c r="AQ178" i="28" s="1"/>
  <c r="AQ192" i="28" s="1"/>
  <c r="AQ180" i="28"/>
  <c r="AQ194" i="28" s="1"/>
  <c r="AR171" i="28"/>
  <c r="AR172" i="28"/>
  <c r="AR161" i="28"/>
  <c r="AR170" i="28"/>
  <c r="AP74" i="28"/>
  <c r="AP51" i="28"/>
  <c r="AF61" i="28"/>
  <c r="AF37" i="28" s="1"/>
  <c r="AF38" i="28"/>
  <c r="AQ173" i="28"/>
  <c r="AQ174" i="28" s="1"/>
  <c r="AF39" i="28" l="1"/>
  <c r="AF89" i="28" s="1"/>
  <c r="AQ179" i="28"/>
  <c r="AQ193" i="28" s="1"/>
  <c r="AS171" i="28"/>
  <c r="AS161" i="28"/>
  <c r="AS172" i="28"/>
  <c r="AS170" i="28"/>
  <c r="AU31" i="28"/>
  <c r="AT32" i="28"/>
  <c r="AT34" i="28" s="1"/>
  <c r="AK55" i="28"/>
  <c r="AL54" i="28" s="1"/>
  <c r="AP75" i="28"/>
  <c r="AP77" i="28" s="1"/>
  <c r="AI78" i="28"/>
  <c r="AI79" i="28" s="1"/>
  <c r="AI81" i="28" s="1"/>
  <c r="AI57" i="28"/>
  <c r="AJ56" i="28"/>
  <c r="AR50" i="28"/>
  <c r="AR177" i="28"/>
  <c r="AR178" i="28" s="1"/>
  <c r="AR192" i="28" s="1"/>
  <c r="AR180" i="28"/>
  <c r="AR194" i="28" s="1"/>
  <c r="AQ191" i="28"/>
  <c r="AS49" i="28"/>
  <c r="AT48" i="28" s="1"/>
  <c r="AT157" i="28"/>
  <c r="AU150" i="28"/>
  <c r="AT155" i="28"/>
  <c r="AG61" i="28"/>
  <c r="AG37" i="28" s="1"/>
  <c r="AG38" i="28"/>
  <c r="AH69" i="28"/>
  <c r="AH36" i="28"/>
  <c r="AH59" i="28"/>
  <c r="AH60" i="28"/>
  <c r="AR173" i="28"/>
  <c r="AR174" i="28" s="1"/>
  <c r="AQ74" i="28"/>
  <c r="AQ51" i="28"/>
  <c r="AP179" i="28"/>
  <c r="AP193" i="28" s="1"/>
  <c r="AP195" i="28" s="1"/>
  <c r="AP197" i="28" s="1"/>
  <c r="AT73" i="28"/>
  <c r="AU46" i="28"/>
  <c r="AS173" i="28" l="1"/>
  <c r="AQ195" i="28"/>
  <c r="AQ197" i="28" s="1"/>
  <c r="AQ181" i="28"/>
  <c r="AQ182" i="28" s="1"/>
  <c r="AG39" i="28"/>
  <c r="AG89" i="28" s="1"/>
  <c r="C89" i="28" s="1"/>
  <c r="AU155" i="28"/>
  <c r="AU157" i="28"/>
  <c r="AR191" i="28"/>
  <c r="AT172" i="28"/>
  <c r="AT171" i="28"/>
  <c r="AT161" i="28"/>
  <c r="AT170" i="28"/>
  <c r="AP181" i="28"/>
  <c r="AP182" i="28" s="1"/>
  <c r="AR74" i="28"/>
  <c r="AR51" i="28"/>
  <c r="AL55" i="28"/>
  <c r="AM54" i="28" s="1"/>
  <c r="AR179" i="28"/>
  <c r="AR193" i="28" s="1"/>
  <c r="AQ75" i="28"/>
  <c r="AQ77" i="28" s="1"/>
  <c r="AJ78" i="28"/>
  <c r="AJ79" i="28" s="1"/>
  <c r="AJ81" i="28" s="1"/>
  <c r="AJ57" i="28"/>
  <c r="AK56" i="28"/>
  <c r="AU32" i="28"/>
  <c r="AU34" i="28" s="1"/>
  <c r="AI36" i="28"/>
  <c r="AI69" i="28"/>
  <c r="AI60" i="28"/>
  <c r="AI59" i="28"/>
  <c r="AU73" i="28"/>
  <c r="AH61" i="28"/>
  <c r="AH37" i="28" s="1"/>
  <c r="AH38" i="28"/>
  <c r="AS174" i="28"/>
  <c r="AS177" i="28"/>
  <c r="AS178" i="28" s="1"/>
  <c r="AS192" i="28" s="1"/>
  <c r="AS180" i="28"/>
  <c r="AS194" i="28" s="1"/>
  <c r="AT49" i="28"/>
  <c r="AU48" i="28" s="1"/>
  <c r="AS50" i="28"/>
  <c r="AR195" i="28" l="1"/>
  <c r="AR197" i="28" s="1"/>
  <c r="AR181" i="28"/>
  <c r="AR182" i="28" s="1"/>
  <c r="AH39" i="28"/>
  <c r="AI61" i="28"/>
  <c r="AI37" i="28" s="1"/>
  <c r="AI38" i="28"/>
  <c r="AS179" i="28"/>
  <c r="AS193" i="28" s="1"/>
  <c r="AS191" i="28"/>
  <c r="AT177" i="28"/>
  <c r="AT180" i="28"/>
  <c r="AT194" i="28" s="1"/>
  <c r="AS74" i="28"/>
  <c r="AS51" i="28"/>
  <c r="AM55" i="28"/>
  <c r="AN54" i="28" s="1"/>
  <c r="AT50" i="28"/>
  <c r="AK78" i="28"/>
  <c r="AK79" i="28" s="1"/>
  <c r="AK81" i="28" s="1"/>
  <c r="AK57" i="28"/>
  <c r="AL56" i="28"/>
  <c r="AU171" i="28"/>
  <c r="AU170" i="28"/>
  <c r="AU161" i="28"/>
  <c r="AU172" i="28"/>
  <c r="AU49" i="28"/>
  <c r="AU50" i="28" s="1"/>
  <c r="AJ36" i="28"/>
  <c r="AJ69" i="28"/>
  <c r="AJ59" i="28"/>
  <c r="AJ60" i="28"/>
  <c r="AR75" i="28"/>
  <c r="AR77" i="28" s="1"/>
  <c r="AT173" i="28"/>
  <c r="AT174" i="28" s="1"/>
  <c r="AI39" i="28" l="1"/>
  <c r="AS195" i="28"/>
  <c r="AS197" i="28" s="1"/>
  <c r="AU74" i="28"/>
  <c r="AU51" i="28"/>
  <c r="AU177" i="28"/>
  <c r="AU178" i="28" s="1"/>
  <c r="AU192" i="28" s="1"/>
  <c r="AU180" i="28"/>
  <c r="AU194" i="28" s="1"/>
  <c r="AJ61" i="28"/>
  <c r="AJ37" i="28" s="1"/>
  <c r="BA37" i="28" s="1"/>
  <c r="AJ38" i="28"/>
  <c r="BA38" i="28" s="1"/>
  <c r="AN55" i="28"/>
  <c r="AO54" i="28" s="1"/>
  <c r="AU173" i="28"/>
  <c r="AU174" i="28" s="1"/>
  <c r="BA36" i="28"/>
  <c r="AS181" i="28"/>
  <c r="AS182" i="28" s="1"/>
  <c r="AT74" i="28"/>
  <c r="AT51" i="28"/>
  <c r="AT191" i="28"/>
  <c r="AS75" i="28"/>
  <c r="AS77" i="28" s="1"/>
  <c r="AL78" i="28"/>
  <c r="AL79" i="28" s="1"/>
  <c r="AL81" i="28" s="1"/>
  <c r="AL57" i="28"/>
  <c r="AM56" i="28"/>
  <c r="AK69" i="28"/>
  <c r="AK36" i="28"/>
  <c r="AK60" i="28"/>
  <c r="AK59" i="28"/>
  <c r="AT178" i="28"/>
  <c r="AU179" i="28" l="1"/>
  <c r="AU193" i="28" s="1"/>
  <c r="AU181" i="28"/>
  <c r="AU182" i="28" s="1"/>
  <c r="AU191" i="28"/>
  <c r="AU195" i="28" s="1"/>
  <c r="AU197" i="28" s="1"/>
  <c r="AL69" i="28"/>
  <c r="AL36" i="28"/>
  <c r="AL59" i="28"/>
  <c r="AL60" i="28"/>
  <c r="AO55" i="28"/>
  <c r="AP54" i="28" s="1"/>
  <c r="AM78" i="28"/>
  <c r="AM79" i="28" s="1"/>
  <c r="AM81" i="28" s="1"/>
  <c r="AM57" i="28"/>
  <c r="AN56" i="28"/>
  <c r="AT192" i="28"/>
  <c r="AT179" i="28"/>
  <c r="AT193" i="28" s="1"/>
  <c r="AJ39" i="28"/>
  <c r="AU75" i="28"/>
  <c r="AU77" i="28" s="1"/>
  <c r="AT75" i="28"/>
  <c r="AT77" i="28" s="1"/>
  <c r="AK61" i="28"/>
  <c r="AK37" i="28" s="1"/>
  <c r="AK38" i="28"/>
  <c r="AT195" i="28" l="1"/>
  <c r="AT197" i="28" s="1"/>
  <c r="AK39" i="28"/>
  <c r="AW44" i="28" s="1"/>
  <c r="AT181" i="28"/>
  <c r="AT182" i="28" s="1"/>
  <c r="AN78" i="28"/>
  <c r="AN79" i="28" s="1"/>
  <c r="AN81" i="28" s="1"/>
  <c r="AN57" i="28"/>
  <c r="AM69" i="28"/>
  <c r="AM36" i="28"/>
  <c r="AM59" i="28"/>
  <c r="AM60" i="28"/>
  <c r="BA39" i="28"/>
  <c r="AO56" i="28"/>
  <c r="AP55" i="28"/>
  <c r="AQ54" i="28" s="1"/>
  <c r="AL61" i="28"/>
  <c r="AL37" i="28" s="1"/>
  <c r="AL38" i="28"/>
  <c r="AX39" i="28" l="1"/>
  <c r="AL39" i="28"/>
  <c r="AP56" i="28"/>
  <c r="AQ55" i="28"/>
  <c r="AR54" i="28" s="1"/>
  <c r="AO78" i="28"/>
  <c r="AO79" i="28" s="1"/>
  <c r="AO81" i="28" s="1"/>
  <c r="AO57" i="28"/>
  <c r="AM61" i="28"/>
  <c r="AM37" i="28" s="1"/>
  <c r="AM38" i="28"/>
  <c r="AN69" i="28"/>
  <c r="AN36" i="28"/>
  <c r="AN59" i="28"/>
  <c r="AN60" i="28"/>
  <c r="AM39" i="28" l="1"/>
  <c r="AR55" i="28"/>
  <c r="AS54" i="28" s="1"/>
  <c r="AN61" i="28"/>
  <c r="AN37" i="28" s="1"/>
  <c r="AN38" i="28"/>
  <c r="AQ56" i="28"/>
  <c r="AO69" i="28"/>
  <c r="AO36" i="28"/>
  <c r="AO59" i="28"/>
  <c r="AO60" i="28"/>
  <c r="AP78" i="28"/>
  <c r="AP79" i="28" s="1"/>
  <c r="AP81" i="28" s="1"/>
  <c r="AP57" i="28"/>
  <c r="AN39" i="28" l="1"/>
  <c r="AO61" i="28"/>
  <c r="AO37" i="28" s="1"/>
  <c r="AO38" i="28"/>
  <c r="AP69" i="28"/>
  <c r="AP36" i="28"/>
  <c r="AP60" i="28"/>
  <c r="AP59" i="28"/>
  <c r="AS55" i="28"/>
  <c r="AT54" i="28" s="1"/>
  <c r="AQ78" i="28"/>
  <c r="AQ79" i="28" s="1"/>
  <c r="AQ81" i="28" s="1"/>
  <c r="AQ57" i="28"/>
  <c r="AR56" i="28"/>
  <c r="AO39" i="28" l="1"/>
  <c r="AS56" i="28"/>
  <c r="AS78" i="28" s="1"/>
  <c r="AS79" i="28" s="1"/>
  <c r="AS81" i="28" s="1"/>
  <c r="AQ69" i="28"/>
  <c r="AQ36" i="28"/>
  <c r="AQ59" i="28"/>
  <c r="AQ60" i="28"/>
  <c r="AR78" i="28"/>
  <c r="AR79" i="28" s="1"/>
  <c r="AR81" i="28" s="1"/>
  <c r="AR57" i="28"/>
  <c r="AP61" i="28"/>
  <c r="AP37" i="28" s="1"/>
  <c r="AP38" i="28"/>
  <c r="AT55" i="28"/>
  <c r="AU54" i="28" s="1"/>
  <c r="AP39" i="28" l="1"/>
  <c r="AS57" i="28"/>
  <c r="AS69" i="28" s="1"/>
  <c r="AQ61" i="28"/>
  <c r="AQ37" i="28" s="1"/>
  <c r="AQ38" i="28"/>
  <c r="AU55" i="28"/>
  <c r="AU56" i="28" s="1"/>
  <c r="AT56" i="28"/>
  <c r="AR36" i="28"/>
  <c r="AR69" i="28"/>
  <c r="AR60" i="28"/>
  <c r="AR59" i="28"/>
  <c r="AQ39" i="28" l="1"/>
  <c r="AS59" i="28"/>
  <c r="AS38" i="28" s="1"/>
  <c r="AS60" i="28"/>
  <c r="AS36" i="28"/>
  <c r="AV43" i="28"/>
  <c r="C43" i="28" s="1"/>
  <c r="AU78" i="28"/>
  <c r="AU79" i="28" s="1"/>
  <c r="AU81" i="28" s="1"/>
  <c r="AU57" i="28"/>
  <c r="AR61" i="28"/>
  <c r="AR37" i="28" s="1"/>
  <c r="AR38" i="28"/>
  <c r="AT78" i="28"/>
  <c r="AT79" i="28" s="1"/>
  <c r="AT81" i="28" s="1"/>
  <c r="AT57" i="28"/>
  <c r="AR39" i="28" l="1"/>
  <c r="AS61" i="28"/>
  <c r="AS37" i="28" s="1"/>
  <c r="AS39" i="28"/>
  <c r="N40" i="28"/>
  <c r="N41" i="28" s="1"/>
  <c r="AJ40" i="28"/>
  <c r="AJ41" i="28" s="1"/>
  <c r="G40" i="28"/>
  <c r="G41" i="28" s="1"/>
  <c r="L40" i="28"/>
  <c r="L41" i="28" s="1"/>
  <c r="H40" i="28"/>
  <c r="H41" i="28" s="1"/>
  <c r="AE40" i="28"/>
  <c r="AE41" i="28" s="1"/>
  <c r="AQ40" i="28"/>
  <c r="AQ41" i="28" s="1"/>
  <c r="AG40" i="28"/>
  <c r="AG41" i="28" s="1"/>
  <c r="AL40" i="28"/>
  <c r="AL41" i="28" s="1"/>
  <c r="Q40" i="28"/>
  <c r="Q41" i="28" s="1"/>
  <c r="J40" i="28"/>
  <c r="J41" i="28" s="1"/>
  <c r="O40" i="28"/>
  <c r="O41" i="28" s="1"/>
  <c r="V40" i="28"/>
  <c r="V41" i="28" s="1"/>
  <c r="W40" i="28"/>
  <c r="W41" i="28" s="1"/>
  <c r="F40" i="28"/>
  <c r="F41" i="28" s="1"/>
  <c r="AA40" i="28"/>
  <c r="AA41" i="28" s="1"/>
  <c r="AP40" i="28"/>
  <c r="AP41" i="28" s="1"/>
  <c r="L5" i="28"/>
  <c r="D11" i="1" s="1"/>
  <c r="AI40" i="28"/>
  <c r="AI41" i="28" s="1"/>
  <c r="AK40" i="28"/>
  <c r="AK41" i="28" s="1"/>
  <c r="I40" i="28"/>
  <c r="I41" i="28" s="1"/>
  <c r="M40" i="28"/>
  <c r="M41" i="28" s="1"/>
  <c r="X40" i="28"/>
  <c r="X41" i="28" s="1"/>
  <c r="AB40" i="28"/>
  <c r="AB41" i="28" s="1"/>
  <c r="T40" i="28"/>
  <c r="T41" i="28" s="1"/>
  <c r="S40" i="28"/>
  <c r="S41" i="28" s="1"/>
  <c r="D40" i="28"/>
  <c r="D41" i="28" s="1"/>
  <c r="Y40" i="28"/>
  <c r="Y41" i="28" s="1"/>
  <c r="AS40" i="28"/>
  <c r="AR40" i="28"/>
  <c r="AR41" i="28" s="1"/>
  <c r="AU40" i="28"/>
  <c r="R40" i="28"/>
  <c r="R41" i="28" s="1"/>
  <c r="AC40" i="28"/>
  <c r="AC41" i="28" s="1"/>
  <c r="AN40" i="28"/>
  <c r="AN41" i="28" s="1"/>
  <c r="U40" i="28"/>
  <c r="U41" i="28" s="1"/>
  <c r="AT40" i="28"/>
  <c r="K40" i="28"/>
  <c r="K41" i="28" s="1"/>
  <c r="AH40" i="28"/>
  <c r="AH41" i="28" s="1"/>
  <c r="AF40" i="28"/>
  <c r="AF41" i="28" s="1"/>
  <c r="AD40" i="28"/>
  <c r="AD41" i="28" s="1"/>
  <c r="AM40" i="28"/>
  <c r="AM41" i="28" s="1"/>
  <c r="P40" i="28"/>
  <c r="P41" i="28" s="1"/>
  <c r="E40" i="28"/>
  <c r="E41" i="28" s="1"/>
  <c r="AO40" i="28"/>
  <c r="AO41" i="28" s="1"/>
  <c r="Z40" i="28"/>
  <c r="Z41" i="28" s="1"/>
  <c r="AT69" i="28"/>
  <c r="AT36" i="28"/>
  <c r="AT60" i="28"/>
  <c r="AT59" i="28"/>
  <c r="AU69" i="28"/>
  <c r="AU36" i="28"/>
  <c r="AU59" i="28"/>
  <c r="AU60" i="28"/>
  <c r="AS41" i="28" l="1"/>
  <c r="F11" i="1"/>
  <c r="C42" i="28"/>
  <c r="AV41" i="28"/>
  <c r="AT61" i="28"/>
  <c r="AT37" i="28" s="1"/>
  <c r="AT38" i="28"/>
  <c r="AU61" i="28"/>
  <c r="AU37" i="28" s="1"/>
  <c r="AU38" i="28"/>
  <c r="AT39" i="28" l="1"/>
  <c r="AT41" i="28" s="1"/>
  <c r="AU39" i="28"/>
  <c r="AU41" i="28" s="1"/>
  <c r="C215" i="22" l="1"/>
  <c r="X213" i="22"/>
  <c r="W213" i="22"/>
  <c r="V213" i="22"/>
  <c r="U213" i="22"/>
  <c r="T213" i="22"/>
  <c r="S213" i="22"/>
  <c r="R213" i="22"/>
  <c r="Q213" i="22"/>
  <c r="P213" i="22"/>
  <c r="O213" i="22"/>
  <c r="N213" i="22"/>
  <c r="M213" i="22"/>
  <c r="L213" i="22"/>
  <c r="K213" i="22"/>
  <c r="J213" i="22"/>
  <c r="I213" i="22"/>
  <c r="H213" i="22"/>
  <c r="G213" i="22"/>
  <c r="F213" i="22"/>
  <c r="E213" i="22"/>
  <c r="D213" i="22"/>
  <c r="X212" i="22"/>
  <c r="W212" i="22"/>
  <c r="V212" i="22"/>
  <c r="U212" i="22"/>
  <c r="U214" i="22" s="1"/>
  <c r="T212" i="22"/>
  <c r="T214" i="22" s="1"/>
  <c r="S212" i="22"/>
  <c r="R212" i="22"/>
  <c r="Q212" i="22"/>
  <c r="P212" i="22"/>
  <c r="O212" i="22"/>
  <c r="N212" i="22"/>
  <c r="M212" i="22"/>
  <c r="M214" i="22" s="1"/>
  <c r="M215" i="22" s="1"/>
  <c r="L212" i="22"/>
  <c r="L214" i="22" s="1"/>
  <c r="K212" i="22"/>
  <c r="J212" i="22"/>
  <c r="I212" i="22"/>
  <c r="H212" i="22"/>
  <c r="G212" i="22"/>
  <c r="F212" i="22"/>
  <c r="E212" i="22"/>
  <c r="E214" i="22" s="1"/>
  <c r="D212" i="22"/>
  <c r="D214" i="22" s="1"/>
  <c r="E210" i="22"/>
  <c r="F210" i="22" s="1"/>
  <c r="G210" i="22" s="1"/>
  <c r="H210" i="22" s="1"/>
  <c r="I210" i="22" s="1"/>
  <c r="J210" i="22" s="1"/>
  <c r="K210" i="22" s="1"/>
  <c r="L210" i="22" s="1"/>
  <c r="M210" i="22" s="1"/>
  <c r="N210" i="22" s="1"/>
  <c r="O210" i="22" s="1"/>
  <c r="P210" i="22" s="1"/>
  <c r="Q210" i="22" s="1"/>
  <c r="R210" i="22" s="1"/>
  <c r="S210" i="22" s="1"/>
  <c r="T210" i="22" s="1"/>
  <c r="U210" i="22" s="1"/>
  <c r="V210" i="22" s="1"/>
  <c r="W210" i="22" s="1"/>
  <c r="X210" i="22" s="1"/>
  <c r="Y210" i="22" s="1"/>
  <c r="Z210" i="22" s="1"/>
  <c r="AA210" i="22" s="1"/>
  <c r="AB210" i="22" s="1"/>
  <c r="AC210" i="22" s="1"/>
  <c r="AD210" i="22" s="1"/>
  <c r="AE210" i="22" s="1"/>
  <c r="AF210" i="22" s="1"/>
  <c r="AG210" i="22" s="1"/>
  <c r="AH210" i="22" s="1"/>
  <c r="AI210" i="22" s="1"/>
  <c r="AJ210" i="22" s="1"/>
  <c r="AK210" i="22" s="1"/>
  <c r="AL210" i="22" s="1"/>
  <c r="AM210" i="22" s="1"/>
  <c r="AN210" i="22" s="1"/>
  <c r="AO210" i="22" s="1"/>
  <c r="AP210" i="22" s="1"/>
  <c r="AQ210" i="22" s="1"/>
  <c r="AR210" i="22" s="1"/>
  <c r="AS210" i="22" s="1"/>
  <c r="AT210" i="22" s="1"/>
  <c r="AU210" i="22" s="1"/>
  <c r="B194" i="22"/>
  <c r="B193" i="22"/>
  <c r="B192" i="22"/>
  <c r="B191" i="22"/>
  <c r="E188" i="22"/>
  <c r="F188" i="22" s="1"/>
  <c r="G188" i="22" s="1"/>
  <c r="H188" i="22" s="1"/>
  <c r="I188" i="22" s="1"/>
  <c r="J188" i="22" s="1"/>
  <c r="K188" i="22" s="1"/>
  <c r="L188" i="22" s="1"/>
  <c r="M188" i="22" s="1"/>
  <c r="N188" i="22" s="1"/>
  <c r="O188" i="22" s="1"/>
  <c r="P188" i="22" s="1"/>
  <c r="Q188" i="22" s="1"/>
  <c r="R188" i="22" s="1"/>
  <c r="S188" i="22" s="1"/>
  <c r="T188" i="22" s="1"/>
  <c r="U188" i="22" s="1"/>
  <c r="V188" i="22" s="1"/>
  <c r="W188" i="22" s="1"/>
  <c r="X188" i="22" s="1"/>
  <c r="Y188" i="22" s="1"/>
  <c r="Z188" i="22" s="1"/>
  <c r="AA188" i="22" s="1"/>
  <c r="AB188" i="22" s="1"/>
  <c r="AC188" i="22" s="1"/>
  <c r="AD188" i="22" s="1"/>
  <c r="AE188" i="22" s="1"/>
  <c r="AF188" i="22" s="1"/>
  <c r="AG188" i="22" s="1"/>
  <c r="AH188" i="22" s="1"/>
  <c r="AI188" i="22" s="1"/>
  <c r="AJ188" i="22" s="1"/>
  <c r="AK188" i="22" s="1"/>
  <c r="AL188" i="22" s="1"/>
  <c r="AM188" i="22" s="1"/>
  <c r="AN188" i="22" s="1"/>
  <c r="AO188" i="22" s="1"/>
  <c r="AP188" i="22" s="1"/>
  <c r="AQ188" i="22" s="1"/>
  <c r="AR188" i="22" s="1"/>
  <c r="AS188" i="22" s="1"/>
  <c r="AT188" i="22" s="1"/>
  <c r="AU188" i="22" s="1"/>
  <c r="E187" i="22"/>
  <c r="F187" i="22" s="1"/>
  <c r="G187" i="22" s="1"/>
  <c r="H187" i="22" s="1"/>
  <c r="I187" i="22" s="1"/>
  <c r="J187" i="22" s="1"/>
  <c r="K187" i="22" s="1"/>
  <c r="L187" i="22" s="1"/>
  <c r="M187" i="22" s="1"/>
  <c r="N187" i="22" s="1"/>
  <c r="O187" i="22" s="1"/>
  <c r="P187" i="22" s="1"/>
  <c r="Q187" i="22" s="1"/>
  <c r="R187" i="22" s="1"/>
  <c r="S187" i="22" s="1"/>
  <c r="T187" i="22" s="1"/>
  <c r="U187" i="22" s="1"/>
  <c r="V187" i="22" s="1"/>
  <c r="W187" i="22" s="1"/>
  <c r="X187" i="22" s="1"/>
  <c r="Y187" i="22" s="1"/>
  <c r="Z187" i="22" s="1"/>
  <c r="AA187" i="22" s="1"/>
  <c r="AB187" i="22" s="1"/>
  <c r="AC187" i="22" s="1"/>
  <c r="AD187" i="22" s="1"/>
  <c r="AE187" i="22" s="1"/>
  <c r="AF187" i="22" s="1"/>
  <c r="AG187" i="22" s="1"/>
  <c r="AH187" i="22" s="1"/>
  <c r="AI187" i="22" s="1"/>
  <c r="AJ187" i="22" s="1"/>
  <c r="AK187" i="22" s="1"/>
  <c r="AL187" i="22" s="1"/>
  <c r="AM187" i="22" s="1"/>
  <c r="AN187" i="22" s="1"/>
  <c r="AO187" i="22" s="1"/>
  <c r="AP187" i="22" s="1"/>
  <c r="AQ187" i="22" s="1"/>
  <c r="AR187" i="22" s="1"/>
  <c r="AS187" i="22" s="1"/>
  <c r="AT187" i="22" s="1"/>
  <c r="AU187" i="22" s="1"/>
  <c r="E186" i="22"/>
  <c r="F186" i="22" s="1"/>
  <c r="G186" i="22" s="1"/>
  <c r="H186" i="22" s="1"/>
  <c r="I186" i="22" s="1"/>
  <c r="J186" i="22" s="1"/>
  <c r="K186" i="22" s="1"/>
  <c r="L186" i="22" s="1"/>
  <c r="M186" i="22" s="1"/>
  <c r="N186" i="22" s="1"/>
  <c r="O186" i="22" s="1"/>
  <c r="P186" i="22" s="1"/>
  <c r="Q186" i="22" s="1"/>
  <c r="R186" i="22" s="1"/>
  <c r="S186" i="22" s="1"/>
  <c r="T186" i="22" s="1"/>
  <c r="U186" i="22" s="1"/>
  <c r="V186" i="22" s="1"/>
  <c r="W186" i="22" s="1"/>
  <c r="X186" i="22" s="1"/>
  <c r="Y186" i="22" s="1"/>
  <c r="Z186" i="22" s="1"/>
  <c r="AA186" i="22" s="1"/>
  <c r="AB186" i="22" s="1"/>
  <c r="AC186" i="22" s="1"/>
  <c r="AD186" i="22" s="1"/>
  <c r="AE186" i="22" s="1"/>
  <c r="AF186" i="22" s="1"/>
  <c r="AG186" i="22" s="1"/>
  <c r="AH186" i="22" s="1"/>
  <c r="AI186" i="22" s="1"/>
  <c r="AJ186" i="22" s="1"/>
  <c r="AK186" i="22" s="1"/>
  <c r="AL186" i="22" s="1"/>
  <c r="AM186" i="22" s="1"/>
  <c r="AN186" i="22" s="1"/>
  <c r="AO186" i="22" s="1"/>
  <c r="AP186" i="22" s="1"/>
  <c r="AQ186" i="22" s="1"/>
  <c r="AR186" i="22" s="1"/>
  <c r="AS186" i="22" s="1"/>
  <c r="AT186" i="22" s="1"/>
  <c r="AU186" i="22" s="1"/>
  <c r="E185" i="22"/>
  <c r="F185" i="22" s="1"/>
  <c r="G185" i="22" s="1"/>
  <c r="H185" i="22" s="1"/>
  <c r="I185" i="22" s="1"/>
  <c r="J185" i="22" s="1"/>
  <c r="K185" i="22" s="1"/>
  <c r="L185" i="22" s="1"/>
  <c r="M185" i="22" s="1"/>
  <c r="N185" i="22" s="1"/>
  <c r="O185" i="22" s="1"/>
  <c r="P185" i="22" s="1"/>
  <c r="Q185" i="22" s="1"/>
  <c r="R185" i="22" s="1"/>
  <c r="S185" i="22" s="1"/>
  <c r="T185" i="22" s="1"/>
  <c r="U185" i="22" s="1"/>
  <c r="V185" i="22" s="1"/>
  <c r="W185" i="22" s="1"/>
  <c r="X185" i="22" s="1"/>
  <c r="Y185" i="22" s="1"/>
  <c r="Z185" i="22" s="1"/>
  <c r="AA185" i="22" s="1"/>
  <c r="AB185" i="22" s="1"/>
  <c r="AC185" i="22" s="1"/>
  <c r="AD185" i="22" s="1"/>
  <c r="AE185" i="22" s="1"/>
  <c r="AF185" i="22" s="1"/>
  <c r="AG185" i="22" s="1"/>
  <c r="AH185" i="22" s="1"/>
  <c r="AI185" i="22" s="1"/>
  <c r="AJ185" i="22" s="1"/>
  <c r="AK185" i="22" s="1"/>
  <c r="AL185" i="22" s="1"/>
  <c r="AM185" i="22" s="1"/>
  <c r="AN185" i="22" s="1"/>
  <c r="AO185" i="22" s="1"/>
  <c r="AP185" i="22" s="1"/>
  <c r="AQ185" i="22" s="1"/>
  <c r="AR185" i="22" s="1"/>
  <c r="AS185" i="22" s="1"/>
  <c r="AT185" i="22" s="1"/>
  <c r="AU185" i="22" s="1"/>
  <c r="E167" i="22"/>
  <c r="F167" i="22" s="1"/>
  <c r="G167" i="22" s="1"/>
  <c r="H167" i="22" s="1"/>
  <c r="I167" i="22" s="1"/>
  <c r="J167" i="22" s="1"/>
  <c r="K167" i="22" s="1"/>
  <c r="L167" i="22" s="1"/>
  <c r="M167" i="22" s="1"/>
  <c r="N167" i="22" s="1"/>
  <c r="O167" i="22" s="1"/>
  <c r="P167" i="22" s="1"/>
  <c r="Q167" i="22" s="1"/>
  <c r="R167" i="22" s="1"/>
  <c r="S167" i="22" s="1"/>
  <c r="T167" i="22" s="1"/>
  <c r="U167" i="22" s="1"/>
  <c r="V167" i="22" s="1"/>
  <c r="W167" i="22" s="1"/>
  <c r="X167" i="22" s="1"/>
  <c r="Y167" i="22" s="1"/>
  <c r="Z167" i="22" s="1"/>
  <c r="AA167" i="22" s="1"/>
  <c r="AB167" i="22" s="1"/>
  <c r="AC167" i="22" s="1"/>
  <c r="AD167" i="22" s="1"/>
  <c r="AE167" i="22" s="1"/>
  <c r="AF167" i="22" s="1"/>
  <c r="AG167" i="22" s="1"/>
  <c r="AH167" i="22" s="1"/>
  <c r="AI167" i="22" s="1"/>
  <c r="AJ167" i="22" s="1"/>
  <c r="AK167" i="22" s="1"/>
  <c r="AL167" i="22" s="1"/>
  <c r="AM167" i="22" s="1"/>
  <c r="AN167" i="22" s="1"/>
  <c r="AO167" i="22" s="1"/>
  <c r="AP167" i="22" s="1"/>
  <c r="AQ167" i="22" s="1"/>
  <c r="AR167" i="22" s="1"/>
  <c r="AS167" i="22" s="1"/>
  <c r="AT167" i="22" s="1"/>
  <c r="AU167" i="22" s="1"/>
  <c r="E166" i="22"/>
  <c r="E165" i="22"/>
  <c r="F165" i="22" s="1"/>
  <c r="E164" i="22"/>
  <c r="F164" i="22" s="1"/>
  <c r="G164" i="22" s="1"/>
  <c r="H164" i="22" s="1"/>
  <c r="I164" i="22" s="1"/>
  <c r="J164" i="22" s="1"/>
  <c r="K164" i="22" s="1"/>
  <c r="L164" i="22" s="1"/>
  <c r="M164" i="22" s="1"/>
  <c r="N164" i="22" s="1"/>
  <c r="O164" i="22" s="1"/>
  <c r="P164" i="22" s="1"/>
  <c r="Q164" i="22" s="1"/>
  <c r="R164" i="22" s="1"/>
  <c r="S164" i="22" s="1"/>
  <c r="T164" i="22" s="1"/>
  <c r="U164" i="22" s="1"/>
  <c r="V164" i="22" s="1"/>
  <c r="W164" i="22" s="1"/>
  <c r="X164" i="22" s="1"/>
  <c r="Y164" i="22" s="1"/>
  <c r="Z164" i="22" s="1"/>
  <c r="AA164" i="22" s="1"/>
  <c r="AB164" i="22" s="1"/>
  <c r="AC164" i="22" s="1"/>
  <c r="AD164" i="22" s="1"/>
  <c r="AE164" i="22" s="1"/>
  <c r="AF164" i="22" s="1"/>
  <c r="AG164" i="22" s="1"/>
  <c r="AH164" i="22" s="1"/>
  <c r="AI164" i="22" s="1"/>
  <c r="AJ164" i="22" s="1"/>
  <c r="AK164" i="22" s="1"/>
  <c r="AL164" i="22" s="1"/>
  <c r="AM164" i="22" s="1"/>
  <c r="AN164" i="22" s="1"/>
  <c r="AO164" i="22" s="1"/>
  <c r="AP164" i="22" s="1"/>
  <c r="AQ164" i="22" s="1"/>
  <c r="AR164" i="22" s="1"/>
  <c r="AS164" i="22" s="1"/>
  <c r="AT164" i="22" s="1"/>
  <c r="AU164" i="22" s="1"/>
  <c r="AV158" i="22"/>
  <c r="AV172" i="22" s="1"/>
  <c r="AV173" i="22" s="1"/>
  <c r="F158" i="22"/>
  <c r="F160" i="22" s="1"/>
  <c r="E158" i="22"/>
  <c r="E160" i="22" s="1"/>
  <c r="D158" i="22"/>
  <c r="D160" i="22" s="1"/>
  <c r="D154" i="22"/>
  <c r="E153" i="22"/>
  <c r="G151" i="22"/>
  <c r="H151" i="22" s="1"/>
  <c r="D150" i="22"/>
  <c r="D157" i="22" s="1"/>
  <c r="D170" i="22" s="1"/>
  <c r="E148" i="22"/>
  <c r="F148" i="22" s="1"/>
  <c r="G148" i="22" s="1"/>
  <c r="H148" i="22" s="1"/>
  <c r="I148" i="22" s="1"/>
  <c r="J148" i="22" s="1"/>
  <c r="K148" i="22" s="1"/>
  <c r="L148" i="22" s="1"/>
  <c r="M148" i="22" s="1"/>
  <c r="N148" i="22" s="1"/>
  <c r="O148" i="22" s="1"/>
  <c r="P148" i="22" s="1"/>
  <c r="Q148" i="22" s="1"/>
  <c r="R148" i="22" s="1"/>
  <c r="S148" i="22" s="1"/>
  <c r="T148" i="22" s="1"/>
  <c r="U148" i="22" s="1"/>
  <c r="V148" i="22" s="1"/>
  <c r="W148" i="22" s="1"/>
  <c r="X148" i="22" s="1"/>
  <c r="Y148" i="22" s="1"/>
  <c r="Z148" i="22" s="1"/>
  <c r="AA148" i="22" s="1"/>
  <c r="AB148" i="22" s="1"/>
  <c r="AC148" i="22" s="1"/>
  <c r="AD148" i="22" s="1"/>
  <c r="AE148" i="22" s="1"/>
  <c r="AF148" i="22" s="1"/>
  <c r="AG148" i="22" s="1"/>
  <c r="AH148" i="22" s="1"/>
  <c r="AI148" i="22" s="1"/>
  <c r="AJ148" i="22" s="1"/>
  <c r="AK148" i="22" s="1"/>
  <c r="AL148" i="22" s="1"/>
  <c r="AM148" i="22" s="1"/>
  <c r="AN148" i="22" s="1"/>
  <c r="AO148" i="22" s="1"/>
  <c r="AP148" i="22" s="1"/>
  <c r="AQ148" i="22" s="1"/>
  <c r="AR148" i="22" s="1"/>
  <c r="AS148" i="22" s="1"/>
  <c r="AT148" i="22" s="1"/>
  <c r="AU148" i="22" s="1"/>
  <c r="I135" i="22"/>
  <c r="H135" i="22"/>
  <c r="G135" i="22"/>
  <c r="F135" i="22"/>
  <c r="E135" i="22"/>
  <c r="D135" i="22"/>
  <c r="K134" i="22"/>
  <c r="L134" i="22" s="1"/>
  <c r="J134" i="22"/>
  <c r="K133" i="22"/>
  <c r="L133" i="22" s="1"/>
  <c r="AJ63" i="22" s="1"/>
  <c r="J133" i="22"/>
  <c r="K132" i="22"/>
  <c r="L132" i="22" s="1"/>
  <c r="AI63" i="22" s="1"/>
  <c r="J132" i="22"/>
  <c r="K131" i="22"/>
  <c r="L131" i="22" s="1"/>
  <c r="AH63" i="22" s="1"/>
  <c r="J131" i="22"/>
  <c r="K130" i="22"/>
  <c r="L130" i="22" s="1"/>
  <c r="AG63" i="22" s="1"/>
  <c r="J130" i="22"/>
  <c r="K129" i="22"/>
  <c r="L129" i="22" s="1"/>
  <c r="AF63" i="22" s="1"/>
  <c r="J129" i="22"/>
  <c r="K128" i="22"/>
  <c r="L128" i="22" s="1"/>
  <c r="J128" i="22"/>
  <c r="K127" i="22"/>
  <c r="L127" i="22" s="1"/>
  <c r="J127" i="22"/>
  <c r="K126" i="22"/>
  <c r="L126" i="22" s="1"/>
  <c r="AC63" i="22" s="1"/>
  <c r="J126" i="22"/>
  <c r="K125" i="22"/>
  <c r="L125" i="22" s="1"/>
  <c r="AB63" i="22" s="1"/>
  <c r="J125" i="22"/>
  <c r="K124" i="22"/>
  <c r="L124" i="22" s="1"/>
  <c r="AA63" i="22" s="1"/>
  <c r="J124" i="22"/>
  <c r="K123" i="22"/>
  <c r="L123" i="22" s="1"/>
  <c r="Z63" i="22" s="1"/>
  <c r="J123" i="22"/>
  <c r="K122" i="22"/>
  <c r="L122" i="22" s="1"/>
  <c r="Y63" i="22" s="1"/>
  <c r="J122" i="22"/>
  <c r="K121" i="22"/>
  <c r="L121" i="22" s="1"/>
  <c r="X63" i="22" s="1"/>
  <c r="J121" i="22"/>
  <c r="K120" i="22"/>
  <c r="L120" i="22" s="1"/>
  <c r="W63" i="22" s="1"/>
  <c r="J120" i="22"/>
  <c r="K119" i="22"/>
  <c r="L119" i="22" s="1"/>
  <c r="V63" i="22" s="1"/>
  <c r="J119" i="22"/>
  <c r="K118" i="22"/>
  <c r="L118" i="22" s="1"/>
  <c r="U63" i="22" s="1"/>
  <c r="J118" i="22"/>
  <c r="K117" i="22"/>
  <c r="L117" i="22" s="1"/>
  <c r="T63" i="22" s="1"/>
  <c r="J117" i="22"/>
  <c r="K116" i="22"/>
  <c r="L116" i="22" s="1"/>
  <c r="S63" i="22" s="1"/>
  <c r="J116" i="22"/>
  <c r="K115" i="22"/>
  <c r="L115" i="22" s="1"/>
  <c r="R63" i="22" s="1"/>
  <c r="J115" i="22"/>
  <c r="K114" i="22"/>
  <c r="L114" i="22" s="1"/>
  <c r="Q63" i="22" s="1"/>
  <c r="J114" i="22"/>
  <c r="K113" i="22"/>
  <c r="L113" i="22" s="1"/>
  <c r="P63" i="22" s="1"/>
  <c r="J113" i="22"/>
  <c r="K112" i="22"/>
  <c r="L112" i="22" s="1"/>
  <c r="O63" i="22" s="1"/>
  <c r="J112" i="22"/>
  <c r="K111" i="22"/>
  <c r="L111" i="22" s="1"/>
  <c r="N63" i="22" s="1"/>
  <c r="J111" i="22"/>
  <c r="K110" i="22"/>
  <c r="L110" i="22" s="1"/>
  <c r="M63" i="22" s="1"/>
  <c r="J110" i="22"/>
  <c r="K109" i="22"/>
  <c r="L109" i="22" s="1"/>
  <c r="L63" i="22" s="1"/>
  <c r="J109" i="22"/>
  <c r="K108" i="22"/>
  <c r="L108" i="22" s="1"/>
  <c r="K63" i="22" s="1"/>
  <c r="J108" i="22"/>
  <c r="K107" i="22"/>
  <c r="L107" i="22" s="1"/>
  <c r="J63" i="22" s="1"/>
  <c r="J107" i="22"/>
  <c r="K106" i="22"/>
  <c r="L106" i="22" s="1"/>
  <c r="I63" i="22" s="1"/>
  <c r="J106" i="22"/>
  <c r="K105" i="22"/>
  <c r="L105" i="22" s="1"/>
  <c r="H63" i="22" s="1"/>
  <c r="J105" i="22"/>
  <c r="K104" i="22"/>
  <c r="L104" i="22" s="1"/>
  <c r="G63" i="22" s="1"/>
  <c r="J104" i="22"/>
  <c r="K103" i="22"/>
  <c r="L103" i="22" s="1"/>
  <c r="F63" i="22" s="1"/>
  <c r="J103" i="22"/>
  <c r="K102" i="22"/>
  <c r="L102" i="22" s="1"/>
  <c r="E63" i="22" s="1"/>
  <c r="J102" i="22"/>
  <c r="B102" i="22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K101" i="22"/>
  <c r="J101" i="22"/>
  <c r="K99" i="22"/>
  <c r="D94" i="22"/>
  <c r="H87" i="22"/>
  <c r="G87" i="22"/>
  <c r="F87" i="22"/>
  <c r="E87" i="22"/>
  <c r="D87" i="22"/>
  <c r="E84" i="22"/>
  <c r="F84" i="22" s="1"/>
  <c r="G84" i="22" s="1"/>
  <c r="H84" i="22" s="1"/>
  <c r="I84" i="22" s="1"/>
  <c r="J84" i="22" s="1"/>
  <c r="K84" i="22" s="1"/>
  <c r="L84" i="22" s="1"/>
  <c r="M84" i="22" s="1"/>
  <c r="N84" i="22" s="1"/>
  <c r="O84" i="22" s="1"/>
  <c r="P84" i="22" s="1"/>
  <c r="Q84" i="22" s="1"/>
  <c r="R84" i="22" s="1"/>
  <c r="S84" i="22" s="1"/>
  <c r="T84" i="22" s="1"/>
  <c r="U84" i="22" s="1"/>
  <c r="V84" i="22" s="1"/>
  <c r="W84" i="22" s="1"/>
  <c r="X84" i="22" s="1"/>
  <c r="Y84" i="22" s="1"/>
  <c r="Z84" i="22" s="1"/>
  <c r="AA84" i="22" s="1"/>
  <c r="AB84" i="22" s="1"/>
  <c r="AC84" i="22" s="1"/>
  <c r="AD84" i="22" s="1"/>
  <c r="AE84" i="22" s="1"/>
  <c r="AF84" i="22" s="1"/>
  <c r="AG84" i="22" s="1"/>
  <c r="B83" i="22"/>
  <c r="D80" i="22"/>
  <c r="E80" i="22" s="1"/>
  <c r="F80" i="22" s="1"/>
  <c r="G80" i="22" s="1"/>
  <c r="H80" i="22" s="1"/>
  <c r="I80" i="22" s="1"/>
  <c r="J80" i="22" s="1"/>
  <c r="K80" i="22" s="1"/>
  <c r="L80" i="22" s="1"/>
  <c r="M80" i="22" s="1"/>
  <c r="N80" i="22" s="1"/>
  <c r="O80" i="22" s="1"/>
  <c r="P80" i="22" s="1"/>
  <c r="Q80" i="22" s="1"/>
  <c r="R80" i="22" s="1"/>
  <c r="S80" i="22" s="1"/>
  <c r="T80" i="22" s="1"/>
  <c r="U80" i="22" s="1"/>
  <c r="V80" i="22" s="1"/>
  <c r="W80" i="22" s="1"/>
  <c r="X80" i="22" s="1"/>
  <c r="Y80" i="22" s="1"/>
  <c r="Z80" i="22" s="1"/>
  <c r="AA80" i="22" s="1"/>
  <c r="AB80" i="22" s="1"/>
  <c r="AC80" i="22" s="1"/>
  <c r="AD80" i="22" s="1"/>
  <c r="AE80" i="22" s="1"/>
  <c r="AF80" i="22" s="1"/>
  <c r="AG80" i="22" s="1"/>
  <c r="AH80" i="22" s="1"/>
  <c r="AI80" i="22" s="1"/>
  <c r="AJ80" i="22" s="1"/>
  <c r="AK80" i="22" s="1"/>
  <c r="AL80" i="22" s="1"/>
  <c r="AM80" i="22" s="1"/>
  <c r="AN80" i="22" s="1"/>
  <c r="AO80" i="22" s="1"/>
  <c r="AP80" i="22" s="1"/>
  <c r="AQ80" i="22" s="1"/>
  <c r="AR80" i="22" s="1"/>
  <c r="AS80" i="22" s="1"/>
  <c r="AT80" i="22" s="1"/>
  <c r="AU80" i="22" s="1"/>
  <c r="AU76" i="22"/>
  <c r="AT76" i="22"/>
  <c r="AS76" i="22"/>
  <c r="AR76" i="22"/>
  <c r="AQ76" i="22"/>
  <c r="AP76" i="22"/>
  <c r="AO76" i="22"/>
  <c r="AN76" i="22"/>
  <c r="AM76" i="22"/>
  <c r="AL76" i="22"/>
  <c r="AK76" i="22"/>
  <c r="AJ76" i="22"/>
  <c r="AI76" i="22"/>
  <c r="AH76" i="22"/>
  <c r="E71" i="22"/>
  <c r="F71" i="22" s="1"/>
  <c r="G71" i="22" s="1"/>
  <c r="H71" i="22" s="1"/>
  <c r="I71" i="22" s="1"/>
  <c r="J71" i="22" s="1"/>
  <c r="K71" i="22" s="1"/>
  <c r="L71" i="22" s="1"/>
  <c r="M71" i="22" s="1"/>
  <c r="N71" i="22" s="1"/>
  <c r="O71" i="22" s="1"/>
  <c r="P71" i="22" s="1"/>
  <c r="Q71" i="22" s="1"/>
  <c r="R71" i="22" s="1"/>
  <c r="S71" i="22" s="1"/>
  <c r="T71" i="22" s="1"/>
  <c r="U71" i="22" s="1"/>
  <c r="V71" i="22" s="1"/>
  <c r="W71" i="22" s="1"/>
  <c r="X71" i="22" s="1"/>
  <c r="Y71" i="22" s="1"/>
  <c r="Z71" i="22" s="1"/>
  <c r="AA71" i="22" s="1"/>
  <c r="AB71" i="22" s="1"/>
  <c r="AC71" i="22" s="1"/>
  <c r="AD71" i="22" s="1"/>
  <c r="AE71" i="22" s="1"/>
  <c r="AF71" i="22" s="1"/>
  <c r="AG71" i="22" s="1"/>
  <c r="AH71" i="22" s="1"/>
  <c r="AI71" i="22" s="1"/>
  <c r="AJ71" i="22" s="1"/>
  <c r="AK71" i="22" s="1"/>
  <c r="AL71" i="22" s="1"/>
  <c r="AM71" i="22" s="1"/>
  <c r="AN71" i="22" s="1"/>
  <c r="AO71" i="22" s="1"/>
  <c r="AP71" i="22" s="1"/>
  <c r="AQ71" i="22" s="1"/>
  <c r="AR71" i="22" s="1"/>
  <c r="AS71" i="22" s="1"/>
  <c r="AT71" i="22" s="1"/>
  <c r="AU71" i="22" s="1"/>
  <c r="C65" i="22"/>
  <c r="C64" i="22"/>
  <c r="J64" i="22" s="1"/>
  <c r="AU63" i="22"/>
  <c r="AT63" i="22"/>
  <c r="AS63" i="22"/>
  <c r="AR63" i="22"/>
  <c r="AQ63" i="22"/>
  <c r="AP63" i="22"/>
  <c r="AO63" i="22"/>
  <c r="AN63" i="22"/>
  <c r="AM63" i="22"/>
  <c r="AL63" i="22"/>
  <c r="AK63" i="22"/>
  <c r="AE63" i="22"/>
  <c r="AD63" i="22"/>
  <c r="D35" i="22"/>
  <c r="A32" i="22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E30" i="22"/>
  <c r="E94" i="22" s="1"/>
  <c r="C5" i="22"/>
  <c r="D16" i="22" s="1"/>
  <c r="D31" i="22" s="1"/>
  <c r="D18" i="22"/>
  <c r="L16" i="22"/>
  <c r="M16" i="22" s="1"/>
  <c r="B60" i="22" s="1"/>
  <c r="M15" i="22"/>
  <c r="H15" i="22"/>
  <c r="C14" i="22"/>
  <c r="D67" i="22" s="1"/>
  <c r="D12" i="22"/>
  <c r="D52" i="22" s="1"/>
  <c r="D11" i="22"/>
  <c r="D9" i="22"/>
  <c r="D46" i="22" s="1"/>
  <c r="H8" i="22"/>
  <c r="H7" i="22"/>
  <c r="B68" i="22" s="1"/>
  <c r="K214" i="22" l="1"/>
  <c r="K215" i="22" s="1"/>
  <c r="S214" i="22"/>
  <c r="S215" i="22" s="1"/>
  <c r="Y64" i="22"/>
  <c r="H214" i="22"/>
  <c r="P214" i="22"/>
  <c r="X214" i="22"/>
  <c r="X215" i="22" s="1"/>
  <c r="I214" i="22"/>
  <c r="G214" i="22"/>
  <c r="G215" i="22" s="1"/>
  <c r="W214" i="22"/>
  <c r="W215" i="22" s="1"/>
  <c r="J214" i="22"/>
  <c r="J215" i="22" s="1"/>
  <c r="R214" i="22"/>
  <c r="R215" i="22" s="1"/>
  <c r="F64" i="22"/>
  <c r="AO64" i="22"/>
  <c r="AE64" i="22"/>
  <c r="AL64" i="22"/>
  <c r="AP64" i="22"/>
  <c r="E64" i="22"/>
  <c r="AF64" i="22"/>
  <c r="AU64" i="22"/>
  <c r="O64" i="22"/>
  <c r="M17" i="22"/>
  <c r="B61" i="22" s="1"/>
  <c r="N64" i="22"/>
  <c r="P64" i="22"/>
  <c r="AH64" i="22"/>
  <c r="M18" i="22"/>
  <c r="AT64" i="22"/>
  <c r="D155" i="22"/>
  <c r="V64" i="22"/>
  <c r="X64" i="22"/>
  <c r="F214" i="22"/>
  <c r="F215" i="22" s="1"/>
  <c r="V214" i="22"/>
  <c r="V215" i="22" s="1"/>
  <c r="U215" i="22"/>
  <c r="D73" i="22"/>
  <c r="E46" i="22"/>
  <c r="F46" i="22" s="1"/>
  <c r="F73" i="22" s="1"/>
  <c r="K64" i="22"/>
  <c r="AA64" i="22"/>
  <c r="E150" i="22"/>
  <c r="Q214" i="22"/>
  <c r="Q215" i="22" s="1"/>
  <c r="H215" i="22"/>
  <c r="L215" i="22"/>
  <c r="P215" i="22"/>
  <c r="T215" i="22"/>
  <c r="O214" i="22"/>
  <c r="O215" i="22" s="1"/>
  <c r="I215" i="22"/>
  <c r="E31" i="22"/>
  <c r="E32" i="22" s="1"/>
  <c r="F30" i="22"/>
  <c r="D76" i="22"/>
  <c r="E52" i="22"/>
  <c r="D32" i="22"/>
  <c r="D34" i="22" s="1"/>
  <c r="F153" i="22"/>
  <c r="E154" i="22"/>
  <c r="AR64" i="22"/>
  <c r="AJ64" i="22"/>
  <c r="AB64" i="22"/>
  <c r="T64" i="22"/>
  <c r="L64" i="22"/>
  <c r="AS64" i="22"/>
  <c r="AI64" i="22"/>
  <c r="Z64" i="22"/>
  <c r="Q64" i="22"/>
  <c r="H64" i="22"/>
  <c r="AN64" i="22"/>
  <c r="AD64" i="22"/>
  <c r="S64" i="22"/>
  <c r="I64" i="22"/>
  <c r="AM64" i="22"/>
  <c r="AC64" i="22"/>
  <c r="R64" i="22"/>
  <c r="G64" i="22"/>
  <c r="AQ64" i="22"/>
  <c r="AG64" i="22"/>
  <c r="W64" i="22"/>
  <c r="M64" i="22"/>
  <c r="U64" i="22"/>
  <c r="AK64" i="22"/>
  <c r="D172" i="22"/>
  <c r="D171" i="22"/>
  <c r="D161" i="22"/>
  <c r="G165" i="22"/>
  <c r="H165" i="22" s="1"/>
  <c r="I165" i="22" s="1"/>
  <c r="J165" i="22" s="1"/>
  <c r="K165" i="22" s="1"/>
  <c r="L165" i="22" s="1"/>
  <c r="M165" i="22" s="1"/>
  <c r="N165" i="22" s="1"/>
  <c r="O165" i="22" s="1"/>
  <c r="P165" i="22" s="1"/>
  <c r="Q165" i="22" s="1"/>
  <c r="R165" i="22" s="1"/>
  <c r="S165" i="22" s="1"/>
  <c r="T165" i="22" s="1"/>
  <c r="U165" i="22" s="1"/>
  <c r="V165" i="22" s="1"/>
  <c r="W165" i="22" s="1"/>
  <c r="X165" i="22" s="1"/>
  <c r="Y165" i="22" s="1"/>
  <c r="Z165" i="22" s="1"/>
  <c r="AA165" i="22" s="1"/>
  <c r="AB165" i="22" s="1"/>
  <c r="AC165" i="22" s="1"/>
  <c r="AD165" i="22" s="1"/>
  <c r="AE165" i="22" s="1"/>
  <c r="AF165" i="22" s="1"/>
  <c r="AG165" i="22" s="1"/>
  <c r="AH165" i="22" s="1"/>
  <c r="AI165" i="22" s="1"/>
  <c r="AJ165" i="22" s="1"/>
  <c r="AK165" i="22" s="1"/>
  <c r="AL165" i="22" s="1"/>
  <c r="AM165" i="22" s="1"/>
  <c r="AN165" i="22" s="1"/>
  <c r="AO165" i="22" s="1"/>
  <c r="AP165" i="22" s="1"/>
  <c r="AQ165" i="22" s="1"/>
  <c r="AR165" i="22" s="1"/>
  <c r="AS165" i="22" s="1"/>
  <c r="AT165" i="22" s="1"/>
  <c r="AU165" i="22" s="1"/>
  <c r="I151" i="22"/>
  <c r="H158" i="22"/>
  <c r="H160" i="22" s="1"/>
  <c r="D65" i="22"/>
  <c r="D49" i="22"/>
  <c r="B59" i="22"/>
  <c r="E73" i="22"/>
  <c r="G158" i="22"/>
  <c r="G160" i="22" s="1"/>
  <c r="L101" i="22"/>
  <c r="K135" i="22"/>
  <c r="J135" i="22"/>
  <c r="F166" i="22"/>
  <c r="G166" i="22" s="1"/>
  <c r="H166" i="22" s="1"/>
  <c r="I166" i="22" s="1"/>
  <c r="J166" i="22" s="1"/>
  <c r="K166" i="22" s="1"/>
  <c r="L166" i="22" s="1"/>
  <c r="M166" i="22" s="1"/>
  <c r="N166" i="22" s="1"/>
  <c r="O166" i="22" s="1"/>
  <c r="P166" i="22" s="1"/>
  <c r="Q166" i="22" s="1"/>
  <c r="R166" i="22" s="1"/>
  <c r="S166" i="22" s="1"/>
  <c r="T166" i="22" s="1"/>
  <c r="U166" i="22" s="1"/>
  <c r="V166" i="22" s="1"/>
  <c r="W166" i="22" s="1"/>
  <c r="X166" i="22" s="1"/>
  <c r="Y166" i="22" s="1"/>
  <c r="Z166" i="22" s="1"/>
  <c r="AA166" i="22" s="1"/>
  <c r="AB166" i="22" s="1"/>
  <c r="AC166" i="22" s="1"/>
  <c r="AD166" i="22" s="1"/>
  <c r="AE166" i="22" s="1"/>
  <c r="AF166" i="22" s="1"/>
  <c r="AG166" i="22" s="1"/>
  <c r="AH166" i="22" s="1"/>
  <c r="AI166" i="22" s="1"/>
  <c r="AJ166" i="22" s="1"/>
  <c r="AK166" i="22" s="1"/>
  <c r="AL166" i="22" s="1"/>
  <c r="AM166" i="22" s="1"/>
  <c r="AN166" i="22" s="1"/>
  <c r="AO166" i="22" s="1"/>
  <c r="AP166" i="22" s="1"/>
  <c r="AQ166" i="22" s="1"/>
  <c r="AR166" i="22" s="1"/>
  <c r="AS166" i="22" s="1"/>
  <c r="AT166" i="22" s="1"/>
  <c r="AU166" i="22" s="1"/>
  <c r="D177" i="22"/>
  <c r="C177" i="22" s="1"/>
  <c r="C218" i="22"/>
  <c r="D215" i="22"/>
  <c r="N214" i="22"/>
  <c r="N215" i="22" s="1"/>
  <c r="E215" i="22"/>
  <c r="G46" i="22" l="1"/>
  <c r="G73" i="22" s="1"/>
  <c r="E155" i="22"/>
  <c r="C87" i="22"/>
  <c r="E35" i="22"/>
  <c r="F35" i="22" s="1"/>
  <c r="M19" i="22"/>
  <c r="E95" i="22" s="1"/>
  <c r="C216" i="22"/>
  <c r="C217" i="22" s="1"/>
  <c r="C219" i="22" s="1"/>
  <c r="E157" i="22"/>
  <c r="F150" i="22"/>
  <c r="Y215" i="22"/>
  <c r="E76" i="22"/>
  <c r="F52" i="22"/>
  <c r="D191" i="22"/>
  <c r="D173" i="22"/>
  <c r="D174" i="22" s="1"/>
  <c r="D50" i="22"/>
  <c r="E48" i="22"/>
  <c r="L135" i="22"/>
  <c r="D63" i="22"/>
  <c r="I158" i="22"/>
  <c r="I160" i="22" s="1"/>
  <c r="J151" i="22"/>
  <c r="F154" i="22"/>
  <c r="G153" i="22"/>
  <c r="D180" i="22"/>
  <c r="D194" i="22" s="1"/>
  <c r="Y214" i="22"/>
  <c r="F94" i="22"/>
  <c r="G30" i="22"/>
  <c r="F31" i="22"/>
  <c r="E34" i="22"/>
  <c r="D178" i="22"/>
  <c r="D192" i="22" s="1"/>
  <c r="E65" i="22" l="1"/>
  <c r="E66" i="22" s="1"/>
  <c r="E68" i="22" s="1"/>
  <c r="D95" i="22"/>
  <c r="H46" i="22"/>
  <c r="F155" i="22"/>
  <c r="F95" i="22"/>
  <c r="G35" i="22"/>
  <c r="H35" i="22" s="1"/>
  <c r="H65" i="22" s="1"/>
  <c r="H66" i="22" s="1"/>
  <c r="H68" i="22" s="1"/>
  <c r="E49" i="22"/>
  <c r="F48" i="22" s="1"/>
  <c r="F49" i="22" s="1"/>
  <c r="F157" i="22"/>
  <c r="G150" i="22"/>
  <c r="E172" i="22"/>
  <c r="E161" i="22"/>
  <c r="E170" i="22"/>
  <c r="E171" i="22"/>
  <c r="H153" i="22"/>
  <c r="G154" i="22"/>
  <c r="G155" i="22" s="1"/>
  <c r="J158" i="22"/>
  <c r="J160" i="22" s="1"/>
  <c r="K151" i="22"/>
  <c r="F65" i="22"/>
  <c r="C178" i="22"/>
  <c r="C180" i="22"/>
  <c r="G94" i="22"/>
  <c r="G95" i="22" s="1"/>
  <c r="H30" i="22"/>
  <c r="G52" i="22"/>
  <c r="F76" i="22"/>
  <c r="D74" i="22"/>
  <c r="D75" i="22" s="1"/>
  <c r="D77" i="22" s="1"/>
  <c r="D51" i="22"/>
  <c r="C220" i="22"/>
  <c r="D14" i="22"/>
  <c r="H73" i="22"/>
  <c r="I46" i="22"/>
  <c r="G31" i="22"/>
  <c r="F32" i="22"/>
  <c r="F34" i="22" s="1"/>
  <c r="D179" i="22"/>
  <c r="AV63" i="22"/>
  <c r="D64" i="22"/>
  <c r="E50" i="22" l="1"/>
  <c r="G65" i="22"/>
  <c r="G66" i="22" s="1"/>
  <c r="G68" i="22" s="1"/>
  <c r="I35" i="22"/>
  <c r="I65" i="22" s="1"/>
  <c r="I66" i="22" s="1"/>
  <c r="I68" i="22" s="1"/>
  <c r="E173" i="22"/>
  <c r="G157" i="22"/>
  <c r="H150" i="22"/>
  <c r="E174" i="22"/>
  <c r="E180" i="22"/>
  <c r="E194" i="22" s="1"/>
  <c r="E177" i="22"/>
  <c r="F171" i="22"/>
  <c r="F170" i="22"/>
  <c r="F172" i="22"/>
  <c r="F161" i="22"/>
  <c r="D193" i="22"/>
  <c r="D195" i="22" s="1"/>
  <c r="D197" i="22" s="1"/>
  <c r="D181" i="22"/>
  <c r="D182" i="22" s="1"/>
  <c r="C179" i="22"/>
  <c r="J46" i="22"/>
  <c r="I73" i="22"/>
  <c r="H52" i="22"/>
  <c r="G76" i="22"/>
  <c r="E74" i="22"/>
  <c r="E51" i="22"/>
  <c r="H94" i="22"/>
  <c r="H95" i="22" s="1"/>
  <c r="I30" i="22"/>
  <c r="G48" i="22"/>
  <c r="F66" i="22"/>
  <c r="F68" i="22" s="1"/>
  <c r="K158" i="22"/>
  <c r="K160" i="22" s="1"/>
  <c r="L151" i="22"/>
  <c r="F50" i="22"/>
  <c r="D66" i="22"/>
  <c r="AY64" i="22"/>
  <c r="AV64" i="22"/>
  <c r="I153" i="22"/>
  <c r="H154" i="22"/>
  <c r="H155" i="22" s="1"/>
  <c r="H31" i="22"/>
  <c r="G32" i="22"/>
  <c r="J35" i="22" l="1"/>
  <c r="F173" i="22"/>
  <c r="F174" i="22" s="1"/>
  <c r="E178" i="22"/>
  <c r="E191" i="22"/>
  <c r="F177" i="22"/>
  <c r="F178" i="22" s="1"/>
  <c r="F192" i="22" s="1"/>
  <c r="F180" i="22"/>
  <c r="F194" i="22" s="1"/>
  <c r="H157" i="22"/>
  <c r="I150" i="22"/>
  <c r="G161" i="22"/>
  <c r="G171" i="22"/>
  <c r="G170" i="22"/>
  <c r="G172" i="22"/>
  <c r="L158" i="22"/>
  <c r="L160" i="22" s="1"/>
  <c r="M151" i="22"/>
  <c r="D68" i="22"/>
  <c r="I52" i="22"/>
  <c r="H76" i="22"/>
  <c r="G49" i="22"/>
  <c r="G50" i="22" s="1"/>
  <c r="F74" i="22"/>
  <c r="F51" i="22"/>
  <c r="E75" i="22"/>
  <c r="E77" i="22" s="1"/>
  <c r="G34" i="22"/>
  <c r="I154" i="22"/>
  <c r="J153" i="22"/>
  <c r="J73" i="22"/>
  <c r="K46" i="22"/>
  <c r="I31" i="22"/>
  <c r="H32" i="22"/>
  <c r="H34" i="22" s="1"/>
  <c r="I94" i="22"/>
  <c r="I95" i="22" s="1"/>
  <c r="J30" i="22"/>
  <c r="K35" i="22" l="1"/>
  <c r="J65" i="22"/>
  <c r="J66" i="22" s="1"/>
  <c r="J68" i="22" s="1"/>
  <c r="I155" i="22"/>
  <c r="G180" i="22"/>
  <c r="G194" i="22" s="1"/>
  <c r="G177" i="22"/>
  <c r="G178" i="22" s="1"/>
  <c r="J150" i="22"/>
  <c r="I157" i="22"/>
  <c r="G173" i="22"/>
  <c r="G174" i="22" s="1"/>
  <c r="H172" i="22"/>
  <c r="H161" i="22"/>
  <c r="H170" i="22"/>
  <c r="H171" i="22"/>
  <c r="F179" i="22"/>
  <c r="F193" i="22" s="1"/>
  <c r="F191" i="22"/>
  <c r="E192" i="22"/>
  <c r="E179" i="22"/>
  <c r="E193" i="22" s="1"/>
  <c r="J94" i="22"/>
  <c r="J95" i="22" s="1"/>
  <c r="K30" i="22"/>
  <c r="K73" i="22"/>
  <c r="L46" i="22"/>
  <c r="N151" i="22"/>
  <c r="M158" i="22"/>
  <c r="M160" i="22" s="1"/>
  <c r="J154" i="22"/>
  <c r="K153" i="22"/>
  <c r="J52" i="22"/>
  <c r="I76" i="22"/>
  <c r="F75" i="22"/>
  <c r="F77" i="22" s="1"/>
  <c r="H48" i="22"/>
  <c r="J31" i="22"/>
  <c r="I32" i="22"/>
  <c r="I34" i="22" s="1"/>
  <c r="D55" i="22"/>
  <c r="G74" i="22"/>
  <c r="G51" i="22"/>
  <c r="L35" i="22" l="1"/>
  <c r="K65" i="22"/>
  <c r="K66" i="22" s="1"/>
  <c r="K68" i="22" s="1"/>
  <c r="M35" i="22"/>
  <c r="J155" i="22"/>
  <c r="E181" i="22"/>
  <c r="E182" i="22" s="1"/>
  <c r="H173" i="22"/>
  <c r="H174" i="22" s="1"/>
  <c r="E195" i="22"/>
  <c r="E197" i="22" s="1"/>
  <c r="G192" i="22"/>
  <c r="G179" i="22"/>
  <c r="G193" i="22" s="1"/>
  <c r="F195" i="22"/>
  <c r="F197" i="22" s="1"/>
  <c r="I170" i="22"/>
  <c r="I161" i="22"/>
  <c r="I172" i="22"/>
  <c r="I171" i="22"/>
  <c r="F181" i="22"/>
  <c r="F182" i="22" s="1"/>
  <c r="H180" i="22"/>
  <c r="H194" i="22" s="1"/>
  <c r="H177" i="22"/>
  <c r="H178" i="22" s="1"/>
  <c r="K150" i="22"/>
  <c r="J157" i="22"/>
  <c r="G191" i="22"/>
  <c r="N158" i="22"/>
  <c r="N160" i="22" s="1"/>
  <c r="O151" i="22"/>
  <c r="K31" i="22"/>
  <c r="J32" i="22"/>
  <c r="J34" i="22" s="1"/>
  <c r="K94" i="22"/>
  <c r="K95" i="22" s="1"/>
  <c r="L30" i="22"/>
  <c r="L153" i="22"/>
  <c r="K154" i="22"/>
  <c r="G75" i="22"/>
  <c r="G77" i="22" s="1"/>
  <c r="J76" i="22"/>
  <c r="K52" i="22"/>
  <c r="E54" i="22"/>
  <c r="D56" i="22"/>
  <c r="D57" i="22" s="1"/>
  <c r="H49" i="22"/>
  <c r="H50" i="22" s="1"/>
  <c r="M46" i="22"/>
  <c r="AY46" i="22" s="1"/>
  <c r="L73" i="22"/>
  <c r="AY66" i="22" l="1"/>
  <c r="AY35" i="22"/>
  <c r="M65" i="22"/>
  <c r="M66" i="22" s="1"/>
  <c r="M68" i="22" s="1"/>
  <c r="L65" i="22"/>
  <c r="L66" i="22" s="1"/>
  <c r="L68" i="22" s="1"/>
  <c r="O35" i="22"/>
  <c r="O65" i="22" s="1"/>
  <c r="O66" i="22" s="1"/>
  <c r="O68" i="22" s="1"/>
  <c r="N35" i="22"/>
  <c r="K155" i="22"/>
  <c r="I173" i="22"/>
  <c r="I174" i="22" s="1"/>
  <c r="H192" i="22"/>
  <c r="H179" i="22"/>
  <c r="H193" i="22" s="1"/>
  <c r="G181" i="22"/>
  <c r="G182" i="22" s="1"/>
  <c r="J171" i="22"/>
  <c r="J161" i="22"/>
  <c r="J172" i="22"/>
  <c r="J170" i="22"/>
  <c r="H191" i="22"/>
  <c r="I177" i="22"/>
  <c r="I178" i="22" s="1"/>
  <c r="I192" i="22" s="1"/>
  <c r="I180" i="22"/>
  <c r="I194" i="22" s="1"/>
  <c r="G195" i="22"/>
  <c r="G197" i="22" s="1"/>
  <c r="L150" i="22"/>
  <c r="K157" i="22"/>
  <c r="L94" i="22"/>
  <c r="L95" i="22" s="1"/>
  <c r="M30" i="22"/>
  <c r="N46" i="22"/>
  <c r="M73" i="22"/>
  <c r="K76" i="22"/>
  <c r="L52" i="22"/>
  <c r="P151" i="22"/>
  <c r="O158" i="22"/>
  <c r="O160" i="22" s="1"/>
  <c r="H74" i="22"/>
  <c r="H51" i="22"/>
  <c r="D78" i="22"/>
  <c r="D79" i="22" s="1"/>
  <c r="D81" i="22" s="1"/>
  <c r="L154" i="22"/>
  <c r="L155" i="22" s="1"/>
  <c r="M153" i="22"/>
  <c r="E55" i="22"/>
  <c r="I48" i="22"/>
  <c r="L31" i="22"/>
  <c r="K32" i="22"/>
  <c r="K34" i="22" s="1"/>
  <c r="N65" i="22" l="1"/>
  <c r="N66" i="22" s="1"/>
  <c r="N68" i="22" s="1"/>
  <c r="P35" i="22"/>
  <c r="AY68" i="22"/>
  <c r="H195" i="22"/>
  <c r="H197" i="22" s="1"/>
  <c r="AY65" i="22"/>
  <c r="H181" i="22"/>
  <c r="H182" i="22" s="1"/>
  <c r="J173" i="22"/>
  <c r="J174" i="22" s="1"/>
  <c r="M150" i="22"/>
  <c r="L157" i="22"/>
  <c r="J177" i="22"/>
  <c r="J178" i="22" s="1"/>
  <c r="J192" i="22" s="1"/>
  <c r="J180" i="22"/>
  <c r="J194" i="22" s="1"/>
  <c r="K170" i="22"/>
  <c r="K171" i="22"/>
  <c r="K172" i="22"/>
  <c r="K161" i="22"/>
  <c r="I191" i="22"/>
  <c r="I179" i="22"/>
  <c r="D69" i="22"/>
  <c r="D36" i="22"/>
  <c r="D60" i="22"/>
  <c r="D59" i="22"/>
  <c r="H75" i="22"/>
  <c r="H77" i="22" s="1"/>
  <c r="M154" i="22"/>
  <c r="N153" i="22"/>
  <c r="M31" i="22"/>
  <c r="L32" i="22"/>
  <c r="L34" i="22" s="1"/>
  <c r="P158" i="22"/>
  <c r="P160" i="22" s="1"/>
  <c r="Q151" i="22"/>
  <c r="F54" i="22"/>
  <c r="O46" i="22"/>
  <c r="N73" i="22"/>
  <c r="I49" i="22"/>
  <c r="M94" i="22"/>
  <c r="M95" i="22" s="1"/>
  <c r="N30" i="22"/>
  <c r="E56" i="22"/>
  <c r="L76" i="22"/>
  <c r="M52" i="22"/>
  <c r="Q35" i="22" l="1"/>
  <c r="P65" i="22"/>
  <c r="P66" i="22" s="1"/>
  <c r="P68" i="22" s="1"/>
  <c r="M155" i="22"/>
  <c r="K173" i="22"/>
  <c r="J191" i="22"/>
  <c r="M157" i="22"/>
  <c r="N150" i="22"/>
  <c r="I181" i="22"/>
  <c r="I182" i="22" s="1"/>
  <c r="I193" i="22"/>
  <c r="I195" i="22" s="1"/>
  <c r="I197" i="22" s="1"/>
  <c r="K177" i="22"/>
  <c r="K178" i="22" s="1"/>
  <c r="K192" i="22" s="1"/>
  <c r="K180" i="22"/>
  <c r="K194" i="22" s="1"/>
  <c r="K174" i="22"/>
  <c r="J179" i="22"/>
  <c r="J193" i="22" s="1"/>
  <c r="L171" i="22"/>
  <c r="L170" i="22"/>
  <c r="L172" i="22"/>
  <c r="L161" i="22"/>
  <c r="E78" i="22"/>
  <c r="E79" i="22" s="1"/>
  <c r="E81" i="22" s="1"/>
  <c r="E57" i="22"/>
  <c r="F55" i="22"/>
  <c r="N94" i="22"/>
  <c r="N95" i="22" s="1"/>
  <c r="O30" i="22"/>
  <c r="D61" i="22"/>
  <c r="D38" i="22"/>
  <c r="J48" i="22"/>
  <c r="N31" i="22"/>
  <c r="M32" i="22"/>
  <c r="AY32" i="22" s="1"/>
  <c r="AY31" i="22"/>
  <c r="N52" i="22"/>
  <c r="M76" i="22"/>
  <c r="AY52" i="22"/>
  <c r="O73" i="22"/>
  <c r="P46" i="22"/>
  <c r="N154" i="22"/>
  <c r="O153" i="22"/>
  <c r="I50" i="22"/>
  <c r="R151" i="22"/>
  <c r="Q158" i="22"/>
  <c r="Q160" i="22" s="1"/>
  <c r="R35" i="22" l="1"/>
  <c r="S35" i="22"/>
  <c r="S65" i="22" s="1"/>
  <c r="S66" i="22" s="1"/>
  <c r="S68" i="22" s="1"/>
  <c r="Q65" i="22"/>
  <c r="Q66" i="22" s="1"/>
  <c r="Q68" i="22" s="1"/>
  <c r="N155" i="22"/>
  <c r="J195" i="22"/>
  <c r="J197" i="22" s="1"/>
  <c r="L180" i="22"/>
  <c r="L194" i="22" s="1"/>
  <c r="L177" i="22"/>
  <c r="M34" i="22"/>
  <c r="AY34" i="22" s="1"/>
  <c r="K179" i="22"/>
  <c r="K193" i="22" s="1"/>
  <c r="K191" i="22"/>
  <c r="M161" i="22"/>
  <c r="M171" i="22"/>
  <c r="M170" i="22"/>
  <c r="M172" i="22"/>
  <c r="L173" i="22"/>
  <c r="L174" i="22" s="1"/>
  <c r="J181" i="22"/>
  <c r="J182" i="22" s="1"/>
  <c r="O150" i="22"/>
  <c r="N157" i="22"/>
  <c r="E69" i="22"/>
  <c r="E36" i="22"/>
  <c r="E60" i="22"/>
  <c r="E59" i="22"/>
  <c r="P153" i="22"/>
  <c r="O154" i="22"/>
  <c r="O94" i="22"/>
  <c r="O95" i="22" s="1"/>
  <c r="P30" i="22"/>
  <c r="N76" i="22"/>
  <c r="O52" i="22"/>
  <c r="R158" i="22"/>
  <c r="R160" i="22" s="1"/>
  <c r="S151" i="22"/>
  <c r="J49" i="22"/>
  <c r="K48" i="22" s="1"/>
  <c r="G54" i="22"/>
  <c r="O31" i="22"/>
  <c r="N32" i="22"/>
  <c r="N34" i="22" s="1"/>
  <c r="I74" i="22"/>
  <c r="I51" i="22"/>
  <c r="P73" i="22"/>
  <c r="Q46" i="22"/>
  <c r="F56" i="22"/>
  <c r="D37" i="22"/>
  <c r="F9" i="1"/>
  <c r="R65" i="22" l="1"/>
  <c r="R66" i="22" s="1"/>
  <c r="R68" i="22" s="1"/>
  <c r="T35" i="22"/>
  <c r="T65" i="22" s="1"/>
  <c r="T66" i="22" s="1"/>
  <c r="T68" i="22" s="1"/>
  <c r="J50" i="22"/>
  <c r="J74" i="22" s="1"/>
  <c r="M173" i="22"/>
  <c r="M174" i="22" s="1"/>
  <c r="K181" i="22"/>
  <c r="K182" i="22" s="1"/>
  <c r="K195" i="22"/>
  <c r="K197" i="22" s="1"/>
  <c r="N170" i="22"/>
  <c r="N172" i="22"/>
  <c r="N171" i="22"/>
  <c r="N161" i="22"/>
  <c r="O155" i="22"/>
  <c r="L178" i="22"/>
  <c r="L191" i="22"/>
  <c r="O157" i="22"/>
  <c r="P150" i="22"/>
  <c r="M180" i="22"/>
  <c r="M194" i="22" s="1"/>
  <c r="M177" i="22"/>
  <c r="M178" i="22" s="1"/>
  <c r="M192" i="22" s="1"/>
  <c r="Q73" i="22"/>
  <c r="R46" i="22"/>
  <c r="D39" i="22"/>
  <c r="P31" i="22"/>
  <c r="O32" i="22"/>
  <c r="O34" i="22" s="1"/>
  <c r="G55" i="22"/>
  <c r="K49" i="22"/>
  <c r="L48" i="22" s="1"/>
  <c r="P52" i="22"/>
  <c r="O76" i="22"/>
  <c r="E61" i="22"/>
  <c r="E38" i="22"/>
  <c r="T151" i="22"/>
  <c r="S158" i="22"/>
  <c r="S160" i="22" s="1"/>
  <c r="P94" i="22"/>
  <c r="P95" i="22" s="1"/>
  <c r="Q30" i="22"/>
  <c r="F78" i="22"/>
  <c r="F79" i="22" s="1"/>
  <c r="F81" i="22" s="1"/>
  <c r="F57" i="22"/>
  <c r="I75" i="22"/>
  <c r="I77" i="22" s="1"/>
  <c r="Q153" i="22"/>
  <c r="P154" i="22"/>
  <c r="F8" i="1"/>
  <c r="U35" i="22" l="1"/>
  <c r="K50" i="22"/>
  <c r="K51" i="22" s="1"/>
  <c r="N173" i="22"/>
  <c r="N174" i="22" s="1"/>
  <c r="J51" i="22"/>
  <c r="J75" i="22" s="1"/>
  <c r="J77" i="22" s="1"/>
  <c r="P155" i="22"/>
  <c r="N177" i="22"/>
  <c r="N178" i="22" s="1"/>
  <c r="N192" i="22" s="1"/>
  <c r="N180" i="22"/>
  <c r="N194" i="22" s="1"/>
  <c r="P157" i="22"/>
  <c r="Q150" i="22"/>
  <c r="L192" i="22"/>
  <c r="L179" i="22"/>
  <c r="M191" i="22"/>
  <c r="M179" i="22"/>
  <c r="M193" i="22" s="1"/>
  <c r="O172" i="22"/>
  <c r="O161" i="22"/>
  <c r="O170" i="22"/>
  <c r="O171" i="22"/>
  <c r="K74" i="22"/>
  <c r="U151" i="22"/>
  <c r="T158" i="22"/>
  <c r="T160" i="22" s="1"/>
  <c r="H54" i="22"/>
  <c r="D89" i="22"/>
  <c r="D44" i="22"/>
  <c r="H18" i="22"/>
  <c r="R153" i="22"/>
  <c r="Q154" i="22"/>
  <c r="F69" i="22"/>
  <c r="F36" i="22"/>
  <c r="F60" i="22"/>
  <c r="F59" i="22"/>
  <c r="G56" i="22"/>
  <c r="R30" i="22"/>
  <c r="Q94" i="22"/>
  <c r="Q95" i="22" s="1"/>
  <c r="E37" i="22"/>
  <c r="Q31" i="22"/>
  <c r="P32" i="22"/>
  <c r="P34" i="22" s="1"/>
  <c r="P76" i="22"/>
  <c r="Q52" i="22"/>
  <c r="S46" i="22"/>
  <c r="R73" i="22"/>
  <c r="L49" i="22"/>
  <c r="M48" i="22" s="1"/>
  <c r="U65" i="22" l="1"/>
  <c r="U66" i="22" s="1"/>
  <c r="U68" i="22" s="1"/>
  <c r="V35" i="22"/>
  <c r="M181" i="22"/>
  <c r="M182" i="22" s="1"/>
  <c r="O173" i="22"/>
  <c r="O174" i="22" s="1"/>
  <c r="Q155" i="22"/>
  <c r="M195" i="22"/>
  <c r="M197" i="22" s="1"/>
  <c r="O180" i="22"/>
  <c r="O194" i="22" s="1"/>
  <c r="O177" i="22"/>
  <c r="L193" i="22"/>
  <c r="L195" i="22" s="1"/>
  <c r="L197" i="22" s="1"/>
  <c r="L181" i="22"/>
  <c r="L182" i="22" s="1"/>
  <c r="L50" i="22"/>
  <c r="L51" i="22" s="1"/>
  <c r="Q157" i="22"/>
  <c r="R150" i="22"/>
  <c r="P172" i="22"/>
  <c r="P171" i="22"/>
  <c r="P161" i="22"/>
  <c r="P170" i="22"/>
  <c r="N179" i="22"/>
  <c r="N193" i="22" s="1"/>
  <c r="N191" i="22"/>
  <c r="R94" i="22"/>
  <c r="R95" i="22" s="1"/>
  <c r="S30" i="22"/>
  <c r="R154" i="22"/>
  <c r="S153" i="22"/>
  <c r="V151" i="22"/>
  <c r="U158" i="22"/>
  <c r="U160" i="22" s="1"/>
  <c r="S73" i="22"/>
  <c r="T46" i="22"/>
  <c r="R31" i="22"/>
  <c r="Q32" i="22"/>
  <c r="Q34" i="22" s="1"/>
  <c r="G78" i="22"/>
  <c r="G79" i="22" s="1"/>
  <c r="G81" i="22" s="1"/>
  <c r="G57" i="22"/>
  <c r="H55" i="22"/>
  <c r="K75" i="22"/>
  <c r="K77" i="22" s="1"/>
  <c r="M49" i="22"/>
  <c r="M50" i="22" s="1"/>
  <c r="AY48" i="22"/>
  <c r="F61" i="22"/>
  <c r="F38" i="22"/>
  <c r="R52" i="22"/>
  <c r="Q76" i="22"/>
  <c r="E39" i="22"/>
  <c r="D21" i="5"/>
  <c r="G21" i="5" s="1"/>
  <c r="D20" i="5"/>
  <c r="G20" i="5" s="1"/>
  <c r="D13" i="4"/>
  <c r="G13" i="4" s="1"/>
  <c r="D12" i="4"/>
  <c r="G12" i="4" s="1"/>
  <c r="V65" i="22" l="1"/>
  <c r="V66" i="22" s="1"/>
  <c r="V68" i="22" s="1"/>
  <c r="W35" i="22"/>
  <c r="N181" i="22"/>
  <c r="N182" i="22" s="1"/>
  <c r="L74" i="22"/>
  <c r="P173" i="22"/>
  <c r="P174" i="22" s="1"/>
  <c r="R155" i="22"/>
  <c r="N195" i="22"/>
  <c r="N197" i="22" s="1"/>
  <c r="O191" i="22"/>
  <c r="P180" i="22"/>
  <c r="P194" i="22" s="1"/>
  <c r="P177" i="22"/>
  <c r="S150" i="22"/>
  <c r="R157" i="22"/>
  <c r="Q172" i="22"/>
  <c r="Q170" i="22"/>
  <c r="Q161" i="22"/>
  <c r="Q171" i="22"/>
  <c r="O178" i="22"/>
  <c r="S94" i="22"/>
  <c r="S95" i="22" s="1"/>
  <c r="T30" i="22"/>
  <c r="E89" i="22"/>
  <c r="I54" i="22"/>
  <c r="V158" i="22"/>
  <c r="V160" i="22" s="1"/>
  <c r="W151" i="22"/>
  <c r="F37" i="22"/>
  <c r="H56" i="22"/>
  <c r="S154" i="22"/>
  <c r="T153" i="22"/>
  <c r="S52" i="22"/>
  <c r="R76" i="22"/>
  <c r="S31" i="22"/>
  <c r="R32" i="22"/>
  <c r="R34" i="22" s="1"/>
  <c r="M74" i="22"/>
  <c r="M51" i="22"/>
  <c r="AY50" i="22"/>
  <c r="L75" i="22"/>
  <c r="L77" i="22" s="1"/>
  <c r="N48" i="22"/>
  <c r="AY49" i="22"/>
  <c r="G69" i="22"/>
  <c r="G36" i="22"/>
  <c r="G60" i="22"/>
  <c r="G59" i="22"/>
  <c r="T73" i="22"/>
  <c r="U46" i="22"/>
  <c r="G22" i="5"/>
  <c r="G25" i="5" s="1"/>
  <c r="E24" i="1" s="1"/>
  <c r="G14" i="4"/>
  <c r="G18" i="4" s="1"/>
  <c r="E23" i="1" s="1"/>
  <c r="D13" i="2"/>
  <c r="G13" i="2" s="1"/>
  <c r="D12" i="2"/>
  <c r="G12" i="2" s="1"/>
  <c r="A7" i="2"/>
  <c r="A8" i="2" s="1"/>
  <c r="F23" i="2" s="1"/>
  <c r="E22" i="1" s="1"/>
  <c r="W65" i="22" l="1"/>
  <c r="W66" i="22" s="1"/>
  <c r="W68" i="22" s="1"/>
  <c r="X35" i="22"/>
  <c r="X65" i="22" s="1"/>
  <c r="X66" i="22" s="1"/>
  <c r="X68" i="22" s="1"/>
  <c r="S155" i="22"/>
  <c r="Q173" i="22"/>
  <c r="Q174" i="22" s="1"/>
  <c r="V20" i="2"/>
  <c r="F22" i="1"/>
  <c r="U17" i="4"/>
  <c r="F23" i="1"/>
  <c r="T17" i="5"/>
  <c r="F24" i="1"/>
  <c r="O192" i="22"/>
  <c r="O179" i="22"/>
  <c r="O193" i="22" s="1"/>
  <c r="Q180" i="22"/>
  <c r="Q194" i="22" s="1"/>
  <c r="Q177" i="22"/>
  <c r="Q191" i="22" s="1"/>
  <c r="R161" i="22"/>
  <c r="R171" i="22"/>
  <c r="R170" i="22"/>
  <c r="R172" i="22"/>
  <c r="G14" i="2"/>
  <c r="S157" i="22"/>
  <c r="T150" i="22"/>
  <c r="P178" i="22"/>
  <c r="P191" i="22"/>
  <c r="V46" i="22"/>
  <c r="U73" i="22"/>
  <c r="N49" i="22"/>
  <c r="O48" i="22" s="1"/>
  <c r="M75" i="22"/>
  <c r="M77" i="22" s="1"/>
  <c r="AY51" i="22"/>
  <c r="F39" i="22"/>
  <c r="W158" i="22"/>
  <c r="W160" i="22" s="1"/>
  <c r="X151" i="22"/>
  <c r="G61" i="22"/>
  <c r="G38" i="22"/>
  <c r="T154" i="22"/>
  <c r="U153" i="22"/>
  <c r="I55" i="22"/>
  <c r="J54" i="22" s="1"/>
  <c r="T94" i="22"/>
  <c r="T95" i="22" s="1"/>
  <c r="U30" i="22"/>
  <c r="T31" i="22"/>
  <c r="S32" i="22"/>
  <c r="S34" i="22" s="1"/>
  <c r="S76" i="22"/>
  <c r="T52" i="22"/>
  <c r="H78" i="22"/>
  <c r="H79" i="22" s="1"/>
  <c r="H81" i="22" s="1"/>
  <c r="H57" i="22"/>
  <c r="Y35" i="22" l="1"/>
  <c r="T155" i="22"/>
  <c r="O181" i="22"/>
  <c r="O182" i="22" s="1"/>
  <c r="O195" i="22"/>
  <c r="O197" i="22" s="1"/>
  <c r="U15" i="4"/>
  <c r="V15" i="4" s="1"/>
  <c r="U16" i="4"/>
  <c r="V16" i="4" s="1"/>
  <c r="T15" i="5"/>
  <c r="U15" i="5" s="1"/>
  <c r="T16" i="5"/>
  <c r="U16" i="5" s="1"/>
  <c r="V18" i="2"/>
  <c r="W18" i="2" s="1"/>
  <c r="V19" i="2"/>
  <c r="W19" i="2" s="1"/>
  <c r="Q178" i="22"/>
  <c r="Q192" i="22" s="1"/>
  <c r="R173" i="22"/>
  <c r="R174" i="22" s="1"/>
  <c r="U150" i="22"/>
  <c r="T157" i="22"/>
  <c r="R177" i="22"/>
  <c r="R180" i="22"/>
  <c r="R194" i="22" s="1"/>
  <c r="S170" i="22"/>
  <c r="S171" i="22"/>
  <c r="S172" i="22"/>
  <c r="S161" i="22"/>
  <c r="I56" i="22"/>
  <c r="I57" i="22" s="1"/>
  <c r="P192" i="22"/>
  <c r="P179" i="22"/>
  <c r="V30" i="22"/>
  <c r="U94" i="22"/>
  <c r="U95" i="22" s="1"/>
  <c r="O49" i="22"/>
  <c r="P48" i="22" s="1"/>
  <c r="T76" i="22"/>
  <c r="U52" i="22"/>
  <c r="G37" i="22"/>
  <c r="N50" i="22"/>
  <c r="X158" i="22"/>
  <c r="X160" i="22" s="1"/>
  <c r="Y151" i="22"/>
  <c r="F89" i="22"/>
  <c r="J55" i="22"/>
  <c r="K54" i="22" s="1"/>
  <c r="W46" i="22"/>
  <c r="V73" i="22"/>
  <c r="V153" i="22"/>
  <c r="U154" i="22"/>
  <c r="U31" i="22"/>
  <c r="T32" i="22"/>
  <c r="T34" i="22" s="1"/>
  <c r="H69" i="22"/>
  <c r="H36" i="22"/>
  <c r="H59" i="22"/>
  <c r="H60" i="22"/>
  <c r="Y65" i="22" l="1"/>
  <c r="Y66" i="22" s="1"/>
  <c r="Y68" i="22" s="1"/>
  <c r="Z35" i="22"/>
  <c r="I78" i="22"/>
  <c r="I79" i="22" s="1"/>
  <c r="I81" i="22" s="1"/>
  <c r="U155" i="22"/>
  <c r="Q179" i="22"/>
  <c r="Q193" i="22" s="1"/>
  <c r="Q195" i="22" s="1"/>
  <c r="Q197" i="22" s="1"/>
  <c r="AI8" i="2"/>
  <c r="U19" i="2"/>
  <c r="U18" i="2"/>
  <c r="AJ8" i="2"/>
  <c r="AH5" i="4"/>
  <c r="T16" i="4"/>
  <c r="AG5" i="5"/>
  <c r="S16" i="5"/>
  <c r="AI5" i="4"/>
  <c r="T15" i="4"/>
  <c r="S15" i="5"/>
  <c r="AH5" i="5"/>
  <c r="U157" i="22"/>
  <c r="V150" i="22"/>
  <c r="P193" i="22"/>
  <c r="P195" i="22" s="1"/>
  <c r="P197" i="22" s="1"/>
  <c r="P181" i="22"/>
  <c r="P182" i="22" s="1"/>
  <c r="R191" i="22"/>
  <c r="S173" i="22"/>
  <c r="S174" i="22" s="1"/>
  <c r="S180" i="22"/>
  <c r="S194" i="22" s="1"/>
  <c r="S177" i="22"/>
  <c r="S178" i="22" s="1"/>
  <c r="R178" i="22"/>
  <c r="T170" i="22"/>
  <c r="T172" i="22"/>
  <c r="T171" i="22"/>
  <c r="T161" i="22"/>
  <c r="V154" i="22"/>
  <c r="W153" i="22"/>
  <c r="V94" i="22"/>
  <c r="V95" i="22" s="1"/>
  <c r="W30" i="22"/>
  <c r="X46" i="22"/>
  <c r="W73" i="22"/>
  <c r="Y158" i="22"/>
  <c r="Y160" i="22" s="1"/>
  <c r="Z151" i="22"/>
  <c r="V31" i="22"/>
  <c r="U32" i="22"/>
  <c r="U34" i="22" s="1"/>
  <c r="K55" i="22"/>
  <c r="L54" i="22" s="1"/>
  <c r="H61" i="22"/>
  <c r="H38" i="22"/>
  <c r="J56" i="22"/>
  <c r="G39" i="22"/>
  <c r="N74" i="22"/>
  <c r="N51" i="22"/>
  <c r="I69" i="22"/>
  <c r="I36" i="22"/>
  <c r="I59" i="22"/>
  <c r="I60" i="22"/>
  <c r="P49" i="22"/>
  <c r="Q48" i="22" s="1"/>
  <c r="U76" i="22"/>
  <c r="V52" i="22"/>
  <c r="O50" i="22"/>
  <c r="AA35" i="22" l="1"/>
  <c r="Z65" i="22"/>
  <c r="Z66" i="22" s="1"/>
  <c r="Z68" i="22" s="1"/>
  <c r="T173" i="22"/>
  <c r="Q181" i="22"/>
  <c r="Q182" i="22" s="1"/>
  <c r="AB13" i="5"/>
  <c r="AC13" i="5" s="1"/>
  <c r="AB8" i="5"/>
  <c r="AC8" i="5" s="1"/>
  <c r="AB11" i="5"/>
  <c r="AC11" i="5" s="1"/>
  <c r="AB12" i="5"/>
  <c r="AC12" i="5" s="1"/>
  <c r="AB9" i="5"/>
  <c r="AC9" i="5" s="1"/>
  <c r="AB7" i="5"/>
  <c r="AC7" i="5" s="1"/>
  <c r="AB10" i="5"/>
  <c r="AC10" i="5" s="1"/>
  <c r="AD18" i="2"/>
  <c r="AE18" i="2" s="1"/>
  <c r="AD8" i="2"/>
  <c r="AE8" i="2" s="1"/>
  <c r="AD7" i="2"/>
  <c r="AD9" i="2"/>
  <c r="AE9" i="2" s="1"/>
  <c r="AD17" i="2"/>
  <c r="AE17" i="2" s="1"/>
  <c r="AB6" i="5"/>
  <c r="AC6" i="5" s="1"/>
  <c r="AB15" i="5"/>
  <c r="AC15" i="5" s="1"/>
  <c r="AB14" i="5"/>
  <c r="AC14" i="5" s="1"/>
  <c r="AB4" i="5"/>
  <c r="AB5" i="5"/>
  <c r="AC5" i="5" s="1"/>
  <c r="AC4" i="4"/>
  <c r="AC14" i="4"/>
  <c r="AD14" i="4" s="1"/>
  <c r="AC6" i="4"/>
  <c r="AD6" i="4" s="1"/>
  <c r="AC5" i="4"/>
  <c r="AD5" i="4" s="1"/>
  <c r="AC15" i="4"/>
  <c r="AD15" i="4" s="1"/>
  <c r="AC7" i="4"/>
  <c r="AD7" i="4" s="1"/>
  <c r="AC9" i="4"/>
  <c r="AD9" i="4" s="1"/>
  <c r="AC10" i="4"/>
  <c r="AD10" i="4" s="1"/>
  <c r="AC13" i="4"/>
  <c r="AD13" i="4" s="1"/>
  <c r="AC8" i="4"/>
  <c r="AD8" i="4" s="1"/>
  <c r="AC12" i="4"/>
  <c r="AD12" i="4" s="1"/>
  <c r="AC11" i="4"/>
  <c r="AD11" i="4" s="1"/>
  <c r="AD10" i="2"/>
  <c r="AE10" i="2" s="1"/>
  <c r="AD13" i="2"/>
  <c r="AE13" i="2" s="1"/>
  <c r="AD12" i="2"/>
  <c r="AE12" i="2" s="1"/>
  <c r="AD11" i="2"/>
  <c r="AE11" i="2" s="1"/>
  <c r="AD16" i="2"/>
  <c r="AE16" i="2" s="1"/>
  <c r="AD15" i="2"/>
  <c r="AE15" i="2" s="1"/>
  <c r="AD14" i="2"/>
  <c r="AE14" i="2" s="1"/>
  <c r="S192" i="22"/>
  <c r="S179" i="22"/>
  <c r="S193" i="22" s="1"/>
  <c r="W150" i="22"/>
  <c r="V157" i="22"/>
  <c r="V155" i="22"/>
  <c r="R192" i="22"/>
  <c r="R179" i="22"/>
  <c r="R193" i="22" s="1"/>
  <c r="S191" i="22"/>
  <c r="U171" i="22"/>
  <c r="U161" i="22"/>
  <c r="U170" i="22"/>
  <c r="U172" i="22"/>
  <c r="T174" i="22"/>
  <c r="T177" i="22"/>
  <c r="T180" i="22"/>
  <c r="T194" i="22" s="1"/>
  <c r="W52" i="22"/>
  <c r="V76" i="22"/>
  <c r="I61" i="22"/>
  <c r="I37" i="22" s="1"/>
  <c r="I38" i="22"/>
  <c r="J78" i="22"/>
  <c r="J79" i="22" s="1"/>
  <c r="J81" i="22" s="1"/>
  <c r="J57" i="22"/>
  <c r="N75" i="22"/>
  <c r="N77" i="22" s="1"/>
  <c r="X73" i="22"/>
  <c r="Y46" i="22"/>
  <c r="H37" i="22"/>
  <c r="W94" i="22"/>
  <c r="W95" i="22" s="1"/>
  <c r="X30" i="22"/>
  <c r="Q49" i="22"/>
  <c r="R48" i="22" s="1"/>
  <c r="L55" i="22"/>
  <c r="M54" i="22" s="1"/>
  <c r="X153" i="22"/>
  <c r="W154" i="22"/>
  <c r="W155" i="22" s="1"/>
  <c r="O74" i="22"/>
  <c r="O51" i="22"/>
  <c r="P50" i="22"/>
  <c r="K56" i="22"/>
  <c r="Z158" i="22"/>
  <c r="Z160" i="22" s="1"/>
  <c r="AA151" i="22"/>
  <c r="G89" i="22"/>
  <c r="W31" i="22"/>
  <c r="V32" i="22"/>
  <c r="V34" i="22" s="1"/>
  <c r="AA65" i="22" l="1"/>
  <c r="AA66" i="22" s="1"/>
  <c r="AA68" i="22" s="1"/>
  <c r="AB35" i="22"/>
  <c r="R195" i="22"/>
  <c r="R197" i="22" s="1"/>
  <c r="S181" i="22"/>
  <c r="S182" i="22" s="1"/>
  <c r="S195" i="22"/>
  <c r="S197" i="22" s="1"/>
  <c r="AD4" i="4"/>
  <c r="AD18" i="4" s="1"/>
  <c r="AC18" i="4"/>
  <c r="AE7" i="2"/>
  <c r="AE21" i="2" s="1"/>
  <c r="AD21" i="2"/>
  <c r="AC4" i="5"/>
  <c r="AC18" i="5" s="1"/>
  <c r="AB18" i="5"/>
  <c r="R181" i="22"/>
  <c r="R182" i="22" s="1"/>
  <c r="U180" i="22"/>
  <c r="U194" i="22" s="1"/>
  <c r="U177" i="22"/>
  <c r="X150" i="22"/>
  <c r="W157" i="22"/>
  <c r="I39" i="22"/>
  <c r="I89" i="22" s="1"/>
  <c r="T178" i="22"/>
  <c r="T191" i="22"/>
  <c r="U173" i="22"/>
  <c r="U174" i="22" s="1"/>
  <c r="V161" i="22"/>
  <c r="V171" i="22"/>
  <c r="V172" i="22"/>
  <c r="V170" i="22"/>
  <c r="AB151" i="22"/>
  <c r="AA158" i="22"/>
  <c r="AA160" i="22" s="1"/>
  <c r="X52" i="22"/>
  <c r="W76" i="22"/>
  <c r="X31" i="22"/>
  <c r="W32" i="22"/>
  <c r="W34" i="22" s="1"/>
  <c r="X94" i="22"/>
  <c r="X95" i="22" s="1"/>
  <c r="Y30" i="22"/>
  <c r="Y73" i="22"/>
  <c r="Z46" i="22"/>
  <c r="Y153" i="22"/>
  <c r="X154" i="22"/>
  <c r="M55" i="22"/>
  <c r="AY54" i="22"/>
  <c r="L56" i="22"/>
  <c r="K78" i="22"/>
  <c r="K79" i="22" s="1"/>
  <c r="K81" i="22" s="1"/>
  <c r="K57" i="22"/>
  <c r="R49" i="22"/>
  <c r="S48" i="22" s="1"/>
  <c r="J36" i="22"/>
  <c r="J59" i="22"/>
  <c r="J69" i="22"/>
  <c r="J60" i="22"/>
  <c r="P74" i="22"/>
  <c r="P51" i="22"/>
  <c r="Q50" i="22"/>
  <c r="H39" i="22"/>
  <c r="O75" i="22"/>
  <c r="O77" i="22" s="1"/>
  <c r="AC35" i="22" l="1"/>
  <c r="AC65" i="22" s="1"/>
  <c r="AC66" i="22" s="1"/>
  <c r="AC68" i="22" s="1"/>
  <c r="AB65" i="22"/>
  <c r="AB66" i="22" s="1"/>
  <c r="AB68" i="22" s="1"/>
  <c r="AD35" i="22"/>
  <c r="G24" i="1"/>
  <c r="AC20" i="5"/>
  <c r="H24" i="1" s="1"/>
  <c r="AD20" i="4"/>
  <c r="H23" i="1" s="1"/>
  <c r="G23" i="1"/>
  <c r="AE23" i="2"/>
  <c r="H22" i="1" s="1"/>
  <c r="G22" i="1"/>
  <c r="V180" i="22"/>
  <c r="V194" i="22" s="1"/>
  <c r="V177" i="22"/>
  <c r="V173" i="22"/>
  <c r="V174" i="22" s="1"/>
  <c r="T192" i="22"/>
  <c r="T179" i="22"/>
  <c r="T193" i="22" s="1"/>
  <c r="W171" i="22"/>
  <c r="W170" i="22"/>
  <c r="W172" i="22"/>
  <c r="W161" i="22"/>
  <c r="U191" i="22"/>
  <c r="U178" i="22"/>
  <c r="U192" i="22" s="1"/>
  <c r="X157" i="22"/>
  <c r="Y150" i="22"/>
  <c r="X155" i="22"/>
  <c r="Q74" i="22"/>
  <c r="Q51" i="22"/>
  <c r="X76" i="22"/>
  <c r="Y52" i="22"/>
  <c r="P75" i="22"/>
  <c r="P77" i="22" s="1"/>
  <c r="S49" i="22"/>
  <c r="T48" i="22" s="1"/>
  <c r="R50" i="22"/>
  <c r="Z30" i="22"/>
  <c r="Y94" i="22"/>
  <c r="Y95" i="22" s="1"/>
  <c r="K69" i="22"/>
  <c r="K36" i="22"/>
  <c r="K60" i="22"/>
  <c r="K59" i="22"/>
  <c r="L78" i="22"/>
  <c r="L79" i="22" s="1"/>
  <c r="L81" i="22" s="1"/>
  <c r="L57" i="22"/>
  <c r="N54" i="22"/>
  <c r="AY55" i="22"/>
  <c r="H89" i="22"/>
  <c r="M56" i="22"/>
  <c r="Z153" i="22"/>
  <c r="Y154" i="22"/>
  <c r="X32" i="22"/>
  <c r="X34" i="22" s="1"/>
  <c r="Y31" i="22"/>
  <c r="J61" i="22"/>
  <c r="J37" i="22" s="1"/>
  <c r="J38" i="22"/>
  <c r="AD65" i="22"/>
  <c r="AD66" i="22" s="1"/>
  <c r="AD68" i="22" s="1"/>
  <c r="AE35" i="22"/>
  <c r="Z73" i="22"/>
  <c r="AA46" i="22"/>
  <c r="AC151" i="22"/>
  <c r="AB158" i="22"/>
  <c r="AB160" i="22" s="1"/>
  <c r="Y155" i="22" l="1"/>
  <c r="W173" i="22"/>
  <c r="J39" i="22"/>
  <c r="J89" i="22" s="1"/>
  <c r="T195" i="22"/>
  <c r="T197" i="22" s="1"/>
  <c r="U179" i="22"/>
  <c r="U193" i="22" s="1"/>
  <c r="U195" i="22" s="1"/>
  <c r="U197" i="22" s="1"/>
  <c r="T181" i="22"/>
  <c r="T182" i="22" s="1"/>
  <c r="Y157" i="22"/>
  <c r="Z150" i="22"/>
  <c r="V178" i="22"/>
  <c r="V191" i="22"/>
  <c r="X161" i="22"/>
  <c r="X171" i="22"/>
  <c r="X172" i="22"/>
  <c r="X170" i="22"/>
  <c r="W174" i="22"/>
  <c r="W180" i="22"/>
  <c r="W194" i="22" s="1"/>
  <c r="W177" i="22"/>
  <c r="Z31" i="22"/>
  <c r="Y32" i="22"/>
  <c r="Y34" i="22" s="1"/>
  <c r="N55" i="22"/>
  <c r="O54" i="22" s="1"/>
  <c r="L36" i="22"/>
  <c r="L69" i="22"/>
  <c r="L60" i="22"/>
  <c r="L59" i="22"/>
  <c r="Z94" i="22"/>
  <c r="Z95" i="22" s="1"/>
  <c r="AA30" i="22"/>
  <c r="R74" i="22"/>
  <c r="R51" i="22"/>
  <c r="Y76" i="22"/>
  <c r="Z52" i="22"/>
  <c r="AC158" i="22"/>
  <c r="AC160" i="22" s="1"/>
  <c r="AD151" i="22"/>
  <c r="AB46" i="22"/>
  <c r="AA73" i="22"/>
  <c r="AE65" i="22"/>
  <c r="AE66" i="22" s="1"/>
  <c r="AE68" i="22" s="1"/>
  <c r="AF35" i="22"/>
  <c r="K61" i="22"/>
  <c r="K37" i="22" s="1"/>
  <c r="K38" i="22"/>
  <c r="AA153" i="22"/>
  <c r="Z154" i="22"/>
  <c r="Q75" i="22"/>
  <c r="Q77" i="22" s="1"/>
  <c r="M78" i="22"/>
  <c r="M79" i="22" s="1"/>
  <c r="M81" i="22" s="1"/>
  <c r="AY56" i="22"/>
  <c r="M57" i="22"/>
  <c r="T49" i="22"/>
  <c r="U48" i="22" s="1"/>
  <c r="S50" i="22"/>
  <c r="U181" i="22" l="1"/>
  <c r="U182" i="22" s="1"/>
  <c r="X173" i="22"/>
  <c r="X174" i="22" s="1"/>
  <c r="T50" i="22"/>
  <c r="T74" i="22" s="1"/>
  <c r="Z155" i="22"/>
  <c r="W191" i="22"/>
  <c r="W178" i="22"/>
  <c r="W192" i="22" s="1"/>
  <c r="Y170" i="22"/>
  <c r="Y161" i="22"/>
  <c r="Y171" i="22"/>
  <c r="Y172" i="22"/>
  <c r="V192" i="22"/>
  <c r="V179" i="22"/>
  <c r="V193" i="22" s="1"/>
  <c r="X177" i="22"/>
  <c r="X178" i="22" s="1"/>
  <c r="X192" i="22" s="1"/>
  <c r="X180" i="22"/>
  <c r="X194" i="22" s="1"/>
  <c r="K39" i="22"/>
  <c r="K89" i="22" s="1"/>
  <c r="N56" i="22"/>
  <c r="N57" i="22" s="1"/>
  <c r="AA150" i="22"/>
  <c r="Z157" i="22"/>
  <c r="AA154" i="22"/>
  <c r="AB153" i="22"/>
  <c r="AA94" i="22"/>
  <c r="AA95" i="22" s="1"/>
  <c r="AB30" i="22"/>
  <c r="AE151" i="22"/>
  <c r="AD158" i="22"/>
  <c r="AD160" i="22" s="1"/>
  <c r="L61" i="22"/>
  <c r="L37" i="22" s="1"/>
  <c r="L38" i="22"/>
  <c r="O55" i="22"/>
  <c r="P54" i="22" s="1"/>
  <c r="AF65" i="22"/>
  <c r="AF66" i="22" s="1"/>
  <c r="AF68" i="22" s="1"/>
  <c r="AG35" i="22"/>
  <c r="S74" i="22"/>
  <c r="S51" i="22"/>
  <c r="M69" i="22"/>
  <c r="M36" i="22"/>
  <c r="M60" i="22"/>
  <c r="AY60" i="22" s="1"/>
  <c r="M59" i="22"/>
  <c r="AY57" i="22"/>
  <c r="AA52" i="22"/>
  <c r="Z76" i="22"/>
  <c r="R75" i="22"/>
  <c r="R77" i="22" s="1"/>
  <c r="AA31" i="22"/>
  <c r="Z32" i="22"/>
  <c r="Z34" i="22" s="1"/>
  <c r="U49" i="22"/>
  <c r="V48" i="22" s="1"/>
  <c r="AB73" i="22"/>
  <c r="AC46" i="22"/>
  <c r="V195" i="22" l="1"/>
  <c r="V197" i="22" s="1"/>
  <c r="T51" i="22"/>
  <c r="O56" i="22"/>
  <c r="O78" i="22" s="1"/>
  <c r="O79" i="22" s="1"/>
  <c r="O81" i="22" s="1"/>
  <c r="W179" i="22"/>
  <c r="W193" i="22" s="1"/>
  <c r="W195" i="22" s="1"/>
  <c r="W197" i="22" s="1"/>
  <c r="N78" i="22"/>
  <c r="N79" i="22" s="1"/>
  <c r="N81" i="22" s="1"/>
  <c r="V181" i="22"/>
  <c r="V182" i="22" s="1"/>
  <c r="Z161" i="22"/>
  <c r="Z171" i="22"/>
  <c r="Z172" i="22"/>
  <c r="Z170" i="22"/>
  <c r="Y173" i="22"/>
  <c r="Y174" i="22" s="1"/>
  <c r="Y180" i="22"/>
  <c r="Y194" i="22" s="1"/>
  <c r="Y177" i="22"/>
  <c r="Y178" i="22" s="1"/>
  <c r="Y192" i="22" s="1"/>
  <c r="AB150" i="22"/>
  <c r="AA157" i="22"/>
  <c r="X191" i="22"/>
  <c r="U50" i="22"/>
  <c r="U74" i="22" s="1"/>
  <c r="L39" i="22"/>
  <c r="L89" i="22" s="1"/>
  <c r="AA155" i="22"/>
  <c r="X179" i="22"/>
  <c r="X193" i="22" s="1"/>
  <c r="AB94" i="22"/>
  <c r="AB95" i="22" s="1"/>
  <c r="AC30" i="22"/>
  <c r="AD46" i="22"/>
  <c r="AC73" i="22"/>
  <c r="AY36" i="22"/>
  <c r="AG65" i="22"/>
  <c r="AG66" i="22" s="1"/>
  <c r="AG68" i="22" s="1"/>
  <c r="AH35" i="22"/>
  <c r="AE158" i="22"/>
  <c r="AE160" i="22" s="1"/>
  <c r="AF151" i="22"/>
  <c r="AC153" i="22"/>
  <c r="AB154" i="22"/>
  <c r="M61" i="22"/>
  <c r="M38" i="22"/>
  <c r="AY38" i="22" s="1"/>
  <c r="AY59" i="22"/>
  <c r="AB31" i="22"/>
  <c r="AA32" i="22"/>
  <c r="AA34" i="22" s="1"/>
  <c r="S75" i="22"/>
  <c r="S77" i="22" s="1"/>
  <c r="AA76" i="22"/>
  <c r="AB52" i="22"/>
  <c r="T75" i="22"/>
  <c r="T77" i="22" s="1"/>
  <c r="V49" i="22"/>
  <c r="W48" i="22" s="1"/>
  <c r="N69" i="22"/>
  <c r="N60" i="22"/>
  <c r="N36" i="22"/>
  <c r="N59" i="22"/>
  <c r="P55" i="22"/>
  <c r="Q54" i="22" s="1"/>
  <c r="AB155" i="22" l="1"/>
  <c r="U51" i="22"/>
  <c r="U75" i="22" s="1"/>
  <c r="U77" i="22" s="1"/>
  <c r="O57" i="22"/>
  <c r="O59" i="22" s="1"/>
  <c r="W181" i="22"/>
  <c r="W182" i="22" s="1"/>
  <c r="X181" i="22"/>
  <c r="X182" i="22" s="1"/>
  <c r="AB157" i="22"/>
  <c r="AC150" i="22"/>
  <c r="Z180" i="22"/>
  <c r="Z194" i="22" s="1"/>
  <c r="Z177" i="22"/>
  <c r="X195" i="22"/>
  <c r="X197" i="22" s="1"/>
  <c r="Y179" i="22"/>
  <c r="Y193" i="22" s="1"/>
  <c r="Y191" i="22"/>
  <c r="AA172" i="22"/>
  <c r="AA161" i="22"/>
  <c r="AA171" i="22"/>
  <c r="AA170" i="22"/>
  <c r="Z173" i="22"/>
  <c r="Z174" i="22" s="1"/>
  <c r="V50" i="22"/>
  <c r="AC31" i="22"/>
  <c r="AB32" i="22"/>
  <c r="AB34" i="22" s="1"/>
  <c r="AD73" i="22"/>
  <c r="AE46" i="22"/>
  <c r="Q55" i="22"/>
  <c r="R54" i="22" s="1"/>
  <c r="P56" i="22"/>
  <c r="AB76" i="22"/>
  <c r="AC52" i="22"/>
  <c r="N61" i="22"/>
  <c r="N37" i="22" s="1"/>
  <c r="N38" i="22"/>
  <c r="AF158" i="22"/>
  <c r="AF160" i="22" s="1"/>
  <c r="AG151" i="22"/>
  <c r="W49" i="22"/>
  <c r="X48" i="22" s="1"/>
  <c r="AD153" i="22"/>
  <c r="AC154" i="22"/>
  <c r="AC94" i="22"/>
  <c r="AC95" i="22" s="1"/>
  <c r="AD30" i="22"/>
  <c r="M37" i="22"/>
  <c r="AY61" i="22"/>
  <c r="AH65" i="22"/>
  <c r="AH66" i="22" s="1"/>
  <c r="AH68" i="22" s="1"/>
  <c r="AI35" i="22"/>
  <c r="O60" i="22" l="1"/>
  <c r="O36" i="22"/>
  <c r="O69" i="22"/>
  <c r="AC155" i="22"/>
  <c r="Y181" i="22"/>
  <c r="Y182" i="22" s="1"/>
  <c r="N39" i="22"/>
  <c r="N89" i="22" s="1"/>
  <c r="AA173" i="22"/>
  <c r="AA174" i="22" s="1"/>
  <c r="AA180" i="22"/>
  <c r="AA194" i="22" s="1"/>
  <c r="AA177" i="22"/>
  <c r="AA178" i="22" s="1"/>
  <c r="AA192" i="22" s="1"/>
  <c r="Z191" i="22"/>
  <c r="AB170" i="22"/>
  <c r="AB161" i="22"/>
  <c r="AB172" i="22"/>
  <c r="AB171" i="22"/>
  <c r="Y195" i="22"/>
  <c r="Y197" i="22" s="1"/>
  <c r="Z178" i="22"/>
  <c r="Z192" i="22" s="1"/>
  <c r="AC157" i="22"/>
  <c r="AD150" i="22"/>
  <c r="AC76" i="22"/>
  <c r="AD52" i="22"/>
  <c r="AI65" i="22"/>
  <c r="AI66" i="22" s="1"/>
  <c r="AI68" i="22" s="1"/>
  <c r="AJ35" i="22"/>
  <c r="P78" i="22"/>
  <c r="P79" i="22" s="1"/>
  <c r="P81" i="22" s="1"/>
  <c r="P57" i="22"/>
  <c r="AD31" i="22"/>
  <c r="AC32" i="22"/>
  <c r="AC34" i="22" s="1"/>
  <c r="AY37" i="22"/>
  <c r="AZ39" i="22" s="1"/>
  <c r="M39" i="22"/>
  <c r="X49" i="22"/>
  <c r="Y48" i="22" s="1"/>
  <c r="W50" i="22"/>
  <c r="AD94" i="22"/>
  <c r="AD95" i="22" s="1"/>
  <c r="AE30" i="22"/>
  <c r="AG158" i="22"/>
  <c r="AG160" i="22" s="1"/>
  <c r="AH151" i="22"/>
  <c r="R55" i="22"/>
  <c r="S54" i="22" s="1"/>
  <c r="V74" i="22"/>
  <c r="V51" i="22"/>
  <c r="Q56" i="22"/>
  <c r="O61" i="22"/>
  <c r="O37" i="22" s="1"/>
  <c r="O38" i="22"/>
  <c r="AD154" i="22"/>
  <c r="AE153" i="22"/>
  <c r="AE73" i="22"/>
  <c r="AF46" i="22"/>
  <c r="O39" i="22" l="1"/>
  <c r="O89" i="22" s="1"/>
  <c r="AD155" i="22"/>
  <c r="Z179" i="22"/>
  <c r="Z193" i="22" s="1"/>
  <c r="Z195" i="22" s="1"/>
  <c r="Z197" i="22" s="1"/>
  <c r="X50" i="22"/>
  <c r="X51" i="22" s="1"/>
  <c r="AA179" i="22"/>
  <c r="AA193" i="22" s="1"/>
  <c r="AB180" i="22"/>
  <c r="AB194" i="22" s="1"/>
  <c r="AB177" i="22"/>
  <c r="AB173" i="22"/>
  <c r="AB174" i="22" s="1"/>
  <c r="AD157" i="22"/>
  <c r="AE150" i="22"/>
  <c r="AA191" i="22"/>
  <c r="AC161" i="22"/>
  <c r="AC171" i="22"/>
  <c r="AC170" i="22"/>
  <c r="AC172" i="22"/>
  <c r="AJ65" i="22"/>
  <c r="AJ66" i="22" s="1"/>
  <c r="AJ68" i="22" s="1"/>
  <c r="BA35" i="22"/>
  <c r="AK35" i="22"/>
  <c r="AF73" i="22"/>
  <c r="AG46" i="22"/>
  <c r="S55" i="22"/>
  <c r="T54" i="22" s="1"/>
  <c r="AE94" i="22"/>
  <c r="AE95" i="22" s="1"/>
  <c r="AF30" i="22"/>
  <c r="AE154" i="22"/>
  <c r="AE155" i="22" s="1"/>
  <c r="AF153" i="22"/>
  <c r="AD76" i="22"/>
  <c r="AE52" i="22"/>
  <c r="Q78" i="22"/>
  <c r="Q79" i="22" s="1"/>
  <c r="Q81" i="22" s="1"/>
  <c r="Q57" i="22"/>
  <c r="V75" i="22"/>
  <c r="V77" i="22" s="1"/>
  <c r="AH158" i="22"/>
  <c r="AH160" i="22" s="1"/>
  <c r="AI151" i="22"/>
  <c r="M89" i="22"/>
  <c r="AY39" i="22"/>
  <c r="R56" i="22"/>
  <c r="AE31" i="22"/>
  <c r="AD32" i="22"/>
  <c r="AD34" i="22" s="1"/>
  <c r="W74" i="22"/>
  <c r="W51" i="22"/>
  <c r="P69" i="22"/>
  <c r="P36" i="22"/>
  <c r="P60" i="22"/>
  <c r="P59" i="22"/>
  <c r="Y49" i="22"/>
  <c r="Z48" i="22" s="1"/>
  <c r="AA181" i="22" l="1"/>
  <c r="AA182" i="22" s="1"/>
  <c r="Z181" i="22"/>
  <c r="Z182" i="22" s="1"/>
  <c r="AA195" i="22"/>
  <c r="AA197" i="22" s="1"/>
  <c r="X74" i="22"/>
  <c r="AE157" i="22"/>
  <c r="AF150" i="22"/>
  <c r="AC177" i="22"/>
  <c r="AC178" i="22" s="1"/>
  <c r="AC192" i="22" s="1"/>
  <c r="AC180" i="22"/>
  <c r="AC194" i="22" s="1"/>
  <c r="AD161" i="22"/>
  <c r="AD171" i="22"/>
  <c r="AD170" i="22"/>
  <c r="AD172" i="22"/>
  <c r="S56" i="22"/>
  <c r="S57" i="22" s="1"/>
  <c r="AB191" i="22"/>
  <c r="AC173" i="22"/>
  <c r="AC174" i="22" s="1"/>
  <c r="AB178" i="22"/>
  <c r="AB192" i="22" s="1"/>
  <c r="AF154" i="22"/>
  <c r="AG153" i="22"/>
  <c r="X75" i="22"/>
  <c r="X77" i="22" s="1"/>
  <c r="AF52" i="22"/>
  <c r="AE76" i="22"/>
  <c r="AH46" i="22"/>
  <c r="AG73" i="22"/>
  <c r="W75" i="22"/>
  <c r="W77" i="22" s="1"/>
  <c r="AI158" i="22"/>
  <c r="AI160" i="22" s="1"/>
  <c r="AJ151" i="22"/>
  <c r="AK65" i="22"/>
  <c r="AL35" i="22"/>
  <c r="Q69" i="22"/>
  <c r="Q36" i="22"/>
  <c r="Q60" i="22"/>
  <c r="Q59" i="22"/>
  <c r="Z49" i="22"/>
  <c r="AA48" i="22" s="1"/>
  <c r="AF94" i="22"/>
  <c r="AF95" i="22" s="1"/>
  <c r="AG30" i="22"/>
  <c r="Y50" i="22"/>
  <c r="AF31" i="22"/>
  <c r="AE32" i="22"/>
  <c r="AE34" i="22" s="1"/>
  <c r="R78" i="22"/>
  <c r="R79" i="22" s="1"/>
  <c r="R81" i="22" s="1"/>
  <c r="R57" i="22"/>
  <c r="P61" i="22"/>
  <c r="P37" i="22" s="1"/>
  <c r="P38" i="22"/>
  <c r="T55" i="22"/>
  <c r="U54" i="22" s="1"/>
  <c r="AD173" i="22" l="1"/>
  <c r="AD174" i="22" s="1"/>
  <c r="S78" i="22"/>
  <c r="S79" i="22" s="1"/>
  <c r="S81" i="22" s="1"/>
  <c r="P39" i="22"/>
  <c r="P89" i="22" s="1"/>
  <c r="AF155" i="22"/>
  <c r="AG150" i="22"/>
  <c r="AF157" i="22"/>
  <c r="AD177" i="22"/>
  <c r="AD178" i="22" s="1"/>
  <c r="AD192" i="22" s="1"/>
  <c r="AD180" i="22"/>
  <c r="AD194" i="22" s="1"/>
  <c r="AE172" i="22"/>
  <c r="AE161" i="22"/>
  <c r="AE171" i="22"/>
  <c r="AE170" i="22"/>
  <c r="AC179" i="22"/>
  <c r="AC193" i="22" s="1"/>
  <c r="AC191" i="22"/>
  <c r="AB179" i="22"/>
  <c r="AB193" i="22" s="1"/>
  <c r="AB195" i="22" s="1"/>
  <c r="AB197" i="22" s="1"/>
  <c r="AH73" i="22"/>
  <c r="AI46" i="22"/>
  <c r="AG31" i="22"/>
  <c r="AF32" i="22"/>
  <c r="AF34" i="22" s="1"/>
  <c r="Q61" i="22"/>
  <c r="Q37" i="22" s="1"/>
  <c r="Q38" i="22"/>
  <c r="AF76" i="22"/>
  <c r="AG52" i="22"/>
  <c r="AH153" i="22"/>
  <c r="AG154" i="22"/>
  <c r="S69" i="22"/>
  <c r="S60" i="22"/>
  <c r="S36" i="22"/>
  <c r="S59" i="22"/>
  <c r="U55" i="22"/>
  <c r="V54" i="22" s="1"/>
  <c r="AA49" i="22"/>
  <c r="AB48" i="22" s="1"/>
  <c r="R36" i="22"/>
  <c r="R69" i="22"/>
  <c r="R59" i="22"/>
  <c r="R60" i="22"/>
  <c r="AK66" i="22"/>
  <c r="AK68" i="22" s="1"/>
  <c r="AV65" i="22"/>
  <c r="AK151" i="22"/>
  <c r="AJ158" i="22"/>
  <c r="AJ160" i="22" s="1"/>
  <c r="T56" i="22"/>
  <c r="Y74" i="22"/>
  <c r="Y51" i="22"/>
  <c r="Z50" i="22"/>
  <c r="AL65" i="22"/>
  <c r="AL66" i="22" s="1"/>
  <c r="AL68" i="22" s="1"/>
  <c r="AM35" i="22"/>
  <c r="AG94" i="22"/>
  <c r="AG95" i="22" s="1"/>
  <c r="AH30" i="22"/>
  <c r="AG155" i="22" l="1"/>
  <c r="AD179" i="22"/>
  <c r="AD193" i="22" s="1"/>
  <c r="AB181" i="22"/>
  <c r="AB182" i="22" s="1"/>
  <c r="Q39" i="22"/>
  <c r="Q89" i="22" s="1"/>
  <c r="AC195" i="22"/>
  <c r="AC197" i="22" s="1"/>
  <c r="AA50" i="22"/>
  <c r="AA74" i="22" s="1"/>
  <c r="AE173" i="22"/>
  <c r="AE174" i="22" s="1"/>
  <c r="AE177" i="22"/>
  <c r="AE180" i="22"/>
  <c r="AE194" i="22" s="1"/>
  <c r="U56" i="22"/>
  <c r="U78" i="22" s="1"/>
  <c r="U79" i="22" s="1"/>
  <c r="U81" i="22" s="1"/>
  <c r="AC181" i="22"/>
  <c r="AC182" i="22" s="1"/>
  <c r="AD191" i="22"/>
  <c r="AF171" i="22"/>
  <c r="AF170" i="22"/>
  <c r="AF161" i="22"/>
  <c r="AF172" i="22"/>
  <c r="AG157" i="22"/>
  <c r="AH150" i="22"/>
  <c r="Z74" i="22"/>
  <c r="Z51" i="22"/>
  <c r="Y75" i="22"/>
  <c r="Y77" i="22" s="1"/>
  <c r="R61" i="22"/>
  <c r="R37" i="22" s="1"/>
  <c r="R38" i="22"/>
  <c r="AH31" i="22"/>
  <c r="AG32" i="22"/>
  <c r="AG34" i="22" s="1"/>
  <c r="AK158" i="22"/>
  <c r="AK160" i="22" s="1"/>
  <c r="AL151" i="22"/>
  <c r="AM65" i="22"/>
  <c r="AM66" i="22" s="1"/>
  <c r="AM68" i="22" s="1"/>
  <c r="AN35" i="22"/>
  <c r="T78" i="22"/>
  <c r="T79" i="22" s="1"/>
  <c r="T81" i="22" s="1"/>
  <c r="T57" i="22"/>
  <c r="AI153" i="22"/>
  <c r="AH154" i="22"/>
  <c r="S61" i="22"/>
  <c r="S37" i="22" s="1"/>
  <c r="S38" i="22"/>
  <c r="AH94" i="22"/>
  <c r="AH95" i="22" s="1"/>
  <c r="AI30" i="22"/>
  <c r="AI73" i="22"/>
  <c r="AJ46" i="22"/>
  <c r="AB49" i="22"/>
  <c r="AC48" i="22" s="1"/>
  <c r="V55" i="22"/>
  <c r="W54" i="22" s="1"/>
  <c r="AH52" i="22"/>
  <c r="AI52" i="22" s="1"/>
  <c r="AJ52" i="22" s="1"/>
  <c r="AK52" i="22" s="1"/>
  <c r="AL52" i="22" s="1"/>
  <c r="AM52" i="22" s="1"/>
  <c r="AN52" i="22" s="1"/>
  <c r="AO52" i="22" s="1"/>
  <c r="AP52" i="22" s="1"/>
  <c r="AQ52" i="22" s="1"/>
  <c r="AR52" i="22" s="1"/>
  <c r="AS52" i="22" s="1"/>
  <c r="AT52" i="22" s="1"/>
  <c r="AU52" i="22" s="1"/>
  <c r="AG76" i="22"/>
  <c r="U57" i="22" l="1"/>
  <c r="U60" i="22" s="1"/>
  <c r="R39" i="22"/>
  <c r="R89" i="22" s="1"/>
  <c r="AD195" i="22"/>
  <c r="AD197" i="22" s="1"/>
  <c r="AA51" i="22"/>
  <c r="AF173" i="22"/>
  <c r="AF174" i="22" s="1"/>
  <c r="AH155" i="22"/>
  <c r="AD181" i="22"/>
  <c r="AD182" i="22" s="1"/>
  <c r="S39" i="22"/>
  <c r="S89" i="22" s="1"/>
  <c r="AI150" i="22"/>
  <c r="AH157" i="22"/>
  <c r="AE191" i="22"/>
  <c r="AE178" i="22"/>
  <c r="AG170" i="22"/>
  <c r="AG161" i="22"/>
  <c r="AG171" i="22"/>
  <c r="AG172" i="22"/>
  <c r="AF180" i="22"/>
  <c r="AF194" i="22" s="1"/>
  <c r="AF177" i="22"/>
  <c r="AL158" i="22"/>
  <c r="AL160" i="22" s="1"/>
  <c r="AM151" i="22"/>
  <c r="W55" i="22"/>
  <c r="X54" i="22" s="1"/>
  <c r="AA75" i="22"/>
  <c r="AA77" i="22" s="1"/>
  <c r="AI31" i="22"/>
  <c r="AH32" i="22"/>
  <c r="AH34" i="22" s="1"/>
  <c r="V56" i="22"/>
  <c r="AB50" i="22"/>
  <c r="Z75" i="22"/>
  <c r="Z77" i="22" s="1"/>
  <c r="AN65" i="22"/>
  <c r="AN66" i="22" s="1"/>
  <c r="AN68" i="22" s="1"/>
  <c r="AO35" i="22"/>
  <c r="AC49" i="22"/>
  <c r="AD48" i="22" s="1"/>
  <c r="AI94" i="22"/>
  <c r="AI95" i="22" s="1"/>
  <c r="AJ30" i="22"/>
  <c r="T69" i="22"/>
  <c r="T60" i="22"/>
  <c r="T36" i="22"/>
  <c r="T59" i="22"/>
  <c r="AK46" i="22"/>
  <c r="AJ73" i="22"/>
  <c r="AI154" i="22"/>
  <c r="AJ153" i="22"/>
  <c r="U36" i="22" l="1"/>
  <c r="U69" i="22"/>
  <c r="U59" i="22"/>
  <c r="U38" i="22" s="1"/>
  <c r="AG173" i="22"/>
  <c r="AI155" i="22"/>
  <c r="AH170" i="22"/>
  <c r="AH171" i="22"/>
  <c r="AH161" i="22"/>
  <c r="AH172" i="22"/>
  <c r="AF191" i="22"/>
  <c r="AE192" i="22"/>
  <c r="AF178" i="22"/>
  <c r="AG180" i="22"/>
  <c r="AG194" i="22" s="1"/>
  <c r="AG177" i="22"/>
  <c r="AG174" i="22"/>
  <c r="AJ150" i="22"/>
  <c r="AI157" i="22"/>
  <c r="AC50" i="22"/>
  <c r="AC74" i="22" s="1"/>
  <c r="AE179" i="22"/>
  <c r="AE193" i="22" s="1"/>
  <c r="V78" i="22"/>
  <c r="V79" i="22" s="1"/>
  <c r="V81" i="22" s="1"/>
  <c r="V57" i="22"/>
  <c r="U61" i="22"/>
  <c r="U37" i="22" s="1"/>
  <c r="AB74" i="22"/>
  <c r="AB51" i="22"/>
  <c r="AN151" i="22"/>
  <c r="AM158" i="22"/>
  <c r="AM160" i="22" s="1"/>
  <c r="AO65" i="22"/>
  <c r="AO66" i="22" s="1"/>
  <c r="AO68" i="22" s="1"/>
  <c r="AP35" i="22"/>
  <c r="AJ31" i="22"/>
  <c r="AI32" i="22"/>
  <c r="AI34" i="22" s="1"/>
  <c r="AK30" i="22"/>
  <c r="AJ94" i="22"/>
  <c r="AJ95" i="22" s="1"/>
  <c r="AL46" i="22"/>
  <c r="AK73" i="22"/>
  <c r="AJ154" i="22"/>
  <c r="AK153" i="22"/>
  <c r="X55" i="22"/>
  <c r="Y54" i="22" s="1"/>
  <c r="T61" i="22"/>
  <c r="T37" i="22" s="1"/>
  <c r="T38" i="22"/>
  <c r="AD49" i="22"/>
  <c r="AE48" i="22" s="1"/>
  <c r="W56" i="22"/>
  <c r="AC51" i="22" l="1"/>
  <c r="AJ155" i="22"/>
  <c r="U39" i="22"/>
  <c r="U89" i="22" s="1"/>
  <c r="T39" i="22"/>
  <c r="T89" i="22" s="1"/>
  <c r="AG191" i="22"/>
  <c r="AH177" i="22"/>
  <c r="AH191" i="22" s="1"/>
  <c r="AH180" i="22"/>
  <c r="AH194" i="22" s="1"/>
  <c r="AK150" i="22"/>
  <c r="AJ157" i="22"/>
  <c r="AI171" i="22"/>
  <c r="AI170" i="22"/>
  <c r="AI161" i="22"/>
  <c r="AI172" i="22"/>
  <c r="AG178" i="22"/>
  <c r="AG192" i="22" s="1"/>
  <c r="AF192" i="22"/>
  <c r="AF179" i="22"/>
  <c r="AF193" i="22" s="1"/>
  <c r="AE195" i="22"/>
  <c r="AE197" i="22" s="1"/>
  <c r="AE181" i="22"/>
  <c r="AE182" i="22" s="1"/>
  <c r="AH173" i="22"/>
  <c r="AH174" i="22" s="1"/>
  <c r="Y55" i="22"/>
  <c r="Z54" i="22" s="1"/>
  <c r="V36" i="22"/>
  <c r="V69" i="22"/>
  <c r="V59" i="22"/>
  <c r="V60" i="22"/>
  <c r="AL153" i="22"/>
  <c r="AK154" i="22"/>
  <c r="AK31" i="22"/>
  <c r="AJ32" i="22"/>
  <c r="BA32" i="22" s="1"/>
  <c r="BA31" i="22"/>
  <c r="AE49" i="22"/>
  <c r="AF48" i="22" s="1"/>
  <c r="AC75" i="22"/>
  <c r="AC77" i="22" s="1"/>
  <c r="AL73" i="22"/>
  <c r="AM46" i="22"/>
  <c r="AB75" i="22"/>
  <c r="AB77" i="22" s="1"/>
  <c r="W78" i="22"/>
  <c r="W79" i="22" s="1"/>
  <c r="W81" i="22" s="1"/>
  <c r="W57" i="22"/>
  <c r="X56" i="22"/>
  <c r="AD50" i="22"/>
  <c r="AL30" i="22"/>
  <c r="AM30" i="22" s="1"/>
  <c r="AN30" i="22" s="1"/>
  <c r="AO30" i="22" s="1"/>
  <c r="AP30" i="22" s="1"/>
  <c r="AQ30" i="22" s="1"/>
  <c r="AR30" i="22" s="1"/>
  <c r="AS30" i="22" s="1"/>
  <c r="AT30" i="22" s="1"/>
  <c r="AU30" i="22" s="1"/>
  <c r="AO151" i="22"/>
  <c r="AN158" i="22"/>
  <c r="AN160" i="22" s="1"/>
  <c r="AP65" i="22"/>
  <c r="AP66" i="22" s="1"/>
  <c r="AP68" i="22" s="1"/>
  <c r="AQ35" i="22"/>
  <c r="AF195" i="22" l="1"/>
  <c r="AF197" i="22" s="1"/>
  <c r="AK155" i="22"/>
  <c r="AI173" i="22"/>
  <c r="AI174" i="22" s="1"/>
  <c r="AJ170" i="22"/>
  <c r="AJ172" i="22"/>
  <c r="AJ161" i="22"/>
  <c r="AJ171" i="22"/>
  <c r="AL150" i="22"/>
  <c r="AK157" i="22"/>
  <c r="AI177" i="22"/>
  <c r="AI178" i="22" s="1"/>
  <c r="AI192" i="22" s="1"/>
  <c r="AI180" i="22"/>
  <c r="AI194" i="22" s="1"/>
  <c r="AH178" i="22"/>
  <c r="AH192" i="22" s="1"/>
  <c r="AG179" i="22"/>
  <c r="AF181" i="22"/>
  <c r="AF182" i="22" s="1"/>
  <c r="AM73" i="22"/>
  <c r="AN46" i="22"/>
  <c r="AF49" i="22"/>
  <c r="AG48" i="22" s="1"/>
  <c r="W69" i="22"/>
  <c r="W36" i="22"/>
  <c r="W60" i="22"/>
  <c r="W59" i="22"/>
  <c r="AL31" i="22"/>
  <c r="AK32" i="22"/>
  <c r="AK34" i="22" s="1"/>
  <c r="AJ34" i="22"/>
  <c r="AE50" i="22"/>
  <c r="AL154" i="22"/>
  <c r="AM153" i="22"/>
  <c r="V61" i="22"/>
  <c r="V37" i="22" s="1"/>
  <c r="V38" i="22"/>
  <c r="Z55" i="22"/>
  <c r="AA54" i="22" s="1"/>
  <c r="AD74" i="22"/>
  <c r="AD51" i="22"/>
  <c r="Y56" i="22"/>
  <c r="AO158" i="22"/>
  <c r="AO160" i="22" s="1"/>
  <c r="AP151" i="22"/>
  <c r="AQ65" i="22"/>
  <c r="AQ66" i="22" s="1"/>
  <c r="AQ68" i="22" s="1"/>
  <c r="AR35" i="22"/>
  <c r="X78" i="22"/>
  <c r="X79" i="22" s="1"/>
  <c r="X81" i="22" s="1"/>
  <c r="X57" i="22"/>
  <c r="AL155" i="22" l="1"/>
  <c r="Z56" i="22"/>
  <c r="Z78" i="22" s="1"/>
  <c r="Z79" i="22" s="1"/>
  <c r="Z81" i="22" s="1"/>
  <c r="V39" i="22"/>
  <c r="V89" i="22" s="1"/>
  <c r="AI179" i="22"/>
  <c r="AI193" i="22" s="1"/>
  <c r="AH179" i="22"/>
  <c r="AH193" i="22" s="1"/>
  <c r="AH195" i="22" s="1"/>
  <c r="AH197" i="22" s="1"/>
  <c r="AJ173" i="22"/>
  <c r="AJ174" i="22" s="1"/>
  <c r="AK170" i="22"/>
  <c r="AK161" i="22"/>
  <c r="AK171" i="22"/>
  <c r="AK172" i="22"/>
  <c r="AG193" i="22"/>
  <c r="AG195" i="22" s="1"/>
  <c r="AG197" i="22" s="1"/>
  <c r="AG181" i="22"/>
  <c r="AG182" i="22" s="1"/>
  <c r="AI191" i="22"/>
  <c r="AM150" i="22"/>
  <c r="AL157" i="22"/>
  <c r="AJ177" i="22"/>
  <c r="AJ191" i="22" s="1"/>
  <c r="AJ180" i="22"/>
  <c r="AJ194" i="22" s="1"/>
  <c r="AD75" i="22"/>
  <c r="AD77" i="22" s="1"/>
  <c r="AP158" i="22"/>
  <c r="AP160" i="22" s="1"/>
  <c r="AQ151" i="22"/>
  <c r="AF50" i="22"/>
  <c r="AM154" i="22"/>
  <c r="AN153" i="22"/>
  <c r="AE74" i="22"/>
  <c r="AE51" i="22"/>
  <c r="AN73" i="22"/>
  <c r="AO46" i="22"/>
  <c r="AR65" i="22"/>
  <c r="AR66" i="22" s="1"/>
  <c r="AR68" i="22" s="1"/>
  <c r="AS35" i="22"/>
  <c r="AG49" i="22"/>
  <c r="AH48" i="22" s="1"/>
  <c r="X36" i="22"/>
  <c r="X69" i="22"/>
  <c r="X59" i="22"/>
  <c r="X60" i="22"/>
  <c r="AM31" i="22"/>
  <c r="AL32" i="22"/>
  <c r="AL34" i="22" s="1"/>
  <c r="BA34" i="22"/>
  <c r="Y78" i="22"/>
  <c r="Y79" i="22" s="1"/>
  <c r="Y81" i="22" s="1"/>
  <c r="Y57" i="22"/>
  <c r="AA55" i="22"/>
  <c r="AB54" i="22" s="1"/>
  <c r="W61" i="22"/>
  <c r="W37" i="22" s="1"/>
  <c r="W38" i="22"/>
  <c r="Z57" i="22" l="1"/>
  <c r="Z69" i="22" s="1"/>
  <c r="AI195" i="22"/>
  <c r="AI197" i="22" s="1"/>
  <c r="AJ178" i="22"/>
  <c r="AJ192" i="22" s="1"/>
  <c r="AM155" i="22"/>
  <c r="AI181" i="22"/>
  <c r="AI182" i="22" s="1"/>
  <c r="AH181" i="22"/>
  <c r="AH182" i="22" s="1"/>
  <c r="W39" i="22"/>
  <c r="W89" i="22" s="1"/>
  <c r="AM157" i="22"/>
  <c r="AN150" i="22"/>
  <c r="AL170" i="22"/>
  <c r="AL172" i="22"/>
  <c r="AL171" i="22"/>
  <c r="AL161" i="22"/>
  <c r="AK180" i="22"/>
  <c r="AK194" i="22" s="1"/>
  <c r="AK177" i="22"/>
  <c r="AK178" i="22" s="1"/>
  <c r="AK192" i="22" s="1"/>
  <c r="AK173" i="22"/>
  <c r="AK174" i="22" s="1"/>
  <c r="X38" i="22"/>
  <c r="X61" i="22"/>
  <c r="X37" i="22" s="1"/>
  <c r="AH49" i="22"/>
  <c r="AI48" i="22" s="1"/>
  <c r="AG50" i="22"/>
  <c r="AF74" i="22"/>
  <c r="AF51" i="22"/>
  <c r="AQ158" i="22"/>
  <c r="AQ160" i="22" s="1"/>
  <c r="AR151" i="22"/>
  <c r="AB55" i="22"/>
  <c r="AC54" i="22" s="1"/>
  <c r="Y69" i="22"/>
  <c r="Y36" i="22"/>
  <c r="Y60" i="22"/>
  <c r="Y59" i="22"/>
  <c r="AS65" i="22"/>
  <c r="AS66" i="22" s="1"/>
  <c r="AS68" i="22" s="1"/>
  <c r="AT35" i="22"/>
  <c r="AO73" i="22"/>
  <c r="AP46" i="22"/>
  <c r="AN154" i="22"/>
  <c r="AO153" i="22"/>
  <c r="AA56" i="22"/>
  <c r="AN31" i="22"/>
  <c r="AM32" i="22"/>
  <c r="AM34" i="22" s="1"/>
  <c r="AE75" i="22"/>
  <c r="AE77" i="22" s="1"/>
  <c r="Z36" i="22"/>
  <c r="Z60" i="22" l="1"/>
  <c r="Z59" i="22"/>
  <c r="X39" i="22"/>
  <c r="AJ179" i="22"/>
  <c r="AJ193" i="22" s="1"/>
  <c r="AJ195" i="22" s="1"/>
  <c r="AJ197" i="22" s="1"/>
  <c r="AN155" i="22"/>
  <c r="AN157" i="22"/>
  <c r="AO150" i="22"/>
  <c r="AM161" i="22"/>
  <c r="AM171" i="22"/>
  <c r="AM170" i="22"/>
  <c r="AM172" i="22"/>
  <c r="AJ181" i="22"/>
  <c r="AJ182" i="22" s="1"/>
  <c r="AK191" i="22"/>
  <c r="AK179" i="22"/>
  <c r="AK193" i="22" s="1"/>
  <c r="AL173" i="22"/>
  <c r="AL174" i="22" s="1"/>
  <c r="AL180" i="22"/>
  <c r="AL194" i="22" s="1"/>
  <c r="AL177" i="22"/>
  <c r="X89" i="22"/>
  <c r="Y61" i="22"/>
  <c r="Y37" i="22" s="1"/>
  <c r="Y38" i="22"/>
  <c r="AP73" i="22"/>
  <c r="AQ46" i="22"/>
  <c r="AA78" i="22"/>
  <c r="AA79" i="22" s="1"/>
  <c r="AA81" i="22" s="1"/>
  <c r="AA57" i="22"/>
  <c r="AH50" i="22"/>
  <c r="AC55" i="22"/>
  <c r="AD54" i="22" s="1"/>
  <c r="AF75" i="22"/>
  <c r="AF77" i="22" s="1"/>
  <c r="AI49" i="22"/>
  <c r="AJ48" i="22" s="1"/>
  <c r="AP153" i="22"/>
  <c r="AO154" i="22"/>
  <c r="Z61" i="22"/>
  <c r="Z37" i="22" s="1"/>
  <c r="Z38" i="22"/>
  <c r="AO31" i="22"/>
  <c r="AN32" i="22"/>
  <c r="AN34" i="22" s="1"/>
  <c r="AT65" i="22"/>
  <c r="AT66" i="22" s="1"/>
  <c r="AT68" i="22" s="1"/>
  <c r="AU35" i="22"/>
  <c r="AB56" i="22"/>
  <c r="AR158" i="22"/>
  <c r="AR160" i="22" s="1"/>
  <c r="AS151" i="22"/>
  <c r="AG74" i="22"/>
  <c r="AG51" i="22"/>
  <c r="AO155" i="22" l="1"/>
  <c r="Z39" i="22"/>
  <c r="Z89" i="22" s="1"/>
  <c r="AK195" i="22"/>
  <c r="AK197" i="22" s="1"/>
  <c r="Y39" i="22"/>
  <c r="Y89" i="22" s="1"/>
  <c r="AK181" i="22"/>
  <c r="AK182" i="22" s="1"/>
  <c r="AM180" i="22"/>
  <c r="AM194" i="22" s="1"/>
  <c r="AM177" i="22"/>
  <c r="AM178" i="22" s="1"/>
  <c r="AM192" i="22" s="1"/>
  <c r="AP150" i="22"/>
  <c r="AO157" i="22"/>
  <c r="AM173" i="22"/>
  <c r="AM174" i="22" s="1"/>
  <c r="AN161" i="22"/>
  <c r="AN172" i="22"/>
  <c r="AN170" i="22"/>
  <c r="AN171" i="22"/>
  <c r="AL178" i="22"/>
  <c r="AL191" i="22"/>
  <c r="AQ153" i="22"/>
  <c r="AP154" i="22"/>
  <c r="AB78" i="22"/>
  <c r="AB79" i="22" s="1"/>
  <c r="AB81" i="22" s="1"/>
  <c r="AB57" i="22"/>
  <c r="AG75" i="22"/>
  <c r="AG77" i="22" s="1"/>
  <c r="AH74" i="22"/>
  <c r="AH51" i="22"/>
  <c r="AT151" i="22"/>
  <c r="AS158" i="22"/>
  <c r="AS160" i="22" s="1"/>
  <c r="AJ49" i="22"/>
  <c r="AK48" i="22" s="1"/>
  <c r="AI50" i="22"/>
  <c r="AQ73" i="22"/>
  <c r="AR46" i="22"/>
  <c r="AU65" i="22"/>
  <c r="AU66" i="22" s="1"/>
  <c r="AU68" i="22" s="1"/>
  <c r="AD55" i="22"/>
  <c r="AE54" i="22" s="1"/>
  <c r="AA69" i="22"/>
  <c r="AA36" i="22"/>
  <c r="AA60" i="22"/>
  <c r="AA59" i="22"/>
  <c r="AP31" i="22"/>
  <c r="AO32" i="22"/>
  <c r="AO34" i="22" s="1"/>
  <c r="AC56" i="22"/>
  <c r="AP155" i="22" l="1"/>
  <c r="AM179" i="22"/>
  <c r="AM193" i="22" s="1"/>
  <c r="AQ150" i="22"/>
  <c r="AP157" i="22"/>
  <c r="AN173" i="22"/>
  <c r="AN174" i="22" s="1"/>
  <c r="AM191" i="22"/>
  <c r="AL192" i="22"/>
  <c r="AL179" i="22"/>
  <c r="AL193" i="22" s="1"/>
  <c r="AN180" i="22"/>
  <c r="AN194" i="22" s="1"/>
  <c r="AN177" i="22"/>
  <c r="AO171" i="22"/>
  <c r="AO161" i="22"/>
  <c r="AO172" i="22"/>
  <c r="AO170" i="22"/>
  <c r="AQ31" i="22"/>
  <c r="AP32" i="22"/>
  <c r="AP34" i="22" s="1"/>
  <c r="AI74" i="22"/>
  <c r="AI51" i="22"/>
  <c r="AS46" i="22"/>
  <c r="AR73" i="22"/>
  <c r="AH75" i="22"/>
  <c r="AH77" i="22" s="1"/>
  <c r="AR153" i="22"/>
  <c r="AQ154" i="22"/>
  <c r="AE55" i="22"/>
  <c r="AF54" i="22" s="1"/>
  <c r="AC78" i="22"/>
  <c r="AC79" i="22" s="1"/>
  <c r="AC81" i="22" s="1"/>
  <c r="AC57" i="22"/>
  <c r="AD56" i="22"/>
  <c r="AT158" i="22"/>
  <c r="AT160" i="22" s="1"/>
  <c r="AU151" i="22"/>
  <c r="AU158" i="22" s="1"/>
  <c r="AU160" i="22" s="1"/>
  <c r="AA38" i="22"/>
  <c r="AA61" i="22"/>
  <c r="AA37" i="22" s="1"/>
  <c r="AK49" i="22"/>
  <c r="AL48" i="22" s="1"/>
  <c r="AB69" i="22"/>
  <c r="AB59" i="22"/>
  <c r="AB36" i="22"/>
  <c r="AB60" i="22"/>
  <c r="AJ50" i="22"/>
  <c r="AM181" i="22" l="1"/>
  <c r="AM182" i="22" s="1"/>
  <c r="AQ155" i="22"/>
  <c r="AO173" i="22"/>
  <c r="AM195" i="22"/>
  <c r="AM197" i="22" s="1"/>
  <c r="AA39" i="22"/>
  <c r="AA89" i="22" s="1"/>
  <c r="AL195" i="22"/>
  <c r="AL197" i="22" s="1"/>
  <c r="AN191" i="22"/>
  <c r="AO174" i="22"/>
  <c r="AO177" i="22"/>
  <c r="AO180" i="22"/>
  <c r="AO194" i="22" s="1"/>
  <c r="AN178" i="22"/>
  <c r="AN192" i="22" s="1"/>
  <c r="AR150" i="22"/>
  <c r="AQ157" i="22"/>
  <c r="AP172" i="22"/>
  <c r="AP171" i="22"/>
  <c r="AP170" i="22"/>
  <c r="AP161" i="22"/>
  <c r="AN179" i="22"/>
  <c r="AN193" i="22" s="1"/>
  <c r="AL181" i="22"/>
  <c r="AL182" i="22" s="1"/>
  <c r="AE56" i="22"/>
  <c r="AR154" i="22"/>
  <c r="AS153" i="22"/>
  <c r="AF55" i="22"/>
  <c r="AG54" i="22" s="1"/>
  <c r="AT46" i="22"/>
  <c r="AS73" i="22"/>
  <c r="AR31" i="22"/>
  <c r="AQ32" i="22"/>
  <c r="AQ34" i="22" s="1"/>
  <c r="AL49" i="22"/>
  <c r="AM48" i="22" s="1"/>
  <c r="AD78" i="22"/>
  <c r="AD79" i="22" s="1"/>
  <c r="AD81" i="22" s="1"/>
  <c r="AD57" i="22"/>
  <c r="AJ74" i="22"/>
  <c r="AJ51" i="22"/>
  <c r="AI75" i="22"/>
  <c r="AI77" i="22" s="1"/>
  <c r="AB61" i="22"/>
  <c r="AB37" i="22" s="1"/>
  <c r="AB38" i="22"/>
  <c r="AK50" i="22"/>
  <c r="AC69" i="22"/>
  <c r="AC36" i="22"/>
  <c r="AC60" i="22"/>
  <c r="AC59" i="22"/>
  <c r="AR155" i="22" l="1"/>
  <c r="AF56" i="22"/>
  <c r="AF57" i="22" s="1"/>
  <c r="AP173" i="22"/>
  <c r="AP174" i="22" s="1"/>
  <c r="AQ170" i="22"/>
  <c r="AQ172" i="22"/>
  <c r="AQ161" i="22"/>
  <c r="AQ171" i="22"/>
  <c r="AP177" i="22"/>
  <c r="AP180" i="22"/>
  <c r="AP194" i="22" s="1"/>
  <c r="AB39" i="22"/>
  <c r="AB89" i="22" s="1"/>
  <c r="AR157" i="22"/>
  <c r="AS150" i="22"/>
  <c r="AO178" i="22"/>
  <c r="AO191" i="22"/>
  <c r="AN181" i="22"/>
  <c r="AN182" i="22" s="1"/>
  <c r="AN195" i="22"/>
  <c r="AN197" i="22" s="1"/>
  <c r="AK74" i="22"/>
  <c r="AK51" i="22"/>
  <c r="AJ75" i="22"/>
  <c r="AJ77" i="22" s="1"/>
  <c r="AS154" i="22"/>
  <c r="AT153" i="22"/>
  <c r="AR32" i="22"/>
  <c r="AR34" i="22" s="1"/>
  <c r="AS31" i="22"/>
  <c r="AM49" i="22"/>
  <c r="AN48" i="22" s="1"/>
  <c r="AD69" i="22"/>
  <c r="AD36" i="22"/>
  <c r="AD60" i="22"/>
  <c r="AD59" i="22"/>
  <c r="AL50" i="22"/>
  <c r="AU46" i="22"/>
  <c r="AT73" i="22"/>
  <c r="AE78" i="22"/>
  <c r="AE79" i="22" s="1"/>
  <c r="AE81" i="22" s="1"/>
  <c r="AE57" i="22"/>
  <c r="AC61" i="22"/>
  <c r="AC37" i="22" s="1"/>
  <c r="AC38" i="22"/>
  <c r="AG55" i="22"/>
  <c r="AH54" i="22" s="1"/>
  <c r="AF78" i="22" l="1"/>
  <c r="AF79" i="22" s="1"/>
  <c r="AF81" i="22" s="1"/>
  <c r="AS155" i="22"/>
  <c r="AC39" i="22"/>
  <c r="AC89" i="22" s="1"/>
  <c r="AQ173" i="22"/>
  <c r="AQ174" i="22" s="1"/>
  <c r="AR171" i="22"/>
  <c r="AR161" i="22"/>
  <c r="AR170" i="22"/>
  <c r="AR172" i="22"/>
  <c r="AP191" i="22"/>
  <c r="AO192" i="22"/>
  <c r="AO179" i="22"/>
  <c r="AP178" i="22"/>
  <c r="AP192" i="22" s="1"/>
  <c r="AQ180" i="22"/>
  <c r="AQ194" i="22" s="1"/>
  <c r="AQ177" i="22"/>
  <c r="AT150" i="22"/>
  <c r="AS157" i="22"/>
  <c r="AT154" i="22"/>
  <c r="AU153" i="22"/>
  <c r="AU154" i="22" s="1"/>
  <c r="AL74" i="22"/>
  <c r="AL51" i="22"/>
  <c r="AD61" i="22"/>
  <c r="AD37" i="22" s="1"/>
  <c r="AD38" i="22"/>
  <c r="AN49" i="22"/>
  <c r="AO48" i="22" s="1"/>
  <c r="AF69" i="22"/>
  <c r="AF36" i="22"/>
  <c r="AF60" i="22"/>
  <c r="AF59" i="22"/>
  <c r="AT31" i="22"/>
  <c r="AS32" i="22"/>
  <c r="AS34" i="22" s="1"/>
  <c r="AU73" i="22"/>
  <c r="AM50" i="22"/>
  <c r="AH55" i="22"/>
  <c r="AI54" i="22" s="1"/>
  <c r="AK75" i="22"/>
  <c r="AK77" i="22" s="1"/>
  <c r="AG56" i="22"/>
  <c r="AE69" i="22"/>
  <c r="AE36" i="22"/>
  <c r="AE60" i="22"/>
  <c r="AE59" i="22"/>
  <c r="AT155" i="22" l="1"/>
  <c r="AR173" i="22"/>
  <c r="AR174" i="22" s="1"/>
  <c r="AP179" i="22"/>
  <c r="AP193" i="22" s="1"/>
  <c r="AP195" i="22" s="1"/>
  <c r="AP197" i="22" s="1"/>
  <c r="AQ178" i="22"/>
  <c r="AQ192" i="22" s="1"/>
  <c r="AQ191" i="22"/>
  <c r="AO193" i="22"/>
  <c r="AO195" i="22" s="1"/>
  <c r="AO197" i="22" s="1"/>
  <c r="AO181" i="22"/>
  <c r="AO182" i="22" s="1"/>
  <c r="AR180" i="22"/>
  <c r="AR194" i="22" s="1"/>
  <c r="AR177" i="22"/>
  <c r="AD39" i="22"/>
  <c r="AD89" i="22" s="1"/>
  <c r="AS161" i="22"/>
  <c r="AS170" i="22"/>
  <c r="AS172" i="22"/>
  <c r="AS171" i="22"/>
  <c r="AT157" i="22"/>
  <c r="AU150" i="22"/>
  <c r="AU157" i="22" s="1"/>
  <c r="AI55" i="22"/>
  <c r="AJ54" i="22" s="1"/>
  <c r="AO49" i="22"/>
  <c r="AP48" i="22" s="1"/>
  <c r="AL75" i="22"/>
  <c r="AL77" i="22" s="1"/>
  <c r="AH56" i="22"/>
  <c r="AM74" i="22"/>
  <c r="AM51" i="22"/>
  <c r="AN50" i="22"/>
  <c r="AG78" i="22"/>
  <c r="AG79" i="22" s="1"/>
  <c r="AG81" i="22" s="1"/>
  <c r="AG57" i="22"/>
  <c r="AF61" i="22"/>
  <c r="AF37" i="22" s="1"/>
  <c r="AF38" i="22"/>
  <c r="AE61" i="22"/>
  <c r="AE37" i="22" s="1"/>
  <c r="AE38" i="22"/>
  <c r="AU31" i="22"/>
  <c r="AT32" i="22"/>
  <c r="AT34" i="22" s="1"/>
  <c r="AP181" i="22" l="1"/>
  <c r="AP182" i="22" s="1"/>
  <c r="AE39" i="22"/>
  <c r="AE89" i="22" s="1"/>
  <c r="AF39" i="22"/>
  <c r="AF89" i="22" s="1"/>
  <c r="AQ179" i="22"/>
  <c r="AQ193" i="22" s="1"/>
  <c r="AQ195" i="22" s="1"/>
  <c r="AQ197" i="22" s="1"/>
  <c r="AS180" i="22"/>
  <c r="AS194" i="22" s="1"/>
  <c r="AS177" i="22"/>
  <c r="AR178" i="22"/>
  <c r="AR192" i="22" s="1"/>
  <c r="AU170" i="22"/>
  <c r="AU171" i="22"/>
  <c r="AU172" i="22"/>
  <c r="AU161" i="22"/>
  <c r="AU155" i="22"/>
  <c r="AR191" i="22"/>
  <c r="AT170" i="22"/>
  <c r="AT172" i="22"/>
  <c r="AT171" i="22"/>
  <c r="AT161" i="22"/>
  <c r="AS173" i="22"/>
  <c r="AS174" i="22" s="1"/>
  <c r="AJ55" i="22"/>
  <c r="AK54" i="22" s="1"/>
  <c r="AN74" i="22"/>
  <c r="AN51" i="22"/>
  <c r="AH78" i="22"/>
  <c r="AH79" i="22" s="1"/>
  <c r="AH81" i="22" s="1"/>
  <c r="AH57" i="22"/>
  <c r="AI56" i="22"/>
  <c r="AG69" i="22"/>
  <c r="AG36" i="22"/>
  <c r="AG60" i="22"/>
  <c r="AG59" i="22"/>
  <c r="AO50" i="22"/>
  <c r="AM75" i="22"/>
  <c r="AM77" i="22" s="1"/>
  <c r="AP49" i="22"/>
  <c r="AQ48" i="22" s="1"/>
  <c r="AU32" i="22"/>
  <c r="AU34" i="22" s="1"/>
  <c r="AQ181" i="22" l="1"/>
  <c r="AQ182" i="22" s="1"/>
  <c r="AT173" i="22"/>
  <c r="AT174" i="22" s="1"/>
  <c r="AP50" i="22"/>
  <c r="AP74" i="22" s="1"/>
  <c r="AT177" i="22"/>
  <c r="AT178" i="22" s="1"/>
  <c r="AT192" i="22" s="1"/>
  <c r="AT180" i="22"/>
  <c r="AT194" i="22" s="1"/>
  <c r="AU173" i="22"/>
  <c r="AU174" i="22" s="1"/>
  <c r="AU180" i="22"/>
  <c r="AU194" i="22" s="1"/>
  <c r="AU177" i="22"/>
  <c r="AU191" i="22" s="1"/>
  <c r="AS191" i="22"/>
  <c r="AS178" i="22"/>
  <c r="AS192" i="22" s="1"/>
  <c r="AR179" i="22"/>
  <c r="AG61" i="22"/>
  <c r="AG37" i="22" s="1"/>
  <c r="AG38" i="22"/>
  <c r="AK55" i="22"/>
  <c r="AL54" i="22" s="1"/>
  <c r="AJ56" i="22"/>
  <c r="AQ49" i="22"/>
  <c r="AR48" i="22" s="1"/>
  <c r="AH36" i="22"/>
  <c r="AH69" i="22"/>
  <c r="AH60" i="22"/>
  <c r="AH59" i="22"/>
  <c r="AI78" i="22"/>
  <c r="AI79" i="22" s="1"/>
  <c r="AI81" i="22" s="1"/>
  <c r="AI57" i="22"/>
  <c r="AO74" i="22"/>
  <c r="AO51" i="22"/>
  <c r="AN75" i="22"/>
  <c r="AN77" i="22" s="1"/>
  <c r="AP51" i="22" l="1"/>
  <c r="AQ50" i="22"/>
  <c r="AQ74" i="22" s="1"/>
  <c r="AS179" i="22"/>
  <c r="AS193" i="22" s="1"/>
  <c r="AS195" i="22" s="1"/>
  <c r="AS197" i="22" s="1"/>
  <c r="AU178" i="22"/>
  <c r="AT191" i="22"/>
  <c r="AT179" i="22"/>
  <c r="AR193" i="22"/>
  <c r="AR195" i="22" s="1"/>
  <c r="AR197" i="22" s="1"/>
  <c r="AR181" i="22"/>
  <c r="AR182" i="22" s="1"/>
  <c r="AG39" i="22"/>
  <c r="AG89" i="22" s="1"/>
  <c r="C89" i="22" s="1"/>
  <c r="AQ51" i="22"/>
  <c r="AL55" i="22"/>
  <c r="AM54" i="22" s="1"/>
  <c r="AH61" i="22"/>
  <c r="AH37" i="22" s="1"/>
  <c r="AH38" i="22"/>
  <c r="AP75" i="22"/>
  <c r="AP77" i="22" s="1"/>
  <c r="AK56" i="22"/>
  <c r="AJ78" i="22"/>
  <c r="AJ79" i="22" s="1"/>
  <c r="AJ81" i="22" s="1"/>
  <c r="AJ57" i="22"/>
  <c r="AI69" i="22"/>
  <c r="AI59" i="22"/>
  <c r="AI36" i="22"/>
  <c r="AI60" i="22"/>
  <c r="AO75" i="22"/>
  <c r="AO77" i="22" s="1"/>
  <c r="AR49" i="22"/>
  <c r="AS48" i="22" s="1"/>
  <c r="AV43" i="22" l="1"/>
  <c r="C43" i="22" s="1"/>
  <c r="AB40" i="22" s="1"/>
  <c r="AB41" i="22" s="1"/>
  <c r="AH39" i="22"/>
  <c r="AU192" i="22"/>
  <c r="AU179" i="22"/>
  <c r="AU193" i="22" s="1"/>
  <c r="AS181" i="22"/>
  <c r="AS182" i="22" s="1"/>
  <c r="AT193" i="22"/>
  <c r="AT195" i="22" s="1"/>
  <c r="AT197" i="22" s="1"/>
  <c r="AT181" i="22"/>
  <c r="AT182" i="22" s="1"/>
  <c r="AR50" i="22"/>
  <c r="AM55" i="22"/>
  <c r="AN54" i="22" s="1"/>
  <c r="AJ60" i="22"/>
  <c r="AJ69" i="22"/>
  <c r="AJ36" i="22"/>
  <c r="AJ59" i="22"/>
  <c r="AL56" i="22"/>
  <c r="AQ75" i="22"/>
  <c r="AQ77" i="22" s="1"/>
  <c r="AK78" i="22"/>
  <c r="AK79" i="22" s="1"/>
  <c r="AK81" i="22" s="1"/>
  <c r="AK57" i="22"/>
  <c r="AS49" i="22"/>
  <c r="AT48" i="22" s="1"/>
  <c r="AI38" i="22"/>
  <c r="AI61" i="22"/>
  <c r="AI37" i="22" s="1"/>
  <c r="L40" i="22" l="1"/>
  <c r="L41" i="22" s="1"/>
  <c r="H40" i="22"/>
  <c r="H41" i="22" s="1"/>
  <c r="AR40" i="22"/>
  <c r="AT40" i="22"/>
  <c r="AF40" i="22"/>
  <c r="AF41" i="22" s="1"/>
  <c r="P40" i="22"/>
  <c r="P41" i="22" s="1"/>
  <c r="AN40" i="22"/>
  <c r="J40" i="22"/>
  <c r="J41" i="22" s="1"/>
  <c r="M40" i="22"/>
  <c r="M41" i="22" s="1"/>
  <c r="AG40" i="22"/>
  <c r="AG41" i="22" s="1"/>
  <c r="K40" i="22"/>
  <c r="K41" i="22" s="1"/>
  <c r="R40" i="22"/>
  <c r="R41" i="22" s="1"/>
  <c r="W40" i="22"/>
  <c r="W41" i="22" s="1"/>
  <c r="AU40" i="22"/>
  <c r="D40" i="22"/>
  <c r="D41" i="22" s="1"/>
  <c r="U40" i="22"/>
  <c r="U41" i="22" s="1"/>
  <c r="Z40" i="22"/>
  <c r="Z41" i="22" s="1"/>
  <c r="AO40" i="22"/>
  <c r="AL40" i="22"/>
  <c r="AQ40" i="22"/>
  <c r="AI40" i="22"/>
  <c r="I40" i="22"/>
  <c r="I41" i="22" s="1"/>
  <c r="AC40" i="22"/>
  <c r="AC41" i="22" s="1"/>
  <c r="L5" i="22"/>
  <c r="D10" i="1" s="1"/>
  <c r="F10" i="1" s="1"/>
  <c r="N40" i="22"/>
  <c r="N41" i="22" s="1"/>
  <c r="AE40" i="22"/>
  <c r="AE41" i="22" s="1"/>
  <c r="E40" i="22"/>
  <c r="E41" i="22" s="1"/>
  <c r="Y40" i="22"/>
  <c r="Y41" i="22" s="1"/>
  <c r="X40" i="22"/>
  <c r="X41" i="22" s="1"/>
  <c r="AM56" i="22"/>
  <c r="AM57" i="22" s="1"/>
  <c r="AA40" i="22"/>
  <c r="AA41" i="22" s="1"/>
  <c r="O40" i="22"/>
  <c r="O41" i="22" s="1"/>
  <c r="AS40" i="22"/>
  <c r="AK40" i="22"/>
  <c r="AH40" i="22"/>
  <c r="AH41" i="22" s="1"/>
  <c r="F40" i="22"/>
  <c r="F41" i="22" s="1"/>
  <c r="V40" i="22"/>
  <c r="V41" i="22" s="1"/>
  <c r="Q40" i="22"/>
  <c r="Q41" i="22" s="1"/>
  <c r="T40" i="22"/>
  <c r="T41" i="22" s="1"/>
  <c r="S40" i="22"/>
  <c r="S41" i="22" s="1"/>
  <c r="AP40" i="22"/>
  <c r="BM10" i="28"/>
  <c r="AM40" i="22"/>
  <c r="G40" i="22"/>
  <c r="G41" i="22" s="1"/>
  <c r="AJ40" i="22"/>
  <c r="AD40" i="22"/>
  <c r="AD41" i="22" s="1"/>
  <c r="AU195" i="22"/>
  <c r="AU197" i="22" s="1"/>
  <c r="AI39" i="22"/>
  <c r="AU181" i="22"/>
  <c r="AU182" i="22" s="1"/>
  <c r="BA36" i="22"/>
  <c r="AK69" i="22"/>
  <c r="AK36" i="22"/>
  <c r="AK59" i="22"/>
  <c r="AK60" i="22"/>
  <c r="AJ61" i="22"/>
  <c r="AJ37" i="22" s="1"/>
  <c r="BA37" i="22" s="1"/>
  <c r="AJ38" i="22"/>
  <c r="BA38" i="22" s="1"/>
  <c r="AT49" i="22"/>
  <c r="AU48" i="22" s="1"/>
  <c r="AS50" i="22"/>
  <c r="AN55" i="22"/>
  <c r="AO54" i="22" s="1"/>
  <c r="AL78" i="22"/>
  <c r="AL79" i="22" s="1"/>
  <c r="AL81" i="22" s="1"/>
  <c r="AL57" i="22"/>
  <c r="AR74" i="22"/>
  <c r="AR51" i="22"/>
  <c r="AM78" i="22" l="1"/>
  <c r="AM79" i="22" s="1"/>
  <c r="AM81" i="22" s="1"/>
  <c r="AI41" i="22"/>
  <c r="C42" i="22"/>
  <c r="BM10" i="22"/>
  <c r="BM5" i="22" s="1"/>
  <c r="BN5" i="22" s="1"/>
  <c r="BM5" i="28"/>
  <c r="BN5" i="28" s="1"/>
  <c r="BM9" i="28"/>
  <c r="BN9" i="28" s="1"/>
  <c r="BL9" i="28" s="1"/>
  <c r="BM8" i="28"/>
  <c r="BN8" i="28" s="1"/>
  <c r="BM6" i="28"/>
  <c r="BN6" i="28" s="1"/>
  <c r="BL6" i="28" s="1"/>
  <c r="AL69" i="22"/>
  <c r="AL36" i="22"/>
  <c r="AL59" i="22"/>
  <c r="AL60" i="22"/>
  <c r="AN56" i="22"/>
  <c r="AU49" i="22"/>
  <c r="AU50" i="22" s="1"/>
  <c r="AT50" i="22"/>
  <c r="AK38" i="22"/>
  <c r="AK61" i="22"/>
  <c r="AK37" i="22" s="1"/>
  <c r="AO55" i="22"/>
  <c r="AP54" i="22" s="1"/>
  <c r="AM69" i="22"/>
  <c r="AM36" i="22"/>
  <c r="AM60" i="22"/>
  <c r="AM59" i="22"/>
  <c r="AR75" i="22"/>
  <c r="AR77" i="22" s="1"/>
  <c r="AJ39" i="22"/>
  <c r="AS74" i="22"/>
  <c r="AS51" i="22"/>
  <c r="AK39" i="22" l="1"/>
  <c r="BM6" i="22"/>
  <c r="BN6" i="22" s="1"/>
  <c r="BL6" i="22" s="1"/>
  <c r="BM8" i="22"/>
  <c r="BN8" i="22" s="1"/>
  <c r="BL8" i="22" s="1"/>
  <c r="BM9" i="22"/>
  <c r="BN9" i="22" s="1"/>
  <c r="BL9" i="22" s="1"/>
  <c r="BL8" i="28"/>
  <c r="BZ5" i="28"/>
  <c r="BL5" i="28"/>
  <c r="CA5" i="28"/>
  <c r="BL5" i="22"/>
  <c r="CA5" i="22"/>
  <c r="AU74" i="22"/>
  <c r="AU51" i="22"/>
  <c r="AW44" i="22"/>
  <c r="AX39" i="22"/>
  <c r="AK41" i="22"/>
  <c r="AM61" i="22"/>
  <c r="AM37" i="22" s="1"/>
  <c r="AM38" i="22"/>
  <c r="AP55" i="22"/>
  <c r="AQ54" i="22" s="1"/>
  <c r="AO56" i="22"/>
  <c r="AT74" i="22"/>
  <c r="AT51" i="22"/>
  <c r="AS75" i="22"/>
  <c r="AS77" i="22" s="1"/>
  <c r="AN78" i="22"/>
  <c r="AN79" i="22" s="1"/>
  <c r="AN81" i="22" s="1"/>
  <c r="AN57" i="22"/>
  <c r="BA39" i="22"/>
  <c r="AJ41" i="22"/>
  <c r="AL38" i="22"/>
  <c r="AL61" i="22"/>
  <c r="AL37" i="22" s="1"/>
  <c r="BZ5" i="22" l="1"/>
  <c r="BU8" i="22" s="1"/>
  <c r="BV8" i="22" s="1"/>
  <c r="AM39" i="22"/>
  <c r="AM41" i="22" s="1"/>
  <c r="AV41" i="22"/>
  <c r="BU15" i="28"/>
  <c r="BV15" i="28" s="1"/>
  <c r="BU4" i="28"/>
  <c r="BU5" i="28"/>
  <c r="BV5" i="28" s="1"/>
  <c r="BU14" i="28"/>
  <c r="BV14" i="28" s="1"/>
  <c r="BU6" i="28"/>
  <c r="BV6" i="28" s="1"/>
  <c r="BU12" i="28"/>
  <c r="BV12" i="28" s="1"/>
  <c r="BU9" i="28"/>
  <c r="BV9" i="28" s="1"/>
  <c r="BU8" i="28"/>
  <c r="BV8" i="28" s="1"/>
  <c r="BU10" i="28"/>
  <c r="BV10" i="28" s="1"/>
  <c r="BU13" i="28"/>
  <c r="BV13" i="28" s="1"/>
  <c r="BU7" i="28"/>
  <c r="BV7" i="28" s="1"/>
  <c r="BU11" i="28"/>
  <c r="BV11" i="28" s="1"/>
  <c r="BU11" i="22"/>
  <c r="BV11" i="22" s="1"/>
  <c r="BU9" i="22"/>
  <c r="BV9" i="22" s="1"/>
  <c r="AL39" i="22"/>
  <c r="AL41" i="22" s="1"/>
  <c r="BU6" i="22"/>
  <c r="BV6" i="22" s="1"/>
  <c r="BU4" i="22"/>
  <c r="BU15" i="22"/>
  <c r="BV15" i="22" s="1"/>
  <c r="BU5" i="22"/>
  <c r="BV5" i="22" s="1"/>
  <c r="BU14" i="22"/>
  <c r="BV14" i="22" s="1"/>
  <c r="AT75" i="22"/>
  <c r="AT77" i="22" s="1"/>
  <c r="AQ55" i="22"/>
  <c r="AR54" i="22" s="1"/>
  <c r="AU75" i="22"/>
  <c r="AU77" i="22" s="1"/>
  <c r="AN36" i="22"/>
  <c r="AN69" i="22"/>
  <c r="AN60" i="22"/>
  <c r="AN59" i="22"/>
  <c r="AO78" i="22"/>
  <c r="AO79" i="22" s="1"/>
  <c r="AO81" i="22" s="1"/>
  <c r="AO57" i="22"/>
  <c r="AP56" i="22"/>
  <c r="BU7" i="22" l="1"/>
  <c r="BV7" i="22" s="1"/>
  <c r="BU12" i="22"/>
  <c r="BV12" i="22" s="1"/>
  <c r="BU13" i="22"/>
  <c r="BV13" i="22" s="1"/>
  <c r="BU10" i="22"/>
  <c r="BV10" i="22" s="1"/>
  <c r="BV4" i="28"/>
  <c r="BV18" i="28" s="1"/>
  <c r="BU18" i="28"/>
  <c r="BV4" i="22"/>
  <c r="AP78" i="22"/>
  <c r="AP79" i="22" s="1"/>
  <c r="AP81" i="22" s="1"/>
  <c r="AP57" i="22"/>
  <c r="AO36" i="22"/>
  <c r="AO59" i="22"/>
  <c r="AO69" i="22"/>
  <c r="AO60" i="22"/>
  <c r="AN61" i="22"/>
  <c r="AN37" i="22" s="1"/>
  <c r="AN38" i="22"/>
  <c r="AR55" i="22"/>
  <c r="AS54" i="22" s="1"/>
  <c r="AQ56" i="22"/>
  <c r="BV18" i="22" l="1"/>
  <c r="BU18" i="22"/>
  <c r="AN39" i="22"/>
  <c r="AN41" i="22" s="1"/>
  <c r="BV20" i="28"/>
  <c r="H11" i="1" s="1"/>
  <c r="G11" i="1"/>
  <c r="BV20" i="22"/>
  <c r="H10" i="1" s="1"/>
  <c r="G10" i="1"/>
  <c r="AQ78" i="22"/>
  <c r="AQ79" i="22" s="1"/>
  <c r="AQ81" i="22" s="1"/>
  <c r="AQ57" i="22"/>
  <c r="AO61" i="22"/>
  <c r="AO37" i="22" s="1"/>
  <c r="AO38" i="22"/>
  <c r="AR56" i="22"/>
  <c r="AP36" i="22"/>
  <c r="AP69" i="22"/>
  <c r="AP60" i="22"/>
  <c r="AP59" i="22"/>
  <c r="AS55" i="22"/>
  <c r="AT54" i="22" s="1"/>
  <c r="AO39" i="22" l="1"/>
  <c r="AO41" i="22" s="1"/>
  <c r="AR78" i="22"/>
  <c r="AR79" i="22" s="1"/>
  <c r="AR81" i="22" s="1"/>
  <c r="AR57" i="22"/>
  <c r="AT55" i="22"/>
  <c r="AU54" i="22" s="1"/>
  <c r="AS56" i="22"/>
  <c r="AP61" i="22"/>
  <c r="AP37" i="22" s="1"/>
  <c r="AP38" i="22"/>
  <c r="AQ69" i="22"/>
  <c r="AQ36" i="22"/>
  <c r="AQ59" i="22"/>
  <c r="AQ60" i="22"/>
  <c r="AP39" i="22" l="1"/>
  <c r="AP41" i="22" s="1"/>
  <c r="AT56" i="22"/>
  <c r="AU55" i="22"/>
  <c r="AU56" i="22" s="1"/>
  <c r="AQ61" i="22"/>
  <c r="AQ37" i="22" s="1"/>
  <c r="AQ38" i="22"/>
  <c r="AR69" i="22"/>
  <c r="AR36" i="22"/>
  <c r="AR59" i="22"/>
  <c r="AR60" i="22"/>
  <c r="AS78" i="22"/>
  <c r="AS79" i="22" s="1"/>
  <c r="AS81" i="22" s="1"/>
  <c r="AS57" i="22"/>
  <c r="AQ39" i="22" l="1"/>
  <c r="AQ41" i="22" s="1"/>
  <c r="AU78" i="22"/>
  <c r="AU79" i="22" s="1"/>
  <c r="AU81" i="22" s="1"/>
  <c r="AU57" i="22"/>
  <c r="AR61" i="22"/>
  <c r="AR37" i="22" s="1"/>
  <c r="AR38" i="22"/>
  <c r="AS69" i="22"/>
  <c r="AS59" i="22"/>
  <c r="AS60" i="22"/>
  <c r="AS36" i="22"/>
  <c r="AT78" i="22"/>
  <c r="AT79" i="22" s="1"/>
  <c r="AT81" i="22" s="1"/>
  <c r="AT57" i="22"/>
  <c r="AR39" i="22" l="1"/>
  <c r="AR41" i="22" s="1"/>
  <c r="AT69" i="22"/>
  <c r="AT60" i="22"/>
  <c r="AT36" i="22"/>
  <c r="AT59" i="22"/>
  <c r="AS38" i="22"/>
  <c r="AS61" i="22"/>
  <c r="AS37" i="22" s="1"/>
  <c r="AU69" i="22"/>
  <c r="AU36" i="22"/>
  <c r="AU59" i="22"/>
  <c r="AU60" i="22"/>
  <c r="AS39" i="22" l="1"/>
  <c r="AS41" i="22" s="1"/>
  <c r="AT38" i="22"/>
  <c r="AT61" i="22"/>
  <c r="AT37" i="22" s="1"/>
  <c r="AU61" i="22"/>
  <c r="AU37" i="22" s="1"/>
  <c r="AU38" i="22"/>
  <c r="AT39" i="22" l="1"/>
  <c r="AT41" i="22" s="1"/>
  <c r="AU39" i="22"/>
  <c r="AU41" i="22" s="1"/>
</calcChain>
</file>

<file path=xl/sharedStrings.xml><?xml version="1.0" encoding="utf-8"?>
<sst xmlns="http://schemas.openxmlformats.org/spreadsheetml/2006/main" count="1131" uniqueCount="325">
  <si>
    <t>Additional Firm Storage - Ryckman Creek</t>
  </si>
  <si>
    <t>Rate</t>
  </si>
  <si>
    <t>Cost</t>
  </si>
  <si>
    <t>KRGT transportation costs based on potential rates for transportation capacity:</t>
  </si>
  <si>
    <t>per Dth per month</t>
  </si>
  <si>
    <t>Storage cost per month</t>
  </si>
  <si>
    <t>Storage cost per year</t>
  </si>
  <si>
    <t>First 100,000 Dth/day</t>
  </si>
  <si>
    <t>Next 50,000 Dth/day</t>
  </si>
  <si>
    <t>Cost per day</t>
  </si>
  <si>
    <t>Cost per year</t>
  </si>
  <si>
    <t>Dominion Energy Questar Pipeline (DEQP) transportation costs:</t>
  </si>
  <si>
    <t>per year</t>
  </si>
  <si>
    <t>Total transportation cost per year</t>
  </si>
  <si>
    <t>Additional Firm Storage - Clay Basin</t>
  </si>
  <si>
    <t>Clay Basin Storage costs:</t>
  </si>
  <si>
    <t>Ryckman Creek storage costs:</t>
  </si>
  <si>
    <t>Inventory Charge</t>
  </si>
  <si>
    <t>Capacity Charge</t>
  </si>
  <si>
    <t>per month</t>
  </si>
  <si>
    <t>Total Storage Cost</t>
  </si>
  <si>
    <t>Additional Firm Storage - Jackson Prairie</t>
  </si>
  <si>
    <t>(no capacity currently available)</t>
  </si>
  <si>
    <t>Reservation Charge</t>
  </si>
  <si>
    <t>Volumetric Charge</t>
  </si>
  <si>
    <t>per Dth</t>
  </si>
  <si>
    <t>per day</t>
  </si>
  <si>
    <t>Northwest Pipeline costs:</t>
  </si>
  <si>
    <t>Total Northwest Pipeline cost</t>
  </si>
  <si>
    <t>(A)</t>
  </si>
  <si>
    <t>(B)</t>
  </si>
  <si>
    <t>(D)</t>
  </si>
  <si>
    <t>(F)</t>
  </si>
  <si>
    <t>(C)</t>
  </si>
  <si>
    <t>(E)</t>
  </si>
  <si>
    <t>Depreciation Expense</t>
  </si>
  <si>
    <t>GS</t>
  </si>
  <si>
    <t>Total</t>
  </si>
  <si>
    <t>Option</t>
  </si>
  <si>
    <t>2B - Demand Response (Firm Sales Customers)</t>
  </si>
  <si>
    <t>2A - Demand Response (Large Use Customers)</t>
  </si>
  <si>
    <t>5 - Clay Basin (Third-Party Off-System Storage Services and Transportation to the DEU City Gate)</t>
  </si>
  <si>
    <t>Capital Investment</t>
  </si>
  <si>
    <t>Distribution Non-Gas Costs</t>
  </si>
  <si>
    <t>Supplier Non-Gas Costs</t>
  </si>
  <si>
    <t>Total Costs</t>
  </si>
  <si>
    <t>Bill Impact</t>
  </si>
  <si>
    <t>Annual $ Impact</t>
  </si>
  <si>
    <t>Annual % Impact</t>
  </si>
  <si>
    <t>(B + C)</t>
  </si>
  <si>
    <t>1- Utilize Existing Resources (Reserve Aquifer Storage and Purchase Incremental Supplies) - Low Case</t>
  </si>
  <si>
    <t>1- Utilize Existing Resources (Reserve Aquifer Storage and Purchase Incremental Supplies) - High Case</t>
  </si>
  <si>
    <t>Unknown</t>
  </si>
  <si>
    <t>3A - Magnum Storage (Third-Party Off-System Storage Services and Transportation to Payson) 20 YearTerm</t>
  </si>
  <si>
    <t>3A - Magnum Storage (Third-Party Off-System Storage Services and Transportation to Payson) 30 YearTerm</t>
  </si>
  <si>
    <t>4 - Ryckman Creek (Third-Party Off-System Storage Services and Transportation to the City Gate) Low Case</t>
  </si>
  <si>
    <t>6 - Jackson Prairie (Third-Party Off-System Storage Services and Transportation to the DEU City Gate) Low Case</t>
  </si>
  <si>
    <t>Summer</t>
  </si>
  <si>
    <t>Winter</t>
  </si>
  <si>
    <t>DNG</t>
  </si>
  <si>
    <t>SNG</t>
  </si>
  <si>
    <t>Commodity</t>
  </si>
  <si>
    <t>Usage</t>
  </si>
  <si>
    <t>Month</t>
  </si>
  <si>
    <t>In Dth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</si>
  <si>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</si>
  <si>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</si>
  <si>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</si>
  <si>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</si>
  <si>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</si>
  <si>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</si>
  <si>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</si>
  <si>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</si>
  <si>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</si>
  <si>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</si>
  <si>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</si>
  <si>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</si>
  <si>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Percent Change:</t>
  </si>
  <si>
    <t>3A - Magnum Storage (Third-Party Off-System Storage Services and Transportation to Payson) 40 YearTerm</t>
  </si>
  <si>
    <t>Facilities</t>
  </si>
  <si>
    <t>O&amp;M</t>
  </si>
  <si>
    <t>Investment</t>
  </si>
  <si>
    <t>Income Taxes</t>
  </si>
  <si>
    <t>Revenues</t>
  </si>
  <si>
    <t>New Tap</t>
  </si>
  <si>
    <t xml:space="preserve">     Federal Rate</t>
  </si>
  <si>
    <t>Annual Revs</t>
  </si>
  <si>
    <t>Land</t>
  </si>
  <si>
    <t xml:space="preserve">     State Rate</t>
  </si>
  <si>
    <t>Monthly Dth</t>
  </si>
  <si>
    <t>Metering</t>
  </si>
  <si>
    <t xml:space="preserve">     Combined Tax Rate</t>
  </si>
  <si>
    <t>Daily Dth</t>
  </si>
  <si>
    <t>CIAC Adjustment</t>
  </si>
  <si>
    <t xml:space="preserve">     Gross-up Factor</t>
  </si>
  <si>
    <t>Days in year</t>
  </si>
  <si>
    <t xml:space="preserve">     Total Initial Investment</t>
  </si>
  <si>
    <t xml:space="preserve">     Tax Depreciation Life</t>
  </si>
  <si>
    <t>Number of Months</t>
  </si>
  <si>
    <t xml:space="preserve">     Annual Book Depr Rate</t>
  </si>
  <si>
    <t>Bonus Tax Depr</t>
  </si>
  <si>
    <t>n</t>
  </si>
  <si>
    <t>Expansion</t>
  </si>
  <si>
    <t>Year</t>
  </si>
  <si>
    <t>Decatherms</t>
  </si>
  <si>
    <t xml:space="preserve">     Book Life</t>
  </si>
  <si>
    <t>Other Taxes</t>
  </si>
  <si>
    <t xml:space="preserve"> Expansion 1</t>
  </si>
  <si>
    <t xml:space="preserve">     Assessment Rate</t>
  </si>
  <si>
    <t xml:space="preserve">     Mill Levy</t>
  </si>
  <si>
    <t>02-057-02</t>
  </si>
  <si>
    <t>Cost of</t>
  </si>
  <si>
    <t>Capital</t>
  </si>
  <si>
    <t>Wt Cost of</t>
  </si>
  <si>
    <t>CIAC (Before/After Tax)</t>
  </si>
  <si>
    <t xml:space="preserve">     Tax Escalation Rate</t>
  </si>
  <si>
    <t>Return</t>
  </si>
  <si>
    <t>Structure</t>
  </si>
  <si>
    <t>Non-gas O&amp;M Costs</t>
  </si>
  <si>
    <t xml:space="preserve">Debt Repayment </t>
  </si>
  <si>
    <t xml:space="preserve">     Equity</t>
  </si>
  <si>
    <t xml:space="preserve">     O&amp;M Costs (see detail above)</t>
  </si>
  <si>
    <t>Cash Flow Life</t>
  </si>
  <si>
    <t xml:space="preserve">     Debt</t>
  </si>
  <si>
    <t xml:space="preserve">     O&amp;M Escalation Rate</t>
  </si>
  <si>
    <t>Salvage (Yes/No)</t>
  </si>
  <si>
    <t>No</t>
  </si>
  <si>
    <t xml:space="preserve">     Total </t>
  </si>
  <si>
    <t xml:space="preserve">     A&amp;G (%of O&amp;M)</t>
  </si>
  <si>
    <t>First Year COS</t>
  </si>
  <si>
    <t xml:space="preserve">     Pretax</t>
  </si>
  <si>
    <t>Pipeline Miles; O&amp;M $ per mile</t>
  </si>
  <si>
    <t>Compression Incl (Yes/No)</t>
  </si>
  <si>
    <t>Cash Flow Discount Rate</t>
  </si>
  <si>
    <t>Compressor Hp; O&amp;M$ per HP</t>
  </si>
  <si>
    <t>Basic Service Fee ($/Month)</t>
  </si>
  <si>
    <t>Monthly Admin. Charge</t>
  </si>
  <si>
    <t>Annual Capital Spend</t>
  </si>
  <si>
    <t>Levelized Revenue Requirement</t>
  </si>
  <si>
    <t>Demand Response</t>
  </si>
  <si>
    <t xml:space="preserve">     Working Gas MMBTU</t>
  </si>
  <si>
    <t>Working Gas Cost/Unit</t>
  </si>
  <si>
    <t>Line</t>
  </si>
  <si>
    <t>Description</t>
  </si>
  <si>
    <t>Average</t>
  </si>
  <si>
    <t>Cost of Service</t>
  </si>
  <si>
    <t>Cost of Service (cont.)</t>
  </si>
  <si>
    <t>10 Year</t>
  </si>
  <si>
    <t>Check</t>
  </si>
  <si>
    <t>33 year</t>
  </si>
  <si>
    <t>Operation &amp; Maintenance</t>
  </si>
  <si>
    <t>Admin. and General</t>
  </si>
  <si>
    <t>Total O&amp;M Expenses</t>
  </si>
  <si>
    <t>Book Depreciation Expense</t>
  </si>
  <si>
    <t>Return on Rate Base</t>
  </si>
  <si>
    <t>Level COS</t>
  </si>
  <si>
    <t>Average COS</t>
  </si>
  <si>
    <t xml:space="preserve">  Cost of Service</t>
  </si>
  <si>
    <t>Disc</t>
  </si>
  <si>
    <t>Non-Disc</t>
  </si>
  <si>
    <t>Levelized Revenue</t>
  </si>
  <si>
    <t>Surplus (Deficiency)</t>
  </si>
  <si>
    <t>NPV</t>
  </si>
  <si>
    <t>Levelized COS Discounted</t>
  </si>
  <si>
    <t>Year 1 Revenue</t>
  </si>
  <si>
    <t>Rate Base</t>
  </si>
  <si>
    <t>Plant in Service</t>
  </si>
  <si>
    <t>Avg. Accum. Depreciation</t>
  </si>
  <si>
    <t xml:space="preserve">     Beginning of year</t>
  </si>
  <si>
    <t xml:space="preserve">     End of year</t>
  </si>
  <si>
    <t xml:space="preserve">     Avg Accum. Depr.</t>
  </si>
  <si>
    <t xml:space="preserve">     Average Net Plant</t>
  </si>
  <si>
    <t xml:space="preserve">     Working Capital</t>
  </si>
  <si>
    <t>Accum Def Income Taxes</t>
  </si>
  <si>
    <t xml:space="preserve">     Average</t>
  </si>
  <si>
    <t xml:space="preserve">Return on Rate Base </t>
  </si>
  <si>
    <t>Deferred Income Tax Calc</t>
  </si>
  <si>
    <t xml:space="preserve">     Tax Depreciation Rates</t>
  </si>
  <si>
    <t>Basis</t>
  </si>
  <si>
    <t xml:space="preserve">     Tax Depreciation </t>
  </si>
  <si>
    <t xml:space="preserve">     Book Depreciation</t>
  </si>
  <si>
    <t xml:space="preserve">     Excess Depreciation</t>
  </si>
  <si>
    <t xml:space="preserve">     Taxable Contribution</t>
  </si>
  <si>
    <t>Equity Rate Base</t>
  </si>
  <si>
    <t>AVERAGE BALANCE SHEET</t>
  </si>
  <si>
    <t>Assets</t>
  </si>
  <si>
    <t>Gross Plant</t>
  </si>
  <si>
    <t>Avg. Accum. Depr</t>
  </si>
  <si>
    <t>Net Plant</t>
  </si>
  <si>
    <t>Working Capital</t>
  </si>
  <si>
    <t>Total Avg. Assets</t>
  </si>
  <si>
    <t>Avg. Accum. Deferred Inc. Taxes</t>
  </si>
  <si>
    <t>Rate Base (Debt &amp; Equity Investment)</t>
  </si>
  <si>
    <t>Equity Capital %</t>
  </si>
  <si>
    <t>Equity Investment</t>
  </si>
  <si>
    <t>Revenue</t>
  </si>
  <si>
    <t>CIAC</t>
  </si>
  <si>
    <t>Transport</t>
  </si>
  <si>
    <t>COS (30 Yr.)</t>
  </si>
  <si>
    <t>Present Value Factors</t>
  </si>
  <si>
    <t>TAX DEPRECIATION RATE - ACRS</t>
  </si>
  <si>
    <t>Project Tax</t>
  </si>
  <si>
    <t>Depreciation</t>
  </si>
  <si>
    <t>If the Recovery Year Is:</t>
  </si>
  <si>
    <t>3-Year</t>
  </si>
  <si>
    <t>5-Year</t>
  </si>
  <si>
    <t>7-Year</t>
  </si>
  <si>
    <t>10-Year</t>
  </si>
  <si>
    <t>15-Year</t>
  </si>
  <si>
    <t>20-Year</t>
  </si>
  <si>
    <t>Other</t>
  </si>
  <si>
    <t>W/ Bonus Depr</t>
  </si>
  <si>
    <t>Dsecription</t>
  </si>
  <si>
    <t>Current Daily Qty's (Dth/d)</t>
  </si>
  <si>
    <t>Day's/Week Incremental Off</t>
  </si>
  <si>
    <t>Incremental Daily Qty's (Dth)</t>
  </si>
  <si>
    <t>Other Incr. Daily Qty's (Dth)</t>
  </si>
  <si>
    <t>Total Incremental Daily Qty's (Dth)</t>
  </si>
  <si>
    <t>Total Daily Qty's (Dth)</t>
  </si>
  <si>
    <t>Current Monthly (Dth)</t>
  </si>
  <si>
    <t>Incremental Monthly Qty's (Dth)</t>
  </si>
  <si>
    <t>Other Daily Qty's (Dth)</t>
  </si>
  <si>
    <t>Total Incremental Monthly Qty's (Dth)</t>
  </si>
  <si>
    <t>Total Monthly Qty's (Dth)</t>
  </si>
  <si>
    <t>ft-1 Volumetric Blocks Qty (Dth)</t>
  </si>
  <si>
    <t>1st</t>
  </si>
  <si>
    <t>2nd</t>
  </si>
  <si>
    <t>3rd</t>
  </si>
  <si>
    <t>4th</t>
  </si>
  <si>
    <t>Current Monthly Qty's (Dth)</t>
  </si>
  <si>
    <t>1st block</t>
  </si>
  <si>
    <t>2nd block</t>
  </si>
  <si>
    <t>3rd block</t>
  </si>
  <si>
    <t>4th block</t>
  </si>
  <si>
    <t>Incr'l Mthly Qty's By Block (Dth)</t>
  </si>
  <si>
    <t>Total Monthly Incremental Qty's</t>
  </si>
  <si>
    <t>Total Monthly Qty's (Check)</t>
  </si>
  <si>
    <t>ft-1 Block Rates ($/Dth)</t>
  </si>
  <si>
    <t>Docket  No. 02-057-02</t>
  </si>
  <si>
    <t>Monthly Incremental Revenue</t>
  </si>
  <si>
    <t>Annual Incremental Volumetric Revenue</t>
  </si>
  <si>
    <t>Tax Gross Up</t>
  </si>
  <si>
    <t>CIAC Type =</t>
  </si>
  <si>
    <t>D15</t>
  </si>
  <si>
    <t>Tax Depreciation</t>
  </si>
  <si>
    <t>Contribution</t>
  </si>
  <si>
    <t>Tax Benefit</t>
  </si>
  <si>
    <t>NPV of Depr (after tax)</t>
  </si>
  <si>
    <t>NPV of Depr (before tax)</t>
  </si>
  <si>
    <t>PreTax Contribution with Tax Disadvantage</t>
  </si>
  <si>
    <t>Net Contribution in Aid of Construction</t>
  </si>
  <si>
    <t>Transmission Plant</t>
  </si>
  <si>
    <t>Production Plant</t>
  </si>
  <si>
    <t>P</t>
  </si>
  <si>
    <t>Distribution Plant</t>
  </si>
  <si>
    <t>D</t>
  </si>
  <si>
    <t>Distribution Plant w/50% bonus</t>
  </si>
  <si>
    <t>DB</t>
  </si>
  <si>
    <t>Comm. Eq. w/ bonus depr</t>
  </si>
  <si>
    <t>G</t>
  </si>
  <si>
    <t>1/</t>
  </si>
  <si>
    <t>2/</t>
  </si>
  <si>
    <t>Transportation Capacity</t>
  </si>
  <si>
    <t>Days</t>
  </si>
  <si>
    <t>Peak Demand Supplies</t>
  </si>
  <si>
    <t>Contracted Capacity</t>
  </si>
  <si>
    <t>Amount</t>
  </si>
  <si>
    <t>Total Cost</t>
  </si>
  <si>
    <t>2/  This is the cost of 150,000 of additonal commodity per day.  If a multi day issue were to occur the costs of this option would be higher.</t>
  </si>
  <si>
    <t xml:space="preserve"> </t>
  </si>
  <si>
    <t xml:space="preserve">   Rate Effective</t>
  </si>
  <si>
    <t xml:space="preserve">   Proposed</t>
  </si>
  <si>
    <t>Utah GS</t>
  </si>
  <si>
    <t xml:space="preserve">Current Rates </t>
  </si>
  <si>
    <t>Schedule</t>
  </si>
  <si>
    <t xml:space="preserve">   Rate</t>
  </si>
  <si>
    <t>Change</t>
  </si>
  <si>
    <t>BSF</t>
  </si>
  <si>
    <t>1st Block</t>
  </si>
  <si>
    <t xml:space="preserve">Percentage </t>
  </si>
  <si>
    <t>Proposed</t>
  </si>
  <si>
    <t>Volumetric Rates</t>
  </si>
  <si>
    <t>Dth</t>
  </si>
  <si>
    <t>Curr. Rate</t>
  </si>
  <si>
    <t>Increase</t>
  </si>
  <si>
    <t>Rate Increase</t>
  </si>
  <si>
    <t>Block 1</t>
  </si>
  <si>
    <t>First</t>
  </si>
  <si>
    <t>Block 2</t>
  </si>
  <si>
    <t>Current</t>
  </si>
  <si>
    <t>Total Volumetric Charges</t>
  </si>
  <si>
    <t>All</t>
  </si>
  <si>
    <t>Over</t>
  </si>
  <si>
    <t>1/  Estimated negotiated rate of $0.2093 is based on the Kern River 25 year Period 2 rate</t>
  </si>
  <si>
    <t xml:space="preserve">3B - Magnum Storage (Third-Party Off-System Storage Services and Transportation from Goshen to Salt Lake on KRGT) 20 year </t>
  </si>
  <si>
    <t xml:space="preserve">3B - Magnum Storage (Third-Party Off-System Storage Services and Transportation from Goshen to Salt Lake on KRGT) 30 year </t>
  </si>
  <si>
    <t xml:space="preserve">3B - Magnum Storage (Third-Party Off-System Storage Services and Transportation from Goshen to Salt Lake on KRGT) 40 year </t>
  </si>
  <si>
    <t xml:space="preserve">The Kern River transportation option would be chosen </t>
  </si>
  <si>
    <t>because it is the lower cost option.</t>
  </si>
  <si>
    <t>8 - LNG Facility (On-System Storage) 30 Year Levelized</t>
  </si>
  <si>
    <t>3D - (Third-Party Off-System Storage Services and Transportation to Bluffdale) 30 Year Term</t>
  </si>
  <si>
    <t>2A - Demand Response (Large Use Customers) 30 Year Levelized</t>
  </si>
  <si>
    <t>2A - Demand Response (Large Use Customers) 40 Year Levelized</t>
  </si>
  <si>
    <t>4 - Ryckman Creek (Third-Party Off-System Storage Services and Transportation to the City Gate)</t>
  </si>
  <si>
    <t>6 - Jackson Prairie (Third-Party Off-System Storage Services and Transportation to the DEU City Gate)</t>
  </si>
  <si>
    <t>8 - LNG Facility (On-System Storage) 40 Year Levelized</t>
  </si>
  <si>
    <t>Option Cost Comparisons</t>
  </si>
  <si>
    <t>3C - Magnum Storage (Third-Party Off-System Capacity Release on Magnum's pipeline from Goshen to Dog Valley, Ownership of one 
Salt Cavern and Transportation to Salt Lake on KRGT) 30 year</t>
  </si>
  <si>
    <t>3C - Magnum Storage (Third-Party Off-System Capacity Release on Magnum's pipeline from Goshen to Dog Valley, Ownership of one 
Salt Cavern and Transportation to Salt Lake on KRGT) 40 year</t>
  </si>
  <si>
    <t>7A - Aquifer Storage at Coalville and Chalk Creek (Third-Party Off-System Storage Services and Transportation to the DEU City Gate) 
Option A Scenario 2</t>
  </si>
  <si>
    <t>7B - Aquifer Storage at Coalville and Chalk Creek (Third-Party Off-System Storage Services and Transportation to the DEU City Gate) 
Option B Scenario 2</t>
  </si>
  <si>
    <t>Price</t>
  </si>
  <si>
    <t>Volume</t>
  </si>
  <si>
    <t>Balance $</t>
  </si>
  <si>
    <t>Balance Dth</t>
  </si>
  <si>
    <t>Annual Average Dth</t>
  </si>
  <si>
    <t>Annual Average $</t>
  </si>
  <si>
    <t>Working Capital Amount</t>
  </si>
  <si>
    <t>Capacity</t>
  </si>
  <si>
    <t>Percent of Capacity</t>
  </si>
  <si>
    <t>Working Gas</t>
  </si>
  <si>
    <t>3/</t>
  </si>
  <si>
    <t>3/ Average working gas balance times pretax return</t>
  </si>
  <si>
    <t>Total all costs</t>
  </si>
  <si>
    <t>(REDACTED)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</si>
</sst>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[Red]\(&quot;$&quot;#,##0.00000\)"/>
    <numFmt numFmtId="165" formatCode="_(&quot;$&quot;* #,##0_);_(&quot;$&quot;* \(#,##0\);_(&quot;$&quot;* &quot;-&quot;??_);_(@_)"/>
    <numFmt numFmtId="166" formatCode="&quot;$&quot;#,##0.000000_);[Red]\(&quot;$&quot;#,##0.000000\)"/>
    <numFmt numFmtId="167" formatCode="_(* #,##0_);_(* \(#,##0\);_(* &quot;-&quot;??_);_(@_)"/>
    <numFmt numFmtId="168" formatCode="&quot;$&quot;#,##0"/>
    <numFmt numFmtId="169" formatCode="#,##0.0_);\(#,##0.0\)"/>
    <numFmt numFmtId="170" formatCode="0\ \ "/>
    <numFmt numFmtId="171" formatCode="#,##0\ ;\(#,##0\)"/>
    <numFmt numFmtId="172" formatCode="0.000"/>
    <numFmt numFmtId="173" formatCode="0.0%"/>
    <numFmt numFmtId="174" formatCode="0.000%"/>
    <numFmt numFmtId="175" formatCode="#,##0.00000\ ;\(#,##0.00000\)"/>
    <numFmt numFmtId="176" formatCode="0.0000%"/>
    <numFmt numFmtId="177" formatCode="0.000000%"/>
    <numFmt numFmtId="178" formatCode="0.0000\ "/>
    <numFmt numFmtId="179" formatCode="0&quot; yr&quot;"/>
    <numFmt numFmtId="180" formatCode="#,##0.00000_);\(#,##0.00000\)"/>
    <numFmt numFmtId="181" formatCode="0.00&quot; years&quot;"/>
    <numFmt numFmtId="182" formatCode="0\ &quot; Yrs.&quot;"/>
    <numFmt numFmtId="183" formatCode="&quot;$&quot;#,##0.000_);\(&quot;$&quot;#,##0.000\)"/>
    <numFmt numFmtId="184" formatCode="#,##0.000\ ;\(#,##0.000\)"/>
    <numFmt numFmtId="185" formatCode="&quot;$&quot;#,##0.0_);[Red]\(&quot;$&quot;#,##0.0\)"/>
    <numFmt numFmtId="186" formatCode="&quot;$&quot;#,##0.00"/>
    <numFmt numFmtId="187" formatCode="#,##0.0000\ ;\(#,##0.0000\)"/>
    <numFmt numFmtId="188" formatCode="&quot;Year &quot;0"/>
    <numFmt numFmtId="189" formatCode="0.000\ "/>
    <numFmt numFmtId="190" formatCode="#,##0.0"/>
    <numFmt numFmtId="191" formatCode="[$-409]d\-mmm\-yy;@"/>
    <numFmt numFmtId="192" formatCode="0.00000"/>
    <numFmt numFmtId="193" formatCode="0.0000000_)"/>
    <numFmt numFmtId="194" formatCode="#,##0.00000"/>
    <numFmt numFmtId="195" formatCode="&quot;$&quot;#,##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fornian FB"/>
      <family val="1"/>
    </font>
    <font>
      <b/>
      <sz val="11"/>
      <name val="Californian FB"/>
      <family val="1"/>
    </font>
    <font>
      <sz val="11"/>
      <name val="Californian FB"/>
      <family val="1"/>
    </font>
    <font>
      <sz val="10"/>
      <name val="Arial"/>
      <family val="2"/>
    </font>
    <font>
      <sz val="8"/>
      <name val="Helv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10"/>
      <name val="Helv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helv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8"/>
      <name val="LinePrinte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7" fillId="0" borderId="0"/>
    <xf numFmtId="8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/>
    <xf numFmtId="0" fontId="19" fillId="0" borderId="0"/>
    <xf numFmtId="0" fontId="6" fillId="0" borderId="0"/>
    <xf numFmtId="9" fontId="6" fillId="0" borderId="0" applyFont="0" applyFill="0" applyBorder="0" applyAlignment="0" applyProtection="0"/>
  </cellStyleXfs>
  <cellXfs count="388">
    <xf numFmtId="0" fontId="0" fillId="0" borderId="0" xfId="0"/>
    <xf numFmtId="8" fontId="0" fillId="0" borderId="1" xfId="0" applyNumberFormat="1" applyBorder="1"/>
    <xf numFmtId="8" fontId="0" fillId="0" borderId="0" xfId="0" applyNumberFormat="1"/>
    <xf numFmtId="6" fontId="0" fillId="0" borderId="0" xfId="0" applyNumberFormat="1"/>
    <xf numFmtId="0" fontId="0" fillId="0" borderId="2" xfId="0" applyBorder="1"/>
    <xf numFmtId="8" fontId="0" fillId="0" borderId="2" xfId="0" applyNumberFormat="1" applyBorder="1"/>
    <xf numFmtId="6" fontId="0" fillId="0" borderId="2" xfId="0" applyNumberFormat="1" applyBorder="1"/>
    <xf numFmtId="164" fontId="0" fillId="0" borderId="0" xfId="0" applyNumberFormat="1"/>
    <xf numFmtId="8" fontId="0" fillId="2" borderId="2" xfId="0" applyNumberFormat="1" applyFill="1" applyBorder="1"/>
    <xf numFmtId="166" fontId="0" fillId="0" borderId="0" xfId="0" applyNumberFormat="1"/>
    <xf numFmtId="6" fontId="0" fillId="2" borderId="0" xfId="0" applyNumberFormat="1" applyFill="1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4" applyFont="1" applyFill="1" applyBorder="1"/>
    <xf numFmtId="170" fontId="8" fillId="0" borderId="0" xfId="6" applyNumberFormat="1" applyFont="1" applyAlignment="1">
      <alignment horizontal="right"/>
    </xf>
    <xf numFmtId="0" fontId="9" fillId="0" borderId="0" xfId="6" applyNumberFormat="1" applyFont="1"/>
    <xf numFmtId="0" fontId="10" fillId="0" borderId="0" xfId="6" applyFont="1"/>
    <xf numFmtId="6" fontId="8" fillId="0" borderId="0" xfId="7" applyNumberFormat="1" applyFont="1"/>
    <xf numFmtId="171" fontId="8" fillId="0" borderId="0" xfId="6" applyNumberFormat="1" applyFont="1"/>
    <xf numFmtId="171" fontId="12" fillId="0" borderId="0" xfId="6" applyNumberFormat="1" applyFont="1" applyAlignment="1">
      <alignment horizontal="center"/>
    </xf>
    <xf numFmtId="0" fontId="8" fillId="0" borderId="0" xfId="6" applyFont="1"/>
    <xf numFmtId="171" fontId="13" fillId="0" borderId="0" xfId="6" applyNumberFormat="1" applyFont="1" applyFill="1" applyBorder="1"/>
    <xf numFmtId="171" fontId="13" fillId="0" borderId="0" xfId="6" applyNumberFormat="1" applyFont="1" applyFill="1"/>
    <xf numFmtId="3" fontId="13" fillId="0" borderId="0" xfId="8" applyNumberFormat="1" applyFont="1" applyBorder="1" applyAlignment="1">
      <alignment horizontal="center"/>
    </xf>
    <xf numFmtId="171" fontId="13" fillId="0" borderId="0" xfId="6" applyNumberFormat="1" applyFont="1"/>
    <xf numFmtId="0" fontId="13" fillId="0" borderId="0" xfId="6" applyNumberFormat="1" applyFont="1" applyAlignment="1">
      <alignment horizontal="left"/>
    </xf>
    <xf numFmtId="6" fontId="13" fillId="0" borderId="0" xfId="7" applyNumberFormat="1" applyFont="1"/>
    <xf numFmtId="171" fontId="13" fillId="0" borderId="0" xfId="6" applyNumberFormat="1" applyFont="1" applyAlignment="1">
      <alignment horizontal="center"/>
    </xf>
    <xf numFmtId="171" fontId="13" fillId="0" borderId="0" xfId="6" applyNumberFormat="1" applyFont="1" applyAlignment="1">
      <alignment horizontal="right"/>
    </xf>
    <xf numFmtId="0" fontId="13" fillId="0" borderId="0" xfId="6" applyNumberFormat="1" applyFont="1"/>
    <xf numFmtId="8" fontId="13" fillId="0" borderId="0" xfId="7" applyFont="1"/>
    <xf numFmtId="15" fontId="13" fillId="0" borderId="0" xfId="6" applyNumberFormat="1" applyFont="1" applyAlignment="1">
      <alignment horizontal="center"/>
    </xf>
    <xf numFmtId="4" fontId="13" fillId="0" borderId="0" xfId="8" applyFont="1"/>
    <xf numFmtId="0" fontId="13" fillId="1" borderId="2" xfId="6" applyNumberFormat="1" applyFont="1" applyFill="1" applyBorder="1" applyAlignment="1">
      <alignment horizontal="center"/>
    </xf>
    <xf numFmtId="171" fontId="13" fillId="1" borderId="2" xfId="6" applyNumberFormat="1" applyFont="1" applyFill="1" applyBorder="1" applyAlignment="1">
      <alignment horizontal="center"/>
    </xf>
    <xf numFmtId="171" fontId="13" fillId="1" borderId="14" xfId="6" applyNumberFormat="1" applyFont="1" applyFill="1" applyBorder="1"/>
    <xf numFmtId="0" fontId="8" fillId="1" borderId="4" xfId="6" applyNumberFormat="1" applyFont="1" applyFill="1" applyBorder="1"/>
    <xf numFmtId="171" fontId="8" fillId="1" borderId="2" xfId="6" applyNumberFormat="1" applyFont="1" applyFill="1" applyBorder="1"/>
    <xf numFmtId="0" fontId="13" fillId="1" borderId="14" xfId="6" applyNumberFormat="1" applyFont="1" applyFill="1" applyBorder="1" applyAlignment="1">
      <alignment horizontal="center"/>
    </xf>
    <xf numFmtId="0" fontId="13" fillId="0" borderId="6" xfId="6" applyNumberFormat="1" applyFont="1" applyFill="1" applyBorder="1" applyAlignment="1">
      <alignment horizontal="center"/>
    </xf>
    <xf numFmtId="0" fontId="13" fillId="0" borderId="6" xfId="6" applyNumberFormat="1" applyFont="1" applyBorder="1" applyAlignment="1">
      <alignment horizontal="left"/>
    </xf>
    <xf numFmtId="171" fontId="8" fillId="0" borderId="6" xfId="6" applyNumberFormat="1" applyFont="1" applyBorder="1"/>
    <xf numFmtId="0" fontId="8" fillId="0" borderId="16" xfId="6" applyNumberFormat="1" applyFont="1" applyBorder="1"/>
    <xf numFmtId="171" fontId="8" fillId="0" borderId="9" xfId="6" applyNumberFormat="1" applyFont="1" applyBorder="1" applyAlignment="1">
      <alignment horizontal="left" indent="1"/>
    </xf>
    <xf numFmtId="172" fontId="8" fillId="0" borderId="6" xfId="6" applyNumberFormat="1" applyFont="1" applyFill="1" applyBorder="1"/>
    <xf numFmtId="0" fontId="13" fillId="0" borderId="6" xfId="6" applyFont="1" applyFill="1" applyBorder="1"/>
    <xf numFmtId="173" fontId="8" fillId="0" borderId="0" xfId="3" applyNumberFormat="1" applyFont="1" applyAlignment="1">
      <alignment horizontal="center"/>
    </xf>
    <xf numFmtId="175" fontId="8" fillId="0" borderId="0" xfId="6" applyNumberFormat="1" applyFont="1"/>
    <xf numFmtId="171" fontId="8" fillId="0" borderId="6" xfId="6" applyNumberFormat="1" applyFont="1" applyBorder="1" applyAlignment="1">
      <alignment horizontal="left" indent="1"/>
    </xf>
    <xf numFmtId="171" fontId="8" fillId="0" borderId="0" xfId="6" applyNumberFormat="1" applyFont="1" applyAlignment="1">
      <alignment horizontal="right"/>
    </xf>
    <xf numFmtId="171" fontId="8" fillId="0" borderId="6" xfId="6" applyNumberFormat="1" applyFont="1" applyFill="1" applyBorder="1"/>
    <xf numFmtId="0" fontId="13" fillId="0" borderId="11" xfId="6" applyNumberFormat="1" applyFont="1" applyBorder="1" applyAlignment="1">
      <alignment horizontal="left"/>
    </xf>
    <xf numFmtId="0" fontId="8" fillId="0" borderId="6" xfId="6" applyNumberFormat="1" applyFont="1" applyBorder="1"/>
    <xf numFmtId="176" fontId="8" fillId="0" borderId="13" xfId="6" applyNumberFormat="1" applyFont="1" applyBorder="1"/>
    <xf numFmtId="10" fontId="8" fillId="0" borderId="6" xfId="6" applyNumberFormat="1" applyFont="1" applyBorder="1"/>
    <xf numFmtId="171" fontId="13" fillId="0" borderId="2" xfId="6" applyNumberFormat="1" applyFont="1" applyFill="1" applyBorder="1"/>
    <xf numFmtId="177" fontId="8" fillId="0" borderId="2" xfId="3" applyNumberFormat="1" applyFont="1" applyFill="1" applyBorder="1"/>
    <xf numFmtId="6" fontId="8" fillId="0" borderId="4" xfId="7" applyNumberFormat="1" applyFont="1" applyFill="1" applyBorder="1"/>
    <xf numFmtId="0" fontId="8" fillId="0" borderId="11" xfId="6" applyNumberFormat="1" applyFont="1" applyBorder="1"/>
    <xf numFmtId="0" fontId="8" fillId="0" borderId="17" xfId="6" applyNumberFormat="1" applyFont="1" applyBorder="1"/>
    <xf numFmtId="178" fontId="8" fillId="0" borderId="5" xfId="6" applyNumberFormat="1" applyFont="1" applyFill="1" applyBorder="1"/>
    <xf numFmtId="171" fontId="8" fillId="0" borderId="0" xfId="6" applyNumberFormat="1" applyFont="1" applyBorder="1"/>
    <xf numFmtId="3" fontId="8" fillId="0" borderId="0" xfId="8" applyNumberFormat="1" applyFont="1" applyBorder="1" applyAlignment="1">
      <alignment horizontal="right"/>
    </xf>
    <xf numFmtId="171" fontId="8" fillId="0" borderId="12" xfId="6" quotePrefix="1" applyNumberFormat="1" applyFont="1" applyBorder="1" applyAlignment="1">
      <alignment horizontal="left"/>
    </xf>
    <xf numFmtId="165" fontId="8" fillId="0" borderId="10" xfId="6" applyNumberFormat="1" applyFont="1" applyFill="1" applyBorder="1"/>
    <xf numFmtId="171" fontId="8" fillId="0" borderId="14" xfId="6" applyNumberFormat="1" applyFont="1" applyBorder="1"/>
    <xf numFmtId="171" fontId="8" fillId="0" borderId="3" xfId="6" applyNumberFormat="1" applyFont="1" applyBorder="1"/>
    <xf numFmtId="179" fontId="8" fillId="0" borderId="2" xfId="6" applyNumberFormat="1" applyFont="1" applyFill="1" applyBorder="1" applyAlignment="1">
      <alignment horizontal="center"/>
    </xf>
    <xf numFmtId="171" fontId="8" fillId="0" borderId="11" xfId="6" applyNumberFormat="1" applyFont="1" applyBorder="1"/>
    <xf numFmtId="171" fontId="8" fillId="0" borderId="16" xfId="6" applyNumberFormat="1" applyFont="1" applyBorder="1"/>
    <xf numFmtId="171" fontId="8" fillId="0" borderId="0" xfId="6" applyNumberFormat="1" applyFont="1" applyFill="1" applyBorder="1"/>
    <xf numFmtId="171" fontId="8" fillId="0" borderId="13" xfId="6" applyNumberFormat="1" applyFont="1" applyBorder="1"/>
    <xf numFmtId="174" fontId="8" fillId="0" borderId="0" xfId="3" applyNumberFormat="1" applyFont="1"/>
    <xf numFmtId="171" fontId="8" fillId="3" borderId="14" xfId="6" applyNumberFormat="1" applyFont="1" applyFill="1" applyBorder="1"/>
    <xf numFmtId="9" fontId="8" fillId="0" borderId="2" xfId="3" applyFont="1" applyBorder="1" applyAlignment="1">
      <alignment horizontal="center"/>
    </xf>
    <xf numFmtId="171" fontId="13" fillId="1" borderId="2" xfId="6" applyNumberFormat="1" applyFont="1" applyFill="1" applyBorder="1"/>
    <xf numFmtId="0" fontId="8" fillId="1" borderId="4" xfId="6" applyNumberFormat="1" applyFont="1" applyFill="1" applyBorder="1" applyAlignment="1">
      <alignment horizontal="center"/>
    </xf>
    <xf numFmtId="171" fontId="8" fillId="1" borderId="2" xfId="6" applyNumberFormat="1" applyFont="1" applyFill="1" applyBorder="1" applyAlignment="1">
      <alignment horizontal="center"/>
    </xf>
    <xf numFmtId="171" fontId="8" fillId="0" borderId="5" xfId="6" applyNumberFormat="1" applyFont="1" applyBorder="1"/>
    <xf numFmtId="181" fontId="8" fillId="0" borderId="17" xfId="6" applyNumberFormat="1" applyFont="1" applyFill="1" applyBorder="1"/>
    <xf numFmtId="0" fontId="13" fillId="1" borderId="14" xfId="6" applyNumberFormat="1" applyFont="1" applyFill="1" applyBorder="1"/>
    <xf numFmtId="0" fontId="13" fillId="1" borderId="4" xfId="6" applyNumberFormat="1" applyFont="1" applyFill="1" applyBorder="1"/>
    <xf numFmtId="0" fontId="8" fillId="0" borderId="9" xfId="6" applyNumberFormat="1" applyFont="1" applyBorder="1" applyAlignment="1">
      <alignment horizontal="left" indent="1"/>
    </xf>
    <xf numFmtId="171" fontId="8" fillId="0" borderId="12" xfId="6" applyNumberFormat="1" applyFont="1" applyBorder="1"/>
    <xf numFmtId="10" fontId="8" fillId="0" borderId="0" xfId="3" applyNumberFormat="1" applyFont="1"/>
    <xf numFmtId="9" fontId="8" fillId="0" borderId="0" xfId="3" applyFont="1"/>
    <xf numFmtId="0" fontId="13" fillId="1" borderId="12" xfId="6" applyNumberFormat="1" applyFont="1" applyFill="1" applyBorder="1" applyAlignment="1">
      <alignment horizontal="center"/>
    </xf>
    <xf numFmtId="0" fontId="13" fillId="0" borderId="14" xfId="6" applyNumberFormat="1" applyFont="1" applyBorder="1"/>
    <xf numFmtId="6" fontId="8" fillId="0" borderId="2" xfId="7" applyNumberFormat="1" applyFont="1" applyFill="1" applyBorder="1"/>
    <xf numFmtId="0" fontId="13" fillId="1" borderId="5" xfId="6" applyNumberFormat="1" applyFont="1" applyFill="1" applyBorder="1" applyAlignment="1">
      <alignment horizontal="center"/>
    </xf>
    <xf numFmtId="0" fontId="8" fillId="0" borderId="0" xfId="6" applyNumberFormat="1" applyFont="1"/>
    <xf numFmtId="0" fontId="13" fillId="0" borderId="14" xfId="6" quotePrefix="1" applyFont="1" applyBorder="1" applyAlignment="1">
      <alignment horizontal="left"/>
    </xf>
    <xf numFmtId="0" fontId="8" fillId="0" borderId="4" xfId="6" applyFont="1" applyBorder="1"/>
    <xf numFmtId="182" fontId="13" fillId="0" borderId="2" xfId="6" applyNumberFormat="1" applyFont="1" applyBorder="1"/>
    <xf numFmtId="10" fontId="8" fillId="0" borderId="12" xfId="6" applyNumberFormat="1" applyFont="1" applyBorder="1"/>
    <xf numFmtId="183" fontId="8" fillId="0" borderId="6" xfId="6" applyNumberFormat="1" applyFont="1" applyBorder="1"/>
    <xf numFmtId="5" fontId="8" fillId="0" borderId="16" xfId="6" applyNumberFormat="1" applyFont="1" applyFill="1" applyBorder="1"/>
    <xf numFmtId="0" fontId="13" fillId="0" borderId="14" xfId="6" quotePrefix="1" applyNumberFormat="1" applyFont="1" applyFill="1" applyBorder="1" applyAlignment="1">
      <alignment horizontal="left"/>
    </xf>
    <xf numFmtId="0" fontId="13" fillId="0" borderId="4" xfId="6" applyNumberFormat="1" applyFont="1" applyFill="1" applyBorder="1"/>
    <xf numFmtId="10" fontId="8" fillId="0" borderId="5" xfId="6" applyNumberFormat="1" applyFont="1" applyBorder="1"/>
    <xf numFmtId="0" fontId="14" fillId="0" borderId="14" xfId="6" applyFont="1" applyBorder="1" applyAlignment="1">
      <alignment horizontal="left"/>
    </xf>
    <xf numFmtId="173" fontId="8" fillId="0" borderId="2" xfId="3" applyNumberFormat="1" applyFont="1" applyBorder="1" applyAlignment="1">
      <alignment horizontal="center"/>
    </xf>
    <xf numFmtId="0" fontId="8" fillId="0" borderId="12" xfId="6" applyNumberFormat="1" applyFont="1" applyBorder="1"/>
    <xf numFmtId="0" fontId="8" fillId="1" borderId="9" xfId="6" applyNumberFormat="1" applyFont="1" applyFill="1" applyBorder="1"/>
    <xf numFmtId="0" fontId="8" fillId="1" borderId="10" xfId="6" applyNumberFormat="1" applyFont="1" applyFill="1" applyBorder="1"/>
    <xf numFmtId="171" fontId="8" fillId="0" borderId="11" xfId="6" quotePrefix="1" applyNumberFormat="1" applyFont="1" applyBorder="1" applyAlignment="1">
      <alignment horizontal="left"/>
    </xf>
    <xf numFmtId="171" fontId="13" fillId="0" borderId="14" xfId="6" applyNumberFormat="1" applyFont="1" applyBorder="1"/>
    <xf numFmtId="6" fontId="8" fillId="0" borderId="2" xfId="7" applyNumberFormat="1" applyFont="1" applyBorder="1"/>
    <xf numFmtId="0" fontId="8" fillId="0" borderId="5" xfId="6" applyNumberFormat="1" applyFont="1" applyBorder="1"/>
    <xf numFmtId="0" fontId="8" fillId="1" borderId="11" xfId="6" applyNumberFormat="1" applyFont="1" applyFill="1" applyBorder="1"/>
    <xf numFmtId="0" fontId="8" fillId="1" borderId="17" xfId="6" applyNumberFormat="1" applyFont="1" applyFill="1" applyBorder="1"/>
    <xf numFmtId="0" fontId="8" fillId="0" borderId="2" xfId="6" applyNumberFormat="1" applyFont="1" applyBorder="1"/>
    <xf numFmtId="171" fontId="13" fillId="0" borderId="14" xfId="6" applyNumberFormat="1" applyFont="1" applyBorder="1" applyAlignment="1">
      <alignment horizontal="left"/>
    </xf>
    <xf numFmtId="10" fontId="13" fillId="0" borderId="2" xfId="3" applyNumberFormat="1" applyFont="1" applyBorder="1" applyAlignment="1">
      <alignment horizontal="center"/>
    </xf>
    <xf numFmtId="173" fontId="8" fillId="0" borderId="0" xfId="3" applyNumberFormat="1" applyFont="1"/>
    <xf numFmtId="0" fontId="8" fillId="0" borderId="14" xfId="6" quotePrefix="1" applyFont="1" applyBorder="1" applyAlignment="1">
      <alignment horizontal="left"/>
    </xf>
    <xf numFmtId="0" fontId="8" fillId="0" borderId="3" xfId="6" applyFont="1" applyBorder="1"/>
    <xf numFmtId="185" fontId="8" fillId="0" borderId="2" xfId="7" applyNumberFormat="1" applyFont="1" applyBorder="1"/>
    <xf numFmtId="171" fontId="8" fillId="0" borderId="4" xfId="6" applyNumberFormat="1" applyFont="1" applyBorder="1"/>
    <xf numFmtId="0" fontId="8" fillId="0" borderId="2" xfId="6" applyNumberFormat="1" applyFont="1" applyBorder="1" applyAlignment="1">
      <alignment horizontal="right"/>
    </xf>
    <xf numFmtId="8" fontId="8" fillId="0" borderId="2" xfId="7" applyFont="1" applyFill="1" applyBorder="1"/>
    <xf numFmtId="0" fontId="8" fillId="0" borderId="2" xfId="6" applyNumberFormat="1" applyFont="1" applyFill="1" applyBorder="1"/>
    <xf numFmtId="171" fontId="8" fillId="0" borderId="2" xfId="6" applyNumberFormat="1" applyFont="1" applyFill="1" applyBorder="1"/>
    <xf numFmtId="8" fontId="8" fillId="0" borderId="0" xfId="7" applyFont="1" applyFill="1" applyBorder="1"/>
    <xf numFmtId="171" fontId="8" fillId="2" borderId="2" xfId="6" applyNumberFormat="1" applyFont="1" applyFill="1" applyBorder="1"/>
    <xf numFmtId="184" fontId="8" fillId="0" borderId="0" xfId="6" applyNumberFormat="1" applyFont="1"/>
    <xf numFmtId="6" fontId="8" fillId="0" borderId="12" xfId="7" applyNumberFormat="1" applyFont="1" applyFill="1" applyBorder="1"/>
    <xf numFmtId="6" fontId="8" fillId="0" borderId="13" xfId="7" applyNumberFormat="1" applyFont="1" applyFill="1" applyBorder="1"/>
    <xf numFmtId="6" fontId="8" fillId="0" borderId="5" xfId="7" applyNumberFormat="1" applyFont="1" applyFill="1" applyBorder="1"/>
    <xf numFmtId="180" fontId="8" fillId="0" borderId="2" xfId="6" applyNumberFormat="1" applyFont="1" applyFill="1" applyBorder="1" applyAlignment="1">
      <alignment horizontal="center"/>
    </xf>
    <xf numFmtId="182" fontId="13" fillId="0" borderId="2" xfId="6" applyNumberFormat="1" applyFont="1" applyFill="1" applyBorder="1"/>
    <xf numFmtId="171" fontId="8" fillId="0" borderId="0" xfId="6" applyNumberFormat="1" applyFont="1" applyFill="1" applyAlignment="1">
      <alignment horizontal="center"/>
    </xf>
    <xf numFmtId="171" fontId="8" fillId="0" borderId="16" xfId="6" applyNumberFormat="1" applyFont="1" applyFill="1" applyBorder="1" applyAlignment="1">
      <alignment horizontal="center"/>
    </xf>
    <xf numFmtId="165" fontId="0" fillId="0" borderId="0" xfId="1" applyNumberFormat="1" applyFont="1" applyFill="1"/>
    <xf numFmtId="186" fontId="0" fillId="0" borderId="0" xfId="0" applyNumberFormat="1"/>
    <xf numFmtId="171" fontId="15" fillId="0" borderId="0" xfId="6" applyNumberFormat="1" applyFont="1" applyAlignment="1">
      <alignment horizontal="center"/>
    </xf>
    <xf numFmtId="171" fontId="8" fillId="0" borderId="0" xfId="6" applyNumberFormat="1" applyFont="1" applyAlignment="1">
      <alignment horizontal="center"/>
    </xf>
    <xf numFmtId="165" fontId="8" fillId="0" borderId="16" xfId="7" applyNumberFormat="1" applyFont="1" applyFill="1" applyBorder="1"/>
    <xf numFmtId="10" fontId="8" fillId="0" borderId="13" xfId="6" applyNumberFormat="1" applyFont="1" applyFill="1" applyBorder="1"/>
    <xf numFmtId="174" fontId="8" fillId="0" borderId="13" xfId="6" applyNumberFormat="1" applyFont="1" applyFill="1" applyBorder="1"/>
    <xf numFmtId="4" fontId="8" fillId="0" borderId="0" xfId="8" applyFont="1"/>
    <xf numFmtId="6" fontId="8" fillId="0" borderId="17" xfId="7" applyNumberFormat="1" applyFont="1" applyFill="1" applyBorder="1"/>
    <xf numFmtId="171" fontId="8" fillId="0" borderId="9" xfId="6" quotePrefix="1" applyNumberFormat="1" applyFont="1" applyFill="1" applyBorder="1" applyAlignment="1">
      <alignment horizontal="left"/>
    </xf>
    <xf numFmtId="10" fontId="8" fillId="0" borderId="16" xfId="6" applyNumberFormat="1" applyFont="1" applyFill="1" applyBorder="1"/>
    <xf numFmtId="171" fontId="8" fillId="0" borderId="11" xfId="6" applyNumberFormat="1" applyFont="1" applyFill="1" applyBorder="1"/>
    <xf numFmtId="171" fontId="8" fillId="0" borderId="9" xfId="6" applyNumberFormat="1" applyFont="1" applyFill="1" applyBorder="1"/>
    <xf numFmtId="171" fontId="8" fillId="0" borderId="0" xfId="6" applyNumberFormat="1" applyFont="1" applyFill="1"/>
    <xf numFmtId="171" fontId="8" fillId="0" borderId="17" xfId="6" applyNumberFormat="1" applyFont="1" applyFill="1" applyBorder="1"/>
    <xf numFmtId="10" fontId="7" fillId="0" borderId="0" xfId="3" applyNumberFormat="1" applyFont="1"/>
    <xf numFmtId="44" fontId="8" fillId="0" borderId="11" xfId="5" applyFont="1" applyFill="1" applyBorder="1"/>
    <xf numFmtId="10" fontId="8" fillId="0" borderId="17" xfId="6" applyNumberFormat="1" applyFont="1" applyFill="1" applyBorder="1"/>
    <xf numFmtId="0" fontId="7" fillId="0" borderId="0" xfId="6"/>
    <xf numFmtId="10" fontId="8" fillId="0" borderId="5" xfId="6" applyNumberFormat="1" applyFont="1" applyFill="1" applyBorder="1"/>
    <xf numFmtId="10" fontId="8" fillId="0" borderId="12" xfId="6" applyNumberFormat="1" applyFont="1" applyFill="1" applyBorder="1"/>
    <xf numFmtId="171" fontId="7" fillId="0" borderId="0" xfId="6" applyNumberFormat="1"/>
    <xf numFmtId="0" fontId="7" fillId="0" borderId="0" xfId="6" applyAlignment="1">
      <alignment horizontal="right"/>
    </xf>
    <xf numFmtId="171" fontId="8" fillId="0" borderId="11" xfId="6" quotePrefix="1" applyNumberFormat="1" applyFont="1" applyFill="1" applyBorder="1" applyAlignment="1">
      <alignment horizontal="left"/>
    </xf>
    <xf numFmtId="173" fontId="8" fillId="0" borderId="0" xfId="3" applyNumberFormat="1" applyFont="1" applyAlignment="1">
      <alignment horizontal="right"/>
    </xf>
    <xf numFmtId="6" fontId="8" fillId="0" borderId="0" xfId="6" applyNumberFormat="1" applyFont="1"/>
    <xf numFmtId="184" fontId="8" fillId="0" borderId="2" xfId="6" applyNumberFormat="1" applyFont="1" applyFill="1" applyBorder="1"/>
    <xf numFmtId="6" fontId="8" fillId="0" borderId="0" xfId="7" applyNumberFormat="1" applyFont="1" applyAlignment="1">
      <alignment horizontal="center"/>
    </xf>
    <xf numFmtId="0" fontId="8" fillId="0" borderId="0" xfId="6" applyNumberFormat="1" applyFont="1" applyBorder="1"/>
    <xf numFmtId="187" fontId="8" fillId="0" borderId="0" xfId="6" applyNumberFormat="1" applyFont="1" applyBorder="1"/>
    <xf numFmtId="2" fontId="8" fillId="0" borderId="0" xfId="6" applyNumberFormat="1" applyFont="1" applyBorder="1"/>
    <xf numFmtId="6" fontId="8" fillId="0" borderId="0" xfId="7" applyNumberFormat="1" applyFont="1" applyBorder="1"/>
    <xf numFmtId="1" fontId="8" fillId="0" borderId="0" xfId="6" applyNumberFormat="1" applyFont="1"/>
    <xf numFmtId="188" fontId="13" fillId="1" borderId="2" xfId="6" applyNumberFormat="1" applyFont="1" applyFill="1" applyBorder="1" applyAlignment="1">
      <alignment horizontal="center"/>
    </xf>
    <xf numFmtId="171" fontId="8" fillId="0" borderId="2" xfId="6" applyNumberFormat="1" applyFont="1" applyBorder="1"/>
    <xf numFmtId="171" fontId="13" fillId="0" borderId="2" xfId="6" applyNumberFormat="1" applyFont="1" applyBorder="1"/>
    <xf numFmtId="171" fontId="8" fillId="0" borderId="2" xfId="6" applyNumberFormat="1" applyFont="1" applyBorder="1" applyAlignment="1">
      <alignment horizontal="left"/>
    </xf>
    <xf numFmtId="171" fontId="8" fillId="0" borderId="0" xfId="6" applyNumberFormat="1" applyFont="1" applyAlignment="1">
      <alignment horizontal="left"/>
    </xf>
    <xf numFmtId="170" fontId="13" fillId="1" borderId="2" xfId="6" applyNumberFormat="1" applyFont="1" applyFill="1" applyBorder="1" applyAlignment="1">
      <alignment horizontal="right"/>
    </xf>
    <xf numFmtId="188" fontId="13" fillId="0" borderId="0" xfId="6" applyNumberFormat="1" applyFont="1" applyAlignment="1">
      <alignment horizontal="center"/>
    </xf>
    <xf numFmtId="170" fontId="8" fillId="0" borderId="13" xfId="6" applyNumberFormat="1" applyFont="1" applyFill="1" applyBorder="1" applyAlignment="1">
      <alignment horizontal="right"/>
    </xf>
    <xf numFmtId="171" fontId="8" fillId="0" borderId="13" xfId="6" applyNumberFormat="1" applyFont="1" applyFill="1" applyBorder="1" applyAlignment="1">
      <alignment horizontal="left"/>
    </xf>
    <xf numFmtId="171" fontId="8" fillId="0" borderId="13" xfId="6" applyNumberFormat="1" applyFont="1" applyFill="1" applyBorder="1"/>
    <xf numFmtId="170" fontId="8" fillId="0" borderId="6" xfId="6" applyNumberFormat="1" applyFont="1" applyFill="1" applyBorder="1" applyAlignment="1">
      <alignment horizontal="right"/>
    </xf>
    <xf numFmtId="171" fontId="8" fillId="0" borderId="6" xfId="6" applyNumberFormat="1" applyFont="1" applyFill="1" applyBorder="1" applyAlignment="1">
      <alignment horizontal="left"/>
    </xf>
    <xf numFmtId="171" fontId="8" fillId="0" borderId="0" xfId="6" applyNumberFormat="1" applyFont="1" applyFill="1" applyBorder="1" applyAlignment="1">
      <alignment horizontal="left"/>
    </xf>
    <xf numFmtId="171" fontId="8" fillId="0" borderId="16" xfId="6" applyNumberFormat="1" applyFont="1" applyFill="1" applyBorder="1"/>
    <xf numFmtId="171" fontId="8" fillId="0" borderId="12" xfId="6" applyNumberFormat="1" applyFont="1" applyFill="1" applyBorder="1" applyAlignment="1">
      <alignment horizontal="left"/>
    </xf>
    <xf numFmtId="171" fontId="8" fillId="0" borderId="12" xfId="6" applyNumberFormat="1" applyFont="1" applyFill="1" applyBorder="1"/>
    <xf numFmtId="0" fontId="8" fillId="0" borderId="13" xfId="6" applyNumberFormat="1" applyFont="1" applyFill="1" applyBorder="1" applyAlignment="1">
      <alignment horizontal="left"/>
    </xf>
    <xf numFmtId="0" fontId="8" fillId="0" borderId="5" xfId="6" applyNumberFormat="1" applyFont="1" applyFill="1" applyBorder="1" applyAlignment="1">
      <alignment horizontal="left"/>
    </xf>
    <xf numFmtId="171" fontId="8" fillId="0" borderId="5" xfId="6" applyNumberFormat="1" applyFont="1" applyFill="1" applyBorder="1"/>
    <xf numFmtId="171" fontId="8" fillId="0" borderId="0" xfId="6" quotePrefix="1" applyNumberFormat="1" applyFont="1" applyFill="1" applyAlignment="1">
      <alignment horizontal="left"/>
    </xf>
    <xf numFmtId="171" fontId="8" fillId="0" borderId="3" xfId="6" applyNumberFormat="1" applyFont="1" applyFill="1" applyBorder="1"/>
    <xf numFmtId="170" fontId="8" fillId="0" borderId="13" xfId="6" applyNumberFormat="1" applyFont="1" applyBorder="1" applyAlignment="1">
      <alignment horizontal="right"/>
    </xf>
    <xf numFmtId="178" fontId="8" fillId="0" borderId="2" xfId="6" applyNumberFormat="1" applyFont="1" applyBorder="1" applyAlignment="1">
      <alignment horizontal="left"/>
    </xf>
    <xf numFmtId="37" fontId="8" fillId="0" borderId="2" xfId="8" applyNumberFormat="1" applyFont="1" applyBorder="1"/>
    <xf numFmtId="3" fontId="8" fillId="0" borderId="0" xfId="8" applyNumberFormat="1" applyFont="1"/>
    <xf numFmtId="178" fontId="8" fillId="0" borderId="0" xfId="6" applyNumberFormat="1" applyFont="1"/>
    <xf numFmtId="3" fontId="8" fillId="0" borderId="2" xfId="6" applyNumberFormat="1" applyFont="1" applyBorder="1" applyAlignment="1">
      <alignment horizontal="left"/>
    </xf>
    <xf numFmtId="175" fontId="8" fillId="0" borderId="2" xfId="6" applyNumberFormat="1" applyFont="1" applyBorder="1"/>
    <xf numFmtId="37" fontId="8" fillId="2" borderId="2" xfId="8" applyNumberFormat="1" applyFont="1" applyFill="1" applyBorder="1"/>
    <xf numFmtId="167" fontId="8" fillId="0" borderId="0" xfId="2" applyNumberFormat="1" applyFont="1"/>
    <xf numFmtId="171" fontId="13" fillId="0" borderId="2" xfId="6" applyNumberFormat="1" applyFont="1" applyBorder="1" applyAlignment="1">
      <alignment horizontal="left"/>
    </xf>
    <xf numFmtId="0" fontId="13" fillId="0" borderId="12" xfId="6" applyNumberFormat="1" applyFont="1" applyBorder="1" applyAlignment="1">
      <alignment horizontal="left"/>
    </xf>
    <xf numFmtId="1" fontId="8" fillId="0" borderId="12" xfId="6" applyNumberFormat="1" applyFont="1" applyBorder="1"/>
    <xf numFmtId="171" fontId="8" fillId="0" borderId="13" xfId="6" applyNumberFormat="1" applyFont="1" applyBorder="1" applyAlignment="1">
      <alignment horizontal="left"/>
    </xf>
    <xf numFmtId="171" fontId="8" fillId="0" borderId="5" xfId="6" applyNumberFormat="1" applyFont="1" applyBorder="1" applyAlignment="1">
      <alignment horizontal="left"/>
    </xf>
    <xf numFmtId="171" fontId="8" fillId="0" borderId="12" xfId="6" applyNumberFormat="1" applyFont="1" applyBorder="1" applyAlignment="1">
      <alignment horizontal="left"/>
    </xf>
    <xf numFmtId="171" fontId="13" fillId="0" borderId="12" xfId="6" applyNumberFormat="1" applyFont="1" applyBorder="1" applyAlignment="1">
      <alignment horizontal="left"/>
    </xf>
    <xf numFmtId="1" fontId="8" fillId="0" borderId="12" xfId="6" applyNumberFormat="1" applyFont="1" applyFill="1" applyBorder="1"/>
    <xf numFmtId="0" fontId="8" fillId="0" borderId="12" xfId="6" applyNumberFormat="1" applyFont="1" applyFill="1" applyBorder="1"/>
    <xf numFmtId="10" fontId="8" fillId="0" borderId="13" xfId="6" applyNumberFormat="1" applyFont="1" applyBorder="1" applyAlignment="1">
      <alignment horizontal="left"/>
    </xf>
    <xf numFmtId="10" fontId="13" fillId="0" borderId="13" xfId="6" applyNumberFormat="1" applyFont="1" applyBorder="1" applyAlignment="1">
      <alignment horizontal="center"/>
    </xf>
    <xf numFmtId="10" fontId="8" fillId="0" borderId="13" xfId="6" applyNumberFormat="1" applyFont="1" applyBorder="1"/>
    <xf numFmtId="10" fontId="8" fillId="0" borderId="0" xfId="6" applyNumberFormat="1" applyFont="1"/>
    <xf numFmtId="171" fontId="8" fillId="0" borderId="13" xfId="6" applyNumberFormat="1" applyFont="1" applyBorder="1" applyAlignment="1">
      <alignment horizontal="center"/>
    </xf>
    <xf numFmtId="171" fontId="8" fillId="0" borderId="5" xfId="6" applyNumberFormat="1" applyFont="1" applyBorder="1" applyAlignment="1">
      <alignment horizontal="center"/>
    </xf>
    <xf numFmtId="3" fontId="8" fillId="0" borderId="0" xfId="8" applyNumberFormat="1" applyFont="1" applyAlignment="1">
      <alignment horizontal="right"/>
    </xf>
    <xf numFmtId="1" fontId="8" fillId="0" borderId="0" xfId="6" applyNumberFormat="1" applyFont="1" applyAlignment="1">
      <alignment horizontal="center"/>
    </xf>
    <xf numFmtId="3" fontId="8" fillId="0" borderId="3" xfId="8" applyNumberFormat="1" applyFont="1" applyFill="1" applyBorder="1" applyAlignment="1">
      <alignment horizontal="right"/>
    </xf>
    <xf numFmtId="3" fontId="8" fillId="0" borderId="3" xfId="8" applyNumberFormat="1" applyFont="1" applyBorder="1" applyAlignment="1">
      <alignment horizontal="right"/>
    </xf>
    <xf numFmtId="3" fontId="8" fillId="0" borderId="1" xfId="8" applyNumberFormat="1" applyFont="1" applyBorder="1" applyAlignment="1">
      <alignment horizontal="right"/>
    </xf>
    <xf numFmtId="3" fontId="8" fillId="0" borderId="7" xfId="8" applyNumberFormat="1" applyFont="1" applyBorder="1" applyAlignment="1">
      <alignment horizontal="right"/>
    </xf>
    <xf numFmtId="10" fontId="8" fillId="0" borderId="0" xfId="3" applyNumberFormat="1" applyFont="1" applyAlignment="1">
      <alignment horizontal="right"/>
    </xf>
    <xf numFmtId="171" fontId="16" fillId="0" borderId="0" xfId="6" applyNumberFormat="1" applyFont="1"/>
    <xf numFmtId="0" fontId="7" fillId="0" borderId="0" xfId="6" applyAlignment="1">
      <alignment horizontal="center"/>
    </xf>
    <xf numFmtId="3" fontId="7" fillId="0" borderId="3" xfId="8" applyNumberFormat="1" applyFont="1" applyBorder="1"/>
    <xf numFmtId="171" fontId="7" fillId="0" borderId="3" xfId="6" applyNumberFormat="1" applyBorder="1"/>
    <xf numFmtId="3" fontId="7" fillId="0" borderId="0" xfId="8" applyNumberFormat="1" applyFont="1"/>
    <xf numFmtId="171" fontId="17" fillId="4" borderId="0" xfId="6" applyNumberFormat="1" applyFont="1" applyFill="1"/>
    <xf numFmtId="171" fontId="8" fillId="4" borderId="0" xfId="6" applyNumberFormat="1" applyFont="1" applyFill="1"/>
    <xf numFmtId="171" fontId="13" fillId="4" borderId="0" xfId="6" applyNumberFormat="1" applyFont="1" applyFill="1"/>
    <xf numFmtId="171" fontId="13" fillId="4" borderId="0" xfId="6" applyNumberFormat="1" applyFont="1" applyFill="1" applyAlignment="1">
      <alignment horizontal="right"/>
    </xf>
    <xf numFmtId="10" fontId="8" fillId="0" borderId="0" xfId="6" applyNumberFormat="1" applyFont="1" applyAlignment="1">
      <alignment horizontal="center"/>
    </xf>
    <xf numFmtId="10" fontId="8" fillId="4" borderId="0" xfId="6" applyNumberFormat="1" applyFont="1" applyFill="1"/>
    <xf numFmtId="171" fontId="8" fillId="4" borderId="0" xfId="6" applyNumberFormat="1" applyFont="1" applyFill="1" applyAlignment="1">
      <alignment horizontal="right"/>
    </xf>
    <xf numFmtId="3" fontId="7" fillId="0" borderId="0" xfId="6" applyNumberFormat="1"/>
    <xf numFmtId="3" fontId="7" fillId="0" borderId="3" xfId="6" applyNumberFormat="1" applyBorder="1"/>
    <xf numFmtId="164" fontId="7" fillId="0" borderId="0" xfId="7" applyNumberFormat="1" applyFont="1"/>
    <xf numFmtId="164" fontId="7" fillId="0" borderId="0" xfId="6" applyNumberFormat="1"/>
    <xf numFmtId="6" fontId="8" fillId="0" borderId="3" xfId="7" applyNumberFormat="1" applyFont="1" applyBorder="1"/>
    <xf numFmtId="171" fontId="8" fillId="5" borderId="0" xfId="6" applyNumberFormat="1" applyFont="1" applyFill="1"/>
    <xf numFmtId="0" fontId="7" fillId="5" borderId="0" xfId="6" applyFill="1"/>
    <xf numFmtId="6" fontId="8" fillId="5" borderId="3" xfId="7" applyNumberFormat="1" applyFont="1" applyFill="1" applyBorder="1"/>
    <xf numFmtId="164" fontId="8" fillId="0" borderId="3" xfId="7" applyNumberFormat="1" applyFont="1" applyBorder="1" applyAlignment="1">
      <alignment horizontal="right"/>
    </xf>
    <xf numFmtId="189" fontId="7" fillId="0" borderId="0" xfId="6" applyNumberFormat="1"/>
    <xf numFmtId="6" fontId="7" fillId="0" borderId="3" xfId="6" applyNumberFormat="1" applyBorder="1"/>
    <xf numFmtId="190" fontId="7" fillId="0" borderId="0" xfId="8" applyNumberFormat="1" applyFont="1"/>
    <xf numFmtId="6" fontId="7" fillId="0" borderId="0" xfId="6" applyNumberFormat="1"/>
    <xf numFmtId="6" fontId="7" fillId="0" borderId="3" xfId="7" applyNumberFormat="1" applyFont="1" applyBorder="1"/>
    <xf numFmtId="0" fontId="16" fillId="0" borderId="0" xfId="6" applyFont="1"/>
    <xf numFmtId="0" fontId="7" fillId="0" borderId="0" xfId="6" applyFont="1"/>
    <xf numFmtId="10" fontId="8" fillId="0" borderId="0" xfId="9" applyNumberFormat="1" applyFont="1"/>
    <xf numFmtId="6" fontId="8" fillId="0" borderId="0" xfId="9" applyNumberFormat="1" applyFont="1"/>
    <xf numFmtId="44" fontId="8" fillId="0" borderId="0" xfId="5" applyFont="1"/>
    <xf numFmtId="44" fontId="8" fillId="0" borderId="0" xfId="9" applyNumberFormat="1" applyFont="1"/>
    <xf numFmtId="174" fontId="7" fillId="0" borderId="0" xfId="3" applyNumberFormat="1" applyFont="1" applyAlignment="1">
      <alignment horizontal="left"/>
    </xf>
    <xf numFmtId="6" fontId="7" fillId="0" borderId="0" xfId="6" applyNumberFormat="1" applyFont="1"/>
    <xf numFmtId="10" fontId="7" fillId="0" borderId="0" xfId="6" applyNumberFormat="1" applyFont="1"/>
    <xf numFmtId="10" fontId="7" fillId="0" borderId="0" xfId="8" applyNumberFormat="1" applyFont="1"/>
    <xf numFmtId="174" fontId="7" fillId="0" borderId="0" xfId="8" applyNumberFormat="1" applyFont="1"/>
    <xf numFmtId="174" fontId="8" fillId="0" borderId="0" xfId="6" applyNumberFormat="1" applyFont="1"/>
    <xf numFmtId="174" fontId="7" fillId="0" borderId="0" xfId="6" applyNumberFormat="1" applyFont="1"/>
    <xf numFmtId="165" fontId="8" fillId="0" borderId="10" xfId="5" applyNumberFormat="1" applyFont="1" applyFill="1" applyBorder="1"/>
    <xf numFmtId="43" fontId="8" fillId="0" borderId="0" xfId="2" applyFont="1"/>
    <xf numFmtId="43" fontId="8" fillId="0" borderId="0" xfId="2" applyFont="1" applyBorder="1"/>
    <xf numFmtId="3" fontId="0" fillId="0" borderId="0" xfId="0" applyNumberFormat="1"/>
    <xf numFmtId="168" fontId="0" fillId="0" borderId="0" xfId="0" applyNumberFormat="1"/>
    <xf numFmtId="171" fontId="8" fillId="0" borderId="4" xfId="6" applyNumberFormat="1" applyFont="1" applyFill="1" applyBorder="1"/>
    <xf numFmtId="185" fontId="8" fillId="0" borderId="2" xfId="7" applyNumberFormat="1" applyFont="1" applyFill="1" applyBorder="1"/>
    <xf numFmtId="171" fontId="8" fillId="2" borderId="0" xfId="6" applyNumberFormat="1" applyFont="1" applyFill="1" applyAlignment="1">
      <alignment horizontal="right"/>
    </xf>
    <xf numFmtId="0" fontId="0" fillId="0" borderId="0" xfId="0" applyFill="1"/>
    <xf numFmtId="0" fontId="18" fillId="0" borderId="0" xfId="0" applyFont="1"/>
    <xf numFmtId="37" fontId="21" fillId="6" borderId="8" xfId="11" applyNumberFormat="1" applyFont="1" applyFill="1" applyBorder="1" applyAlignment="1"/>
    <xf numFmtId="0" fontId="6" fillId="0" borderId="0" xfId="10" applyFont="1" applyFill="1" applyAlignment="1" applyProtection="1">
      <alignment vertical="center"/>
    </xf>
    <xf numFmtId="0" fontId="20" fillId="0" borderId="0" xfId="10" applyFont="1" applyFill="1" applyAlignment="1" applyProtection="1">
      <alignment horizontal="center" vertical="center"/>
    </xf>
    <xf numFmtId="0" fontId="20" fillId="0" borderId="0" xfId="10" quotePrefix="1" applyFont="1" applyFill="1" applyAlignment="1" applyProtection="1">
      <alignment horizontal="center" vertical="center"/>
    </xf>
    <xf numFmtId="0" fontId="20" fillId="0" borderId="0" xfId="10" quotePrefix="1" applyFont="1" applyFill="1" applyAlignment="1">
      <alignment horizontal="center" vertical="center"/>
    </xf>
    <xf numFmtId="191" fontId="6" fillId="0" borderId="0" xfId="4" applyNumberFormat="1" applyFill="1" applyBorder="1"/>
    <xf numFmtId="0" fontId="6" fillId="0" borderId="0" xfId="4" applyFill="1" applyBorder="1"/>
    <xf numFmtId="0" fontId="6" fillId="0" borderId="0" xfId="4" applyFont="1" applyFill="1" applyAlignment="1">
      <alignment horizontal="center"/>
    </xf>
    <xf numFmtId="0" fontId="20" fillId="0" borderId="0" xfId="11" quotePrefix="1" applyFont="1" applyFill="1" applyBorder="1" applyAlignment="1" applyProtection="1">
      <alignment horizontal="left"/>
    </xf>
    <xf numFmtId="0" fontId="6" fillId="0" borderId="0" xfId="11" applyFont="1" applyFill="1" applyBorder="1" applyAlignment="1" applyProtection="1"/>
    <xf numFmtId="3" fontId="6" fillId="0" borderId="0" xfId="11" applyNumberFormat="1" applyFont="1" applyFill="1" applyBorder="1" applyAlignment="1" applyProtection="1">
      <alignment horizontal="center"/>
    </xf>
    <xf numFmtId="0" fontId="20" fillId="0" borderId="0" xfId="11" applyFont="1" applyFill="1" applyAlignment="1" applyProtection="1">
      <alignment horizontal="center"/>
    </xf>
    <xf numFmtId="0" fontId="20" fillId="0" borderId="0" xfId="11" applyFont="1" applyFill="1" applyAlignment="1" applyProtection="1"/>
    <xf numFmtId="0" fontId="6" fillId="0" borderId="0" xfId="10" applyFont="1" applyFill="1" applyAlignment="1" applyProtection="1">
      <alignment vertical="top"/>
    </xf>
    <xf numFmtId="0" fontId="20" fillId="0" borderId="15" xfId="10" applyFont="1" applyFill="1" applyBorder="1" applyAlignment="1" applyProtection="1">
      <alignment horizontal="center" vertical="top"/>
    </xf>
    <xf numFmtId="0" fontId="20" fillId="0" borderId="15" xfId="10" quotePrefix="1" applyFont="1" applyFill="1" applyBorder="1" applyAlignment="1" applyProtection="1">
      <alignment horizontal="center" vertical="top"/>
    </xf>
    <xf numFmtId="14" fontId="20" fillId="0" borderId="15" xfId="10" quotePrefix="1" applyNumberFormat="1" applyFont="1" applyFill="1" applyBorder="1" applyAlignment="1" applyProtection="1">
      <alignment horizontal="center" vertical="top"/>
    </xf>
    <xf numFmtId="0" fontId="6" fillId="0" borderId="15" xfId="4" applyFont="1" applyFill="1" applyBorder="1"/>
    <xf numFmtId="0" fontId="6" fillId="0" borderId="15" xfId="4" quotePrefix="1" applyFont="1" applyFill="1" applyBorder="1" applyAlignment="1">
      <alignment horizontal="center"/>
    </xf>
    <xf numFmtId="3" fontId="20" fillId="0" borderId="0" xfId="11" applyNumberFormat="1" applyFont="1" applyFill="1" applyAlignment="1">
      <alignment horizontal="center"/>
    </xf>
    <xf numFmtId="0" fontId="6" fillId="0" borderId="0" xfId="10" applyFont="1" applyFill="1" applyProtection="1"/>
    <xf numFmtId="0" fontId="6" fillId="0" borderId="0" xfId="10" applyFont="1" applyFill="1" applyAlignment="1" applyProtection="1">
      <alignment horizontal="center"/>
    </xf>
    <xf numFmtId="2" fontId="6" fillId="0" borderId="0" xfId="4" applyNumberFormat="1" applyFill="1" applyBorder="1"/>
    <xf numFmtId="192" fontId="6" fillId="0" borderId="0" xfId="4" applyNumberFormat="1" applyFont="1" applyFill="1" applyBorder="1"/>
    <xf numFmtId="0" fontId="20" fillId="0" borderId="15" xfId="11" applyFont="1" applyFill="1" applyBorder="1" applyAlignment="1"/>
    <xf numFmtId="0" fontId="20" fillId="0" borderId="15" xfId="11" applyFont="1" applyFill="1" applyBorder="1" applyAlignment="1" applyProtection="1"/>
    <xf numFmtId="3" fontId="20" fillId="0" borderId="15" xfId="11" applyNumberFormat="1" applyFont="1" applyFill="1" applyBorder="1" applyAlignment="1" applyProtection="1">
      <alignment horizontal="center"/>
    </xf>
    <xf numFmtId="0" fontId="20" fillId="0" borderId="15" xfId="11" applyFont="1" applyFill="1" applyBorder="1" applyAlignment="1" applyProtection="1">
      <alignment horizontal="center"/>
    </xf>
    <xf numFmtId="0" fontId="20" fillId="0" borderId="15" xfId="11" quotePrefix="1" applyFont="1" applyFill="1" applyBorder="1" applyAlignment="1" applyProtection="1">
      <alignment horizontal="center"/>
    </xf>
    <xf numFmtId="190" fontId="21" fillId="0" borderId="0" xfId="4" applyNumberFormat="1" applyFont="1" applyFill="1" applyAlignment="1" applyProtection="1">
      <alignment horizontal="right"/>
    </xf>
    <xf numFmtId="7" fontId="6" fillId="0" borderId="0" xfId="10" applyNumberFormat="1" applyFont="1" applyFill="1" applyAlignment="1" applyProtection="1">
      <alignment horizontal="right"/>
    </xf>
    <xf numFmtId="0" fontId="6" fillId="0" borderId="0" xfId="4" quotePrefix="1" applyFont="1" applyFill="1" applyBorder="1" applyAlignment="1">
      <alignment horizontal="center"/>
    </xf>
    <xf numFmtId="0" fontId="21" fillId="0" borderId="0" xfId="11" quotePrefix="1" applyFont="1" applyFill="1" applyBorder="1" applyAlignment="1" applyProtection="1">
      <alignment horizontal="left"/>
    </xf>
    <xf numFmtId="37" fontId="21" fillId="0" borderId="0" xfId="11" quotePrefix="1" applyNumberFormat="1" applyFont="1" applyFill="1" applyBorder="1" applyAlignment="1" applyProtection="1">
      <alignment horizontal="center"/>
    </xf>
    <xf numFmtId="37" fontId="21" fillId="0" borderId="0" xfId="11" applyNumberFormat="1" applyFont="1" applyFill="1" applyAlignment="1"/>
    <xf numFmtId="180" fontId="21" fillId="0" borderId="0" xfId="11" applyNumberFormat="1" applyFont="1" applyFill="1" applyAlignment="1"/>
    <xf numFmtId="37" fontId="21" fillId="0" borderId="0" xfId="11" applyNumberFormat="1" applyFont="1" applyFill="1" applyAlignment="1" applyProtection="1"/>
    <xf numFmtId="4" fontId="6" fillId="0" borderId="0" xfId="11" applyNumberFormat="1" applyFont="1" applyFill="1" applyBorder="1" applyAlignment="1" applyProtection="1"/>
    <xf numFmtId="10" fontId="21" fillId="0" borderId="0" xfId="12" applyNumberFormat="1" applyFont="1" applyFill="1" applyAlignment="1"/>
    <xf numFmtId="180" fontId="21" fillId="0" borderId="0" xfId="11" applyNumberFormat="1" applyFont="1" applyFill="1" applyAlignment="1" applyProtection="1"/>
    <xf numFmtId="39" fontId="6" fillId="0" borderId="0" xfId="10" applyNumberFormat="1" applyFont="1" applyFill="1" applyAlignment="1" applyProtection="1">
      <alignment horizontal="right"/>
    </xf>
    <xf numFmtId="192" fontId="6" fillId="0" borderId="0" xfId="4" applyNumberFormat="1" applyFill="1" applyBorder="1"/>
    <xf numFmtId="193" fontId="6" fillId="0" borderId="0" xfId="11" applyNumberFormat="1" applyFont="1" applyFill="1" applyBorder="1" applyAlignment="1" applyProtection="1"/>
    <xf numFmtId="0" fontId="21" fillId="0" borderId="0" xfId="11" applyFont="1" applyFill="1" applyAlignment="1"/>
    <xf numFmtId="3" fontId="21" fillId="0" borderId="0" xfId="11" quotePrefix="1" applyNumberFormat="1" applyFont="1" applyFill="1" applyBorder="1" applyAlignment="1" applyProtection="1">
      <alignment horizontal="center"/>
    </xf>
    <xf numFmtId="0" fontId="21" fillId="0" borderId="0" xfId="11" applyFont="1" applyFill="1" applyBorder="1" applyAlignment="1" applyProtection="1"/>
    <xf numFmtId="0" fontId="22" fillId="0" borderId="0" xfId="11" quotePrefix="1" applyFont="1" applyFill="1" applyBorder="1" applyAlignment="1" applyProtection="1">
      <alignment horizontal="left"/>
    </xf>
    <xf numFmtId="0" fontId="6" fillId="0" borderId="0" xfId="11" applyFont="1" applyFill="1" applyAlignment="1"/>
    <xf numFmtId="37" fontId="21" fillId="0" borderId="8" xfId="11" applyNumberFormat="1" applyFont="1" applyFill="1" applyBorder="1" applyAlignment="1"/>
    <xf numFmtId="180" fontId="21" fillId="0" borderId="8" xfId="11" applyNumberFormat="1" applyFont="1" applyFill="1" applyBorder="1" applyAlignment="1"/>
    <xf numFmtId="194" fontId="6" fillId="0" borderId="0" xfId="11" applyNumberFormat="1" applyFont="1" applyFill="1" applyBorder="1" applyAlignment="1" applyProtection="1"/>
    <xf numFmtId="10" fontId="21" fillId="0" borderId="8" xfId="12" applyNumberFormat="1" applyFont="1" applyFill="1" applyBorder="1" applyAlignment="1"/>
    <xf numFmtId="37" fontId="23" fillId="0" borderId="0" xfId="0" applyNumberFormat="1" applyFont="1" applyFill="1"/>
    <xf numFmtId="0" fontId="23" fillId="0" borderId="0" xfId="0" applyFont="1" applyFill="1"/>
    <xf numFmtId="167" fontId="23" fillId="0" borderId="0" xfId="2" applyNumberFormat="1" applyFont="1" applyFill="1"/>
    <xf numFmtId="10" fontId="23" fillId="0" borderId="0" xfId="3" applyNumberFormat="1" applyFont="1" applyFill="1"/>
    <xf numFmtId="192" fontId="23" fillId="0" borderId="0" xfId="0" applyNumberFormat="1" applyFont="1" applyFill="1"/>
    <xf numFmtId="169" fontId="6" fillId="0" borderId="18" xfId="10" applyNumberFormat="1" applyFont="1" applyFill="1" applyBorder="1" applyAlignment="1" applyProtection="1">
      <alignment horizontal="center"/>
    </xf>
    <xf numFmtId="7" fontId="6" fillId="0" borderId="18" xfId="10" applyNumberFormat="1" applyFont="1" applyFill="1" applyBorder="1" applyAlignment="1" applyProtection="1">
      <alignment horizontal="center"/>
    </xf>
    <xf numFmtId="39" fontId="6" fillId="0" borderId="18" xfId="10" applyNumberFormat="1" applyFont="1" applyFill="1" applyBorder="1" applyAlignment="1" applyProtection="1">
      <alignment horizontal="center"/>
    </xf>
    <xf numFmtId="10" fontId="21" fillId="0" borderId="8" xfId="3" applyNumberFormat="1" applyFont="1" applyFill="1" applyBorder="1" applyAlignment="1"/>
    <xf numFmtId="169" fontId="6" fillId="0" borderId="0" xfId="10" applyNumberFormat="1" applyFont="1" applyFill="1" applyAlignment="1" applyProtection="1">
      <alignment horizontal="center"/>
    </xf>
    <xf numFmtId="7" fontId="6" fillId="0" borderId="0" xfId="10" applyNumberFormat="1" applyFont="1" applyFill="1" applyAlignment="1" applyProtection="1">
      <alignment horizontal="center"/>
    </xf>
    <xf numFmtId="169" fontId="6" fillId="0" borderId="0" xfId="10" applyNumberFormat="1" applyFont="1" applyFill="1" applyAlignment="1">
      <alignment horizontal="center"/>
    </xf>
    <xf numFmtId="169" fontId="6" fillId="0" borderId="0" xfId="10" applyNumberFormat="1" applyFont="1" applyFill="1" applyAlignment="1" applyProtection="1">
      <alignment horizontal="right"/>
    </xf>
    <xf numFmtId="7" fontId="6" fillId="0" borderId="0" xfId="10" applyNumberFormat="1" applyFont="1" applyFill="1" applyProtection="1"/>
    <xf numFmtId="0" fontId="6" fillId="0" borderId="0" xfId="10" applyFont="1" applyFill="1" applyAlignment="1" applyProtection="1">
      <alignment horizontal="right"/>
    </xf>
    <xf numFmtId="167" fontId="21" fillId="6" borderId="8" xfId="2" applyNumberFormat="1" applyFont="1" applyFill="1" applyBorder="1" applyAlignment="1"/>
    <xf numFmtId="10" fontId="6" fillId="0" borderId="0" xfId="3" applyNumberFormat="1" applyFont="1" applyFill="1" applyAlignment="1" applyProtection="1">
      <alignment horizontal="right"/>
    </xf>
    <xf numFmtId="9" fontId="0" fillId="0" borderId="0" xfId="3" applyFont="1" applyFill="1"/>
    <xf numFmtId="195" fontId="0" fillId="0" borderId="0" xfId="0" applyNumberFormat="1"/>
    <xf numFmtId="8" fontId="0" fillId="0" borderId="0" xfId="0" applyNumberFormat="1" applyBorder="1"/>
    <xf numFmtId="6" fontId="0" fillId="0" borderId="0" xfId="0" applyNumberFormat="1" applyBorder="1"/>
    <xf numFmtId="167" fontId="0" fillId="0" borderId="0" xfId="2" applyNumberFormat="1" applyFont="1"/>
    <xf numFmtId="167" fontId="0" fillId="0" borderId="0" xfId="2" applyNumberFormat="1" applyFont="1"/>
    <xf numFmtId="167" fontId="0" fillId="0" borderId="0" xfId="2" applyNumberFormat="1" applyFont="1"/>
    <xf numFmtId="167" fontId="0" fillId="0" borderId="0" xfId="2" applyNumberFormat="1" applyFont="1"/>
    <xf numFmtId="167" fontId="0" fillId="0" borderId="0" xfId="2" applyNumberFormat="1" applyFont="1"/>
    <xf numFmtId="167" fontId="0" fillId="0" borderId="0" xfId="2" applyNumberFormat="1" applyFont="1"/>
    <xf numFmtId="167" fontId="0" fillId="0" borderId="0" xfId="2" applyNumberFormat="1" applyFont="1"/>
    <xf numFmtId="3" fontId="20" fillId="0" borderId="0" xfId="11" applyNumberFormat="1" applyFont="1" applyFill="1" applyAlignment="1">
      <alignment horizontal="center"/>
    </xf>
    <xf numFmtId="171" fontId="8" fillId="0" borderId="0" xfId="6" applyNumberFormat="1" applyFont="1" applyAlignment="1">
      <alignment horizontal="center"/>
    </xf>
    <xf numFmtId="8" fontId="0" fillId="0" borderId="0" xfId="0" applyNumberFormat="1" applyFill="1" applyBorder="1"/>
    <xf numFmtId="17" fontId="0" fillId="0" borderId="0" xfId="0" applyNumberFormat="1"/>
    <xf numFmtId="44" fontId="0" fillId="0" borderId="0" xfId="1" applyFont="1"/>
    <xf numFmtId="165" fontId="0" fillId="0" borderId="0" xfId="1" applyNumberFormat="1" applyFont="1"/>
    <xf numFmtId="167" fontId="0" fillId="0" borderId="0" xfId="0" applyNumberFormat="1"/>
    <xf numFmtId="165" fontId="0" fillId="0" borderId="0" xfId="0" applyNumberFormat="1"/>
    <xf numFmtId="9" fontId="0" fillId="0" borderId="0" xfId="3" applyFont="1"/>
    <xf numFmtId="0" fontId="24" fillId="0" borderId="0" xfId="0" applyFont="1"/>
    <xf numFmtId="10" fontId="0" fillId="0" borderId="0" xfId="3" applyNumberFormat="1" applyFont="1"/>
    <xf numFmtId="8" fontId="2" fillId="2" borderId="2" xfId="0" applyNumberFormat="1" applyFont="1" applyFill="1" applyBorder="1"/>
    <xf numFmtId="165" fontId="2" fillId="0" borderId="0" xfId="1" applyNumberFormat="1" applyFont="1"/>
    <xf numFmtId="10" fontId="2" fillId="0" borderId="0" xfId="3" applyNumberFormat="1" applyFont="1"/>
    <xf numFmtId="0" fontId="0" fillId="0" borderId="0" xfId="0" applyFill="1" applyAlignment="1">
      <alignment horizontal="left"/>
    </xf>
    <xf numFmtId="8" fontId="0" fillId="0" borderId="0" xfId="0" applyNumberFormat="1" applyFill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/>
    <xf numFmtId="167" fontId="5" fillId="0" borderId="12" xfId="2" applyNumberFormat="1" applyFont="1" applyFill="1" applyBorder="1" applyAlignment="1">
      <alignment horizontal="right"/>
    </xf>
    <xf numFmtId="186" fontId="5" fillId="0" borderId="12" xfId="0" applyNumberFormat="1" applyFont="1" applyFill="1" applyBorder="1"/>
    <xf numFmtId="10" fontId="5" fillId="0" borderId="10" xfId="3" applyNumberFormat="1" applyFont="1" applyFill="1" applyBorder="1"/>
    <xf numFmtId="0" fontId="5" fillId="0" borderId="13" xfId="0" applyFont="1" applyFill="1" applyBorder="1"/>
    <xf numFmtId="167" fontId="5" fillId="0" borderId="13" xfId="2" applyNumberFormat="1" applyFont="1" applyFill="1" applyBorder="1" applyAlignment="1">
      <alignment horizontal="right"/>
    </xf>
    <xf numFmtId="186" fontId="5" fillId="0" borderId="13" xfId="0" applyNumberFormat="1" applyFont="1" applyFill="1" applyBorder="1"/>
    <xf numFmtId="10" fontId="5" fillId="0" borderId="16" xfId="3" applyNumberFormat="1" applyFont="1" applyFill="1" applyBorder="1"/>
    <xf numFmtId="0" fontId="5" fillId="0" borderId="13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7" fontId="5" fillId="0" borderId="5" xfId="2" applyNumberFormat="1" applyFont="1" applyFill="1" applyBorder="1" applyAlignment="1">
      <alignment horizontal="right" wrapText="1"/>
    </xf>
    <xf numFmtId="186" fontId="5" fillId="0" borderId="5" xfId="0" applyNumberFormat="1" applyFont="1" applyFill="1" applyBorder="1" applyAlignment="1">
      <alignment wrapText="1"/>
    </xf>
    <xf numFmtId="10" fontId="5" fillId="0" borderId="17" xfId="3" applyNumberFormat="1" applyFont="1" applyFill="1" applyBorder="1" applyAlignment="1">
      <alignment wrapText="1"/>
    </xf>
    <xf numFmtId="0" fontId="0" fillId="0" borderId="0" xfId="0" applyFill="1" applyBorder="1"/>
    <xf numFmtId="0" fontId="4" fillId="0" borderId="1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3" fontId="20" fillId="0" borderId="0" xfId="11" applyNumberFormat="1" applyFont="1" applyFill="1" applyAlignment="1">
      <alignment horizontal="center"/>
    </xf>
    <xf numFmtId="171" fontId="8" fillId="0" borderId="0" xfId="6" applyNumberFormat="1" applyFont="1" applyAlignment="1">
      <alignment horizontal="center"/>
    </xf>
    <xf numFmtId="3" fontId="8" fillId="0" borderId="0" xfId="8" applyNumberFormat="1" applyFont="1" applyAlignment="1">
      <alignment horizontal="center"/>
    </xf>
    <xf numFmtId="171" fontId="8" fillId="0" borderId="0" xfId="6" applyNumberFormat="1" applyFont="1" applyBorder="1" applyAlignment="1">
      <alignment horizontal="center"/>
    </xf>
  </cellXfs>
  <cellStyles count="13">
    <cellStyle name="Comma" xfId="2" builtinId="3"/>
    <cellStyle name="Comma_Gold Rush model 5-24-07" xfId="8"/>
    <cellStyle name="Currency" xfId="1" builtinId="4"/>
    <cellStyle name="Currency 2" xfId="5"/>
    <cellStyle name="Currency_Gold Rush model 5-24-07" xfId="7"/>
    <cellStyle name="Normal" xfId="0" builtinId="0"/>
    <cellStyle name="Normal 3" xfId="4"/>
    <cellStyle name="Normal 4 2" xfId="11"/>
    <cellStyle name="Normal_CIAC22" xfId="9"/>
    <cellStyle name="Normal_Gold Rush model 5-24-07" xfId="6"/>
    <cellStyle name="Normal_Pass-Through Model 11_2007 - 10_2008" xfId="10"/>
    <cellStyle name="Percent" xfId="3" builtinId="5"/>
    <cellStyle name="Percent 2" xfId="12"/>
  </cellStyles>
  <dxfs count="0"/>
  <tableStyles count="0" defaultTableStyle="TableStyleMedium2" defaultPivotStyle="PivotStyleLight16"/>
  <colors>
    <mruColors>
      <color rgb="FFFFCCFF"/>
      <color rgb="FFFF99FF"/>
      <color rgb="FFFFFF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90784"/>
        <c:axId val="209578656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7872"/>
        <c:axId val="209577480"/>
      </c:lineChart>
      <c:catAx>
        <c:axId val="155690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09578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57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90784"/>
        <c:crosses val="autoZero"/>
        <c:crossBetween val="midCat"/>
      </c:valAx>
      <c:catAx>
        <c:axId val="209577872"/>
        <c:scaling>
          <c:orientation val="minMax"/>
        </c:scaling>
        <c:delete val="1"/>
        <c:axPos val="b"/>
        <c:majorTickMark val="out"/>
        <c:minorTickMark val="none"/>
        <c:tickLblPos val="none"/>
        <c:crossAx val="209577480"/>
        <c:crosses val="autoZero"/>
        <c:auto val="0"/>
        <c:lblAlgn val="ctr"/>
        <c:lblOffset val="100"/>
        <c:noMultiLvlLbl val="0"/>
      </c:catAx>
      <c:valAx>
        <c:axId val="20957748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09577872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11608"/>
        <c:axId val="210110432"/>
      </c:lineChart>
      <c:catAx>
        <c:axId val="21011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1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1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11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13176"/>
        <c:axId val="210106512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11216"/>
        <c:axId val="209573560"/>
      </c:lineChart>
      <c:catAx>
        <c:axId val="210113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10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10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113176"/>
        <c:crosses val="autoZero"/>
        <c:crossBetween val="midCat"/>
      </c:valAx>
      <c:catAx>
        <c:axId val="210111216"/>
        <c:scaling>
          <c:orientation val="minMax"/>
        </c:scaling>
        <c:delete val="1"/>
        <c:axPos val="b"/>
        <c:majorTickMark val="out"/>
        <c:minorTickMark val="none"/>
        <c:tickLblPos val="none"/>
        <c:crossAx val="209573560"/>
        <c:crosses val="autoZero"/>
        <c:auto val="0"/>
        <c:lblAlgn val="ctr"/>
        <c:lblOffset val="100"/>
        <c:noMultiLvlLbl val="0"/>
      </c:catAx>
      <c:valAx>
        <c:axId val="20957356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11121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4736"/>
        <c:axId val="209575912"/>
      </c:lineChart>
      <c:catAx>
        <c:axId val="20957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75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4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1936"/>
        <c:axId val="209912328"/>
      </c:barChart>
      <c:catAx>
        <c:axId val="2099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12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12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1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913896"/>
        <c:axId val="209912720"/>
      </c:barChart>
      <c:catAx>
        <c:axId val="20991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1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1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13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15464"/>
        <c:axId val="209914680"/>
      </c:lineChart>
      <c:catAx>
        <c:axId val="209915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14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14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15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76368"/>
        <c:axId val="210577936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74408"/>
        <c:axId val="210573232"/>
      </c:lineChart>
      <c:catAx>
        <c:axId val="210576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577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57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576368"/>
        <c:crosses val="autoZero"/>
        <c:crossBetween val="midCat"/>
      </c:valAx>
      <c:catAx>
        <c:axId val="210574408"/>
        <c:scaling>
          <c:orientation val="minMax"/>
        </c:scaling>
        <c:delete val="1"/>
        <c:axPos val="b"/>
        <c:majorTickMark val="out"/>
        <c:minorTickMark val="none"/>
        <c:tickLblPos val="none"/>
        <c:crossAx val="210573232"/>
        <c:crosses val="autoZero"/>
        <c:auto val="0"/>
        <c:lblAlgn val="ctr"/>
        <c:lblOffset val="100"/>
        <c:noMultiLvlLbl val="0"/>
      </c:catAx>
      <c:valAx>
        <c:axId val="210573232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574408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72840"/>
        <c:axId val="210575584"/>
      </c:lineChart>
      <c:catAx>
        <c:axId val="21057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7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72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78720"/>
        <c:axId val="210575192"/>
      </c:barChart>
      <c:catAx>
        <c:axId val="2105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75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75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78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576760"/>
        <c:axId val="210577152"/>
      </c:barChart>
      <c:catAx>
        <c:axId val="21057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7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7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76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3168"/>
        <c:axId val="209576696"/>
      </c:lineChart>
      <c:catAx>
        <c:axId val="20957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6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76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3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79504"/>
        <c:axId val="210579112"/>
      </c:lineChart>
      <c:catAx>
        <c:axId val="21057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79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79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79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79896"/>
        <c:axId val="210573624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74016"/>
        <c:axId val="211154864"/>
      </c:lineChart>
      <c:catAx>
        <c:axId val="210579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573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573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579896"/>
        <c:crosses val="autoZero"/>
        <c:crossBetween val="midCat"/>
      </c:valAx>
      <c:catAx>
        <c:axId val="210574016"/>
        <c:scaling>
          <c:orientation val="minMax"/>
        </c:scaling>
        <c:delete val="1"/>
        <c:axPos val="b"/>
        <c:majorTickMark val="out"/>
        <c:minorTickMark val="none"/>
        <c:tickLblPos val="none"/>
        <c:crossAx val="211154864"/>
        <c:crosses val="autoZero"/>
        <c:auto val="0"/>
        <c:lblAlgn val="ctr"/>
        <c:lblOffset val="100"/>
        <c:noMultiLvlLbl val="0"/>
      </c:catAx>
      <c:valAx>
        <c:axId val="21115486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57401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56432"/>
        <c:axId val="211157216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59568"/>
        <c:axId val="211158000"/>
      </c:lineChart>
      <c:catAx>
        <c:axId val="211156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1157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15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1156432"/>
        <c:crosses val="autoZero"/>
        <c:crossBetween val="midCat"/>
      </c:valAx>
      <c:catAx>
        <c:axId val="211159568"/>
        <c:scaling>
          <c:orientation val="minMax"/>
        </c:scaling>
        <c:delete val="1"/>
        <c:axPos val="b"/>
        <c:majorTickMark val="out"/>
        <c:minorTickMark val="none"/>
        <c:tickLblPos val="none"/>
        <c:crossAx val="211158000"/>
        <c:crosses val="autoZero"/>
        <c:auto val="0"/>
        <c:lblAlgn val="ctr"/>
        <c:lblOffset val="100"/>
        <c:noMultiLvlLbl val="0"/>
      </c:catAx>
      <c:valAx>
        <c:axId val="21115800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1159568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59176"/>
        <c:axId val="211155256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54080"/>
        <c:axId val="211156040"/>
      </c:lineChart>
      <c:catAx>
        <c:axId val="211159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1155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155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1159176"/>
        <c:crosses val="autoZero"/>
        <c:crossBetween val="midCat"/>
      </c:valAx>
      <c:catAx>
        <c:axId val="211154080"/>
        <c:scaling>
          <c:orientation val="minMax"/>
        </c:scaling>
        <c:delete val="1"/>
        <c:axPos val="b"/>
        <c:majorTickMark val="out"/>
        <c:minorTickMark val="none"/>
        <c:tickLblPos val="none"/>
        <c:crossAx val="211156040"/>
        <c:crosses val="autoZero"/>
        <c:auto val="0"/>
        <c:lblAlgn val="ctr"/>
        <c:lblOffset val="100"/>
        <c:noMultiLvlLbl val="0"/>
      </c:catAx>
      <c:valAx>
        <c:axId val="21115604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1154080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52512"/>
        <c:axId val="211153296"/>
      </c:lineChart>
      <c:catAx>
        <c:axId val="2111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5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5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52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56824"/>
        <c:axId val="211155648"/>
      </c:barChart>
      <c:catAx>
        <c:axId val="21115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5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5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56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153688"/>
        <c:axId val="209199168"/>
      </c:barChart>
      <c:catAx>
        <c:axId val="21115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9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53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3288"/>
        <c:axId val="209199952"/>
      </c:lineChart>
      <c:catAx>
        <c:axId val="209193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9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3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3680"/>
        <c:axId val="209194856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8776"/>
        <c:axId val="209192896"/>
      </c:lineChart>
      <c:catAx>
        <c:axId val="209193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09194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94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09193680"/>
        <c:crosses val="autoZero"/>
        <c:crossBetween val="midCat"/>
      </c:valAx>
      <c:catAx>
        <c:axId val="209198776"/>
        <c:scaling>
          <c:orientation val="minMax"/>
        </c:scaling>
        <c:delete val="1"/>
        <c:axPos val="b"/>
        <c:majorTickMark val="out"/>
        <c:minorTickMark val="none"/>
        <c:tickLblPos val="none"/>
        <c:crossAx val="209192896"/>
        <c:crosses val="autoZero"/>
        <c:auto val="0"/>
        <c:lblAlgn val="ctr"/>
        <c:lblOffset val="100"/>
        <c:noMultiLvlLbl val="0"/>
      </c:catAx>
      <c:valAx>
        <c:axId val="20919289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0919877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7992"/>
        <c:axId val="209196032"/>
      </c:lineChart>
      <c:catAx>
        <c:axId val="20919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9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7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78264"/>
        <c:axId val="209572776"/>
      </c:barChart>
      <c:catAx>
        <c:axId val="20957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72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8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96424"/>
        <c:axId val="209194464"/>
      </c:barChart>
      <c:catAx>
        <c:axId val="20919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9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6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192504"/>
        <c:axId val="209195248"/>
      </c:barChart>
      <c:catAx>
        <c:axId val="20919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9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2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7208"/>
        <c:axId val="212322680"/>
      </c:lineChart>
      <c:catAx>
        <c:axId val="209197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2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322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97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26208"/>
        <c:axId val="212325032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23464"/>
        <c:axId val="212326600"/>
      </c:lineChart>
      <c:catAx>
        <c:axId val="2123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2325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325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2326208"/>
        <c:crosses val="autoZero"/>
        <c:crossBetween val="midCat"/>
      </c:valAx>
      <c:catAx>
        <c:axId val="212323464"/>
        <c:scaling>
          <c:orientation val="minMax"/>
        </c:scaling>
        <c:delete val="1"/>
        <c:axPos val="b"/>
        <c:majorTickMark val="out"/>
        <c:minorTickMark val="none"/>
        <c:tickLblPos val="none"/>
        <c:crossAx val="212326600"/>
        <c:crosses val="autoZero"/>
        <c:auto val="0"/>
        <c:lblAlgn val="ctr"/>
        <c:lblOffset val="100"/>
        <c:noMultiLvlLbl val="0"/>
      </c:catAx>
      <c:valAx>
        <c:axId val="21232660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2323464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25424"/>
        <c:axId val="212326992"/>
      </c:lineChart>
      <c:catAx>
        <c:axId val="21232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2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32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25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25816"/>
        <c:axId val="212322288"/>
      </c:barChart>
      <c:catAx>
        <c:axId val="21232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2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32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25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321504"/>
        <c:axId val="212320328"/>
      </c:barChart>
      <c:catAx>
        <c:axId val="21232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20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320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21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23856"/>
        <c:axId val="212321112"/>
      </c:lineChart>
      <c:catAx>
        <c:axId val="21232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2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321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32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24640"/>
        <c:axId val="213023808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21456"/>
        <c:axId val="213023024"/>
      </c:lineChart>
      <c:catAx>
        <c:axId val="212324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3023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302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2324640"/>
        <c:crosses val="autoZero"/>
        <c:crossBetween val="midCat"/>
      </c:valAx>
      <c:catAx>
        <c:axId val="213021456"/>
        <c:scaling>
          <c:orientation val="minMax"/>
        </c:scaling>
        <c:delete val="1"/>
        <c:axPos val="b"/>
        <c:majorTickMark val="out"/>
        <c:minorTickMark val="none"/>
        <c:tickLblPos val="none"/>
        <c:crossAx val="213023024"/>
        <c:crosses val="autoZero"/>
        <c:auto val="0"/>
        <c:lblAlgn val="ctr"/>
        <c:lblOffset val="100"/>
        <c:noMultiLvlLbl val="0"/>
      </c:catAx>
      <c:valAx>
        <c:axId val="21302302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302145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22632"/>
        <c:axId val="213023416"/>
      </c:lineChart>
      <c:catAx>
        <c:axId val="21302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3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23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2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577088"/>
        <c:axId val="209575520"/>
      </c:barChart>
      <c:catAx>
        <c:axId val="2095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7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7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24200"/>
        <c:axId val="213021064"/>
      </c:barChart>
      <c:catAx>
        <c:axId val="21302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2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4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009304"/>
        <c:axId val="213008520"/>
      </c:barChart>
      <c:catAx>
        <c:axId val="21300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08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08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09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10872"/>
        <c:axId val="213020280"/>
      </c:lineChart>
      <c:catAx>
        <c:axId val="213010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20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10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17144"/>
        <c:axId val="213015184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15576"/>
        <c:axId val="213009696"/>
      </c:lineChart>
      <c:catAx>
        <c:axId val="213017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3015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301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3017144"/>
        <c:crosses val="autoZero"/>
        <c:crossBetween val="midCat"/>
      </c:valAx>
      <c:catAx>
        <c:axId val="213015576"/>
        <c:scaling>
          <c:orientation val="minMax"/>
        </c:scaling>
        <c:delete val="1"/>
        <c:axPos val="b"/>
        <c:majorTickMark val="out"/>
        <c:minorTickMark val="none"/>
        <c:tickLblPos val="none"/>
        <c:crossAx val="213009696"/>
        <c:crosses val="autoZero"/>
        <c:auto val="0"/>
        <c:lblAlgn val="ctr"/>
        <c:lblOffset val="100"/>
        <c:noMultiLvlLbl val="0"/>
      </c:catAx>
      <c:valAx>
        <c:axId val="21300969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301557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15968"/>
        <c:axId val="213010480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11264"/>
        <c:axId val="213011656"/>
      </c:lineChart>
      <c:catAx>
        <c:axId val="213015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301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301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3015968"/>
        <c:crosses val="autoZero"/>
        <c:crossBetween val="midCat"/>
      </c:valAx>
      <c:catAx>
        <c:axId val="213011264"/>
        <c:scaling>
          <c:orientation val="minMax"/>
        </c:scaling>
        <c:delete val="1"/>
        <c:axPos val="b"/>
        <c:majorTickMark val="out"/>
        <c:minorTickMark val="none"/>
        <c:tickLblPos val="none"/>
        <c:crossAx val="213011656"/>
        <c:crosses val="autoZero"/>
        <c:auto val="0"/>
        <c:lblAlgn val="ctr"/>
        <c:lblOffset val="100"/>
        <c:noMultiLvlLbl val="0"/>
      </c:catAx>
      <c:valAx>
        <c:axId val="21301165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3011264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5128"/>
        <c:axId val="209576304"/>
      </c:lineChart>
      <c:catAx>
        <c:axId val="20957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7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5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08864"/>
        <c:axId val="210109648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07296"/>
        <c:axId val="210113960"/>
      </c:lineChart>
      <c:catAx>
        <c:axId val="210108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10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10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108864"/>
        <c:crosses val="autoZero"/>
        <c:crossBetween val="midCat"/>
      </c:valAx>
      <c:catAx>
        <c:axId val="210107296"/>
        <c:scaling>
          <c:orientation val="minMax"/>
        </c:scaling>
        <c:delete val="1"/>
        <c:axPos val="b"/>
        <c:majorTickMark val="out"/>
        <c:minorTickMark val="none"/>
        <c:tickLblPos val="none"/>
        <c:crossAx val="210113960"/>
        <c:crosses val="autoZero"/>
        <c:auto val="0"/>
        <c:lblAlgn val="ctr"/>
        <c:lblOffset val="100"/>
        <c:noMultiLvlLbl val="0"/>
      </c:catAx>
      <c:valAx>
        <c:axId val="21011396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21010729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08080"/>
        <c:axId val="210112784"/>
      </c:lineChart>
      <c:catAx>
        <c:axId val="21010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1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1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08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07688"/>
        <c:axId val="210106904"/>
      </c:barChart>
      <c:catAx>
        <c:axId val="21010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06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06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07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112000"/>
        <c:axId val="210110824"/>
      </c:barChart>
      <c:catAx>
        <c:axId val="2101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10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10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12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openxmlformats.org/officeDocument/2006/relationships/chart" Target="../charts/chart25.xml"/><Relationship Id="rId21" Type="http://schemas.openxmlformats.org/officeDocument/2006/relationships/chart" Target="../charts/chart43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20" Type="http://schemas.openxmlformats.org/officeDocument/2006/relationships/chart" Target="../charts/chart42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19" Type="http://schemas.openxmlformats.org/officeDocument/2006/relationships/chart" Target="../charts/chart41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Relationship Id="rId22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99785</xdr:colOff>
      <xdr:row>37</xdr:row>
      <xdr:rowOff>81647</xdr:rowOff>
    </xdr:from>
    <xdr:to>
      <xdr:col>8</xdr:col>
      <xdr:colOff>210910</xdr:colOff>
      <xdr:row>54</xdr:row>
      <xdr:rowOff>18149</xdr:rowOff>
    </xdr:to>
    <xdr:sp macro="" textlink="">
      <xdr:nvSpPr>
        <xdr:cNvPr id="2" name="TextBox 1"/>
        <xdr:cNvSpPr txBox="1"/>
      </xdr:nvSpPr>
      <xdr:spPr>
        <a:xfrm rot="5400000">
          <a:off x="14910025" y="12608157"/>
          <a:ext cx="3175002" cy="133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Dominion Energy Utah</a:t>
          </a:r>
        </a:p>
        <a:p>
          <a:r>
            <a:rPr lang="en-US" sz="2000"/>
            <a:t>Docket No. 18-057-03</a:t>
          </a:r>
        </a:p>
        <a:p>
          <a:r>
            <a:rPr lang="en-US" sz="2000" baseline="0"/>
            <a:t>DEU Exhibit 1.05U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58</xdr:col>
      <xdr:colOff>314325</xdr:colOff>
      <xdr:row>140</xdr:row>
      <xdr:rowOff>95250</xdr:rowOff>
    </xdr:from>
    <xdr:to>
      <xdr:col>68</xdr:col>
      <xdr:colOff>57150</xdr:colOff>
      <xdr:row>157</xdr:row>
      <xdr:rowOff>38100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58</xdr:col>
      <xdr:colOff>314325</xdr:colOff>
      <xdr:row>140</xdr:row>
      <xdr:rowOff>95250</xdr:rowOff>
    </xdr:from>
    <xdr:to>
      <xdr:col>68</xdr:col>
      <xdr:colOff>57150</xdr:colOff>
      <xdr:row>157</xdr:row>
      <xdr:rowOff>38100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58</xdr:col>
      <xdr:colOff>314325</xdr:colOff>
      <xdr:row>140</xdr:row>
      <xdr:rowOff>95250</xdr:rowOff>
    </xdr:from>
    <xdr:to>
      <xdr:col>68</xdr:col>
      <xdr:colOff>57150</xdr:colOff>
      <xdr:row>157</xdr:row>
      <xdr:rowOff>38100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58</xdr:col>
      <xdr:colOff>314325</xdr:colOff>
      <xdr:row>140</xdr:row>
      <xdr:rowOff>95250</xdr:rowOff>
    </xdr:from>
    <xdr:to>
      <xdr:col>68</xdr:col>
      <xdr:colOff>57150</xdr:colOff>
      <xdr:row>157</xdr:row>
      <xdr:rowOff>38100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view="pageBreakPreview" zoomScale="50" zoomScaleNormal="50" zoomScaleSheetLayoutView="50" workbookViewId="0">
      <selection activeCell="E49" sqref="E49"/>
    </sheetView>
  </sheetViews>
  <sheetFormatPr defaultRowHeight="15"/>
  <cols>
    <col min="1" max="1" width="4.7109375" style="361" customWidth="1"/>
    <col min="2" max="2" width="119.42578125" style="265" customWidth="1"/>
    <col min="3" max="3" width="25.85546875" style="362" customWidth="1"/>
    <col min="4" max="4" width="25.7109375" style="362" customWidth="1"/>
    <col min="5" max="5" width="25.5703125" style="362" customWidth="1"/>
    <col min="6" max="7" width="17.28515625" style="265" customWidth="1"/>
    <col min="8" max="8" width="18.42578125" style="265" customWidth="1"/>
    <col min="9" max="9" width="5" style="265" customWidth="1"/>
    <col min="10" max="13" width="9.140625" style="265"/>
    <col min="14" max="15" width="13.5703125" style="265" bestFit="1" customWidth="1"/>
    <col min="16" max="20" width="14.5703125" style="265" bestFit="1" customWidth="1"/>
    <col min="21" max="16384" width="9.140625" style="265"/>
  </cols>
  <sheetData>
    <row r="1" spans="1:8" ht="186" customHeight="1"/>
    <row r="2" spans="1:8" ht="35.25">
      <c r="B2" s="383"/>
      <c r="C2" s="383"/>
      <c r="D2" s="383"/>
      <c r="E2" s="383"/>
      <c r="F2" s="383"/>
      <c r="G2" s="383"/>
      <c r="H2" s="383"/>
    </row>
    <row r="3" spans="1:8" ht="26.25" customHeight="1">
      <c r="B3" s="383" t="s">
        <v>306</v>
      </c>
      <c r="C3" s="383"/>
      <c r="D3" s="383"/>
      <c r="E3" s="383"/>
      <c r="F3" s="383"/>
      <c r="G3" s="383"/>
      <c r="H3" s="383"/>
    </row>
    <row r="4" spans="1:8" ht="35.25">
      <c r="B4" s="382" t="s">
        <v>306</v>
      </c>
      <c r="C4" s="382"/>
      <c r="D4" s="382"/>
      <c r="E4" s="382"/>
      <c r="F4" s="382"/>
      <c r="G4" s="382"/>
      <c r="H4" s="382"/>
    </row>
    <row r="5" spans="1:8">
      <c r="C5" s="363" t="s">
        <v>29</v>
      </c>
      <c r="D5" s="363" t="s">
        <v>30</v>
      </c>
      <c r="E5" s="363" t="s">
        <v>33</v>
      </c>
      <c r="F5" s="363" t="s">
        <v>31</v>
      </c>
      <c r="G5" s="363" t="s">
        <v>34</v>
      </c>
      <c r="H5" s="363" t="s">
        <v>32</v>
      </c>
    </row>
    <row r="6" spans="1:8" ht="30" customHeight="1">
      <c r="C6" s="380" t="s">
        <v>43</v>
      </c>
      <c r="D6" s="381"/>
      <c r="E6" s="364" t="s">
        <v>44</v>
      </c>
      <c r="F6" s="364" t="s">
        <v>45</v>
      </c>
      <c r="G6" s="380" t="s">
        <v>46</v>
      </c>
      <c r="H6" s="381"/>
    </row>
    <row r="7" spans="1:8" ht="30" customHeight="1">
      <c r="B7" s="364" t="s">
        <v>38</v>
      </c>
      <c r="C7" s="364" t="s">
        <v>42</v>
      </c>
      <c r="D7" s="364" t="s">
        <v>138</v>
      </c>
      <c r="E7" s="364"/>
      <c r="F7" s="364" t="s">
        <v>49</v>
      </c>
      <c r="G7" s="364" t="s">
        <v>47</v>
      </c>
      <c r="H7" s="364" t="s">
        <v>48</v>
      </c>
    </row>
    <row r="8" spans="1:8">
      <c r="A8" s="365">
        <v>1</v>
      </c>
      <c r="B8" s="366" t="s">
        <v>50</v>
      </c>
      <c r="C8" s="367"/>
      <c r="D8" s="367"/>
      <c r="E8" s="367">
        <f>'Option 1 Low Case SNG'!F6</f>
        <v>12786914.600000001</v>
      </c>
      <c r="F8" s="367">
        <f>D8+E8</f>
        <v>12786914.600000001</v>
      </c>
      <c r="G8" s="368">
        <f>+'Option 1 Low Case SNG'!AD28</f>
        <v>8.860000000000003</v>
      </c>
      <c r="H8" s="369">
        <f>+'Option 1 Low Case SNG'!AD30</f>
        <v>1.2500000000000001E-2</v>
      </c>
    </row>
    <row r="9" spans="1:8">
      <c r="A9" s="365">
        <f>+A8+1</f>
        <v>2</v>
      </c>
      <c r="B9" s="370" t="s">
        <v>51</v>
      </c>
      <c r="C9" s="371"/>
      <c r="D9" s="371"/>
      <c r="E9" s="371">
        <f>'Option 1 High Case SNG'!F6</f>
        <v>15036914.600000001</v>
      </c>
      <c r="F9" s="371">
        <f>D9+E9</f>
        <v>15036914.600000001</v>
      </c>
      <c r="G9" s="372">
        <f>+'Option 1 High Case SNG'!AB30</f>
        <v>10.450000000000017</v>
      </c>
      <c r="H9" s="373">
        <f>+'Option 1 High Case SNG'!AB32</f>
        <v>1.47E-2</v>
      </c>
    </row>
    <row r="10" spans="1:8">
      <c r="A10" s="365">
        <f t="shared" ref="A10:A27" si="0">+A9+1</f>
        <v>3</v>
      </c>
      <c r="B10" s="370" t="s">
        <v>301</v>
      </c>
      <c r="C10" s="371">
        <f>'2A Demand Response 30yr'!D5</f>
        <v>27500000</v>
      </c>
      <c r="D10" s="371">
        <f>+'2A Demand Response 30yr'!L5</f>
        <v>2698757.1881210757</v>
      </c>
      <c r="E10" s="371"/>
      <c r="F10" s="371">
        <f>D10+E10</f>
        <v>2698757.1881210757</v>
      </c>
      <c r="G10" s="372">
        <f>+'2A Demand Response 30yr'!BV18</f>
        <v>2.0800000000000054</v>
      </c>
      <c r="H10" s="373">
        <f>+'2A Demand Response 30yr'!BV20</f>
        <v>2.8999999999999998E-3</v>
      </c>
    </row>
    <row r="11" spans="1:8">
      <c r="A11" s="365">
        <f t="shared" si="0"/>
        <v>4</v>
      </c>
      <c r="B11" s="370" t="s">
        <v>302</v>
      </c>
      <c r="C11" s="371">
        <f>+'2A Demand Response 40yr'!D5</f>
        <v>27500000</v>
      </c>
      <c r="D11" s="371">
        <f>+'2A Demand Response 40yr'!L5</f>
        <v>2595747.5035215518</v>
      </c>
      <c r="E11" s="371"/>
      <c r="F11" s="371">
        <f>D11+E11</f>
        <v>2595747.5035215518</v>
      </c>
      <c r="G11" s="372">
        <f>+'2A Demand Response 40yr'!BV18</f>
        <v>2.0100000000000051</v>
      </c>
      <c r="H11" s="373">
        <f>+'2A Demand Response 40yr'!BV20</f>
        <v>2.8E-3</v>
      </c>
    </row>
    <row r="12" spans="1:8">
      <c r="A12" s="365">
        <f t="shared" si="0"/>
        <v>5</v>
      </c>
      <c r="B12" s="370" t="s">
        <v>39</v>
      </c>
      <c r="C12" s="371" t="s">
        <v>52</v>
      </c>
      <c r="D12" s="371" t="s">
        <v>52</v>
      </c>
      <c r="E12" s="371" t="s">
        <v>52</v>
      </c>
      <c r="F12" s="371" t="s">
        <v>52</v>
      </c>
      <c r="G12" s="372"/>
      <c r="H12" s="373"/>
    </row>
    <row r="13" spans="1:8">
      <c r="A13" s="365">
        <f t="shared" si="0"/>
        <v>6</v>
      </c>
      <c r="B13" s="370" t="s">
        <v>53</v>
      </c>
      <c r="C13" s="371" t="s">
        <v>324</v>
      </c>
      <c r="D13" s="371" t="s">
        <v>324</v>
      </c>
      <c r="E13" s="371" t="s">
        <v>324</v>
      </c>
      <c r="F13" s="371" t="s">
        <v>324</v>
      </c>
      <c r="G13" s="371" t="s">
        <v>324</v>
      </c>
      <c r="H13" s="371" t="s">
        <v>324</v>
      </c>
    </row>
    <row r="14" spans="1:8">
      <c r="A14" s="365">
        <f t="shared" si="0"/>
        <v>7</v>
      </c>
      <c r="B14" s="370" t="s">
        <v>54</v>
      </c>
      <c r="C14" s="371" t="s">
        <v>324</v>
      </c>
      <c r="D14" s="371" t="s">
        <v>324</v>
      </c>
      <c r="E14" s="371" t="s">
        <v>324</v>
      </c>
      <c r="F14" s="371" t="s">
        <v>324</v>
      </c>
      <c r="G14" s="371" t="s">
        <v>324</v>
      </c>
      <c r="H14" s="371" t="s">
        <v>324</v>
      </c>
    </row>
    <row r="15" spans="1:8">
      <c r="A15" s="365">
        <f t="shared" si="0"/>
        <v>8</v>
      </c>
      <c r="B15" s="370" t="s">
        <v>78</v>
      </c>
      <c r="C15" s="371" t="s">
        <v>324</v>
      </c>
      <c r="D15" s="371" t="s">
        <v>324</v>
      </c>
      <c r="E15" s="371" t="s">
        <v>324</v>
      </c>
      <c r="F15" s="371" t="s">
        <v>324</v>
      </c>
      <c r="G15" s="371" t="s">
        <v>324</v>
      </c>
      <c r="H15" s="371" t="s">
        <v>324</v>
      </c>
    </row>
    <row r="16" spans="1:8" ht="30" customHeight="1">
      <c r="A16" s="365">
        <f t="shared" si="0"/>
        <v>9</v>
      </c>
      <c r="B16" s="370" t="s">
        <v>294</v>
      </c>
      <c r="C16" s="371"/>
      <c r="D16" s="371"/>
      <c r="E16" s="371" t="s">
        <v>324</v>
      </c>
      <c r="F16" s="371" t="s">
        <v>324</v>
      </c>
      <c r="G16" s="371" t="s">
        <v>324</v>
      </c>
      <c r="H16" s="371" t="s">
        <v>324</v>
      </c>
    </row>
    <row r="17" spans="1:21" ht="30" customHeight="1">
      <c r="A17" s="365">
        <f t="shared" si="0"/>
        <v>10</v>
      </c>
      <c r="B17" s="370" t="s">
        <v>295</v>
      </c>
      <c r="C17" s="371"/>
      <c r="D17" s="371"/>
      <c r="E17" s="371" t="s">
        <v>324</v>
      </c>
      <c r="F17" s="371" t="s">
        <v>324</v>
      </c>
      <c r="G17" s="371" t="s">
        <v>324</v>
      </c>
      <c r="H17" s="371" t="s">
        <v>324</v>
      </c>
    </row>
    <row r="18" spans="1:21" ht="30" customHeight="1">
      <c r="A18" s="365">
        <f t="shared" si="0"/>
        <v>11</v>
      </c>
      <c r="B18" s="370" t="s">
        <v>296</v>
      </c>
      <c r="C18" s="371"/>
      <c r="D18" s="371"/>
      <c r="E18" s="371" t="s">
        <v>324</v>
      </c>
      <c r="F18" s="371" t="s">
        <v>324</v>
      </c>
      <c r="G18" s="371" t="s">
        <v>324</v>
      </c>
      <c r="H18" s="371" t="s">
        <v>324</v>
      </c>
    </row>
    <row r="19" spans="1:21" ht="30" customHeight="1">
      <c r="A19" s="365">
        <f t="shared" si="0"/>
        <v>12</v>
      </c>
      <c r="B19" s="374" t="s">
        <v>307</v>
      </c>
      <c r="C19" s="371" t="s">
        <v>324</v>
      </c>
      <c r="D19" s="371" t="s">
        <v>324</v>
      </c>
      <c r="E19" s="371" t="s">
        <v>324</v>
      </c>
      <c r="F19" s="371" t="s">
        <v>324</v>
      </c>
      <c r="G19" s="371" t="s">
        <v>324</v>
      </c>
      <c r="H19" s="371" t="s">
        <v>324</v>
      </c>
    </row>
    <row r="20" spans="1:21" ht="30" customHeight="1">
      <c r="A20" s="365">
        <f t="shared" si="0"/>
        <v>13</v>
      </c>
      <c r="B20" s="374" t="s">
        <v>308</v>
      </c>
      <c r="C20" s="371" t="s">
        <v>324</v>
      </c>
      <c r="D20" s="371" t="s">
        <v>324</v>
      </c>
      <c r="E20" s="371" t="s">
        <v>324</v>
      </c>
      <c r="F20" s="371" t="s">
        <v>324</v>
      </c>
      <c r="G20" s="371" t="s">
        <v>324</v>
      </c>
      <c r="H20" s="371" t="s">
        <v>324</v>
      </c>
    </row>
    <row r="21" spans="1:21">
      <c r="A21" s="365">
        <f t="shared" si="0"/>
        <v>14</v>
      </c>
      <c r="B21" s="370" t="s">
        <v>300</v>
      </c>
      <c r="C21" s="371" t="s">
        <v>324</v>
      </c>
      <c r="D21" s="371" t="s">
        <v>324</v>
      </c>
      <c r="E21" s="371" t="s">
        <v>324</v>
      </c>
      <c r="F21" s="371" t="s">
        <v>324</v>
      </c>
      <c r="G21" s="371" t="s">
        <v>324</v>
      </c>
      <c r="H21" s="371" t="s">
        <v>324</v>
      </c>
    </row>
    <row r="22" spans="1:21">
      <c r="A22" s="365">
        <f t="shared" si="0"/>
        <v>15</v>
      </c>
      <c r="B22" s="370" t="s">
        <v>303</v>
      </c>
      <c r="C22" s="371"/>
      <c r="D22" s="371"/>
      <c r="E22" s="371">
        <f>+'Option 4 Ryckman'!F23</f>
        <v>36299504.480000004</v>
      </c>
      <c r="F22" s="371">
        <f t="shared" ref="F22:F24" si="1">D22+E22</f>
        <v>36299504.480000004</v>
      </c>
      <c r="G22" s="372">
        <f>+'Option 4 Ryckman'!AE21</f>
        <v>25.15</v>
      </c>
      <c r="H22" s="373">
        <f>+'Option 4 Ryckman'!AE23</f>
        <v>3.5400000000000001E-2</v>
      </c>
    </row>
    <row r="23" spans="1:21">
      <c r="A23" s="365">
        <f t="shared" si="0"/>
        <v>16</v>
      </c>
      <c r="B23" s="370" t="s">
        <v>41</v>
      </c>
      <c r="C23" s="371"/>
      <c r="D23" s="371"/>
      <c r="E23" s="371">
        <f>+'Option 5 Clay Basin'!G18</f>
        <v>25434760.600000001</v>
      </c>
      <c r="F23" s="371">
        <f t="shared" si="1"/>
        <v>25434760.600000001</v>
      </c>
      <c r="G23" s="372">
        <f>+'Option 5 Clay Basin'!AD18</f>
        <v>17.640000000000033</v>
      </c>
      <c r="H23" s="373">
        <f>+'Option 5 Clay Basin'!AD20</f>
        <v>2.4799999999999999E-2</v>
      </c>
      <c r="U23" s="362"/>
    </row>
    <row r="24" spans="1:21">
      <c r="A24" s="365">
        <f t="shared" si="0"/>
        <v>17</v>
      </c>
      <c r="B24" s="370" t="s">
        <v>304</v>
      </c>
      <c r="C24" s="371"/>
      <c r="D24" s="371"/>
      <c r="E24" s="371">
        <f>+'Option 6 Jackson Prairie'!G25</f>
        <v>39352104.600000001</v>
      </c>
      <c r="F24" s="371">
        <f t="shared" si="1"/>
        <v>39352104.600000001</v>
      </c>
      <c r="G24" s="372">
        <f>+'Option 6 Jackson Prairie'!AC18</f>
        <v>27.26</v>
      </c>
      <c r="H24" s="373">
        <f>+'Option 6 Jackson Prairie'!AC20</f>
        <v>3.8300000000000001E-2</v>
      </c>
    </row>
    <row r="25" spans="1:21" ht="30" customHeight="1">
      <c r="A25" s="365">
        <f t="shared" si="0"/>
        <v>18</v>
      </c>
      <c r="B25" s="374" t="s">
        <v>309</v>
      </c>
      <c r="C25" s="371"/>
      <c r="D25" s="371"/>
      <c r="E25" s="371" t="s">
        <v>324</v>
      </c>
      <c r="F25" s="371" t="s">
        <v>324</v>
      </c>
      <c r="G25" s="372" t="s">
        <v>324</v>
      </c>
      <c r="H25" s="373" t="s">
        <v>324</v>
      </c>
    </row>
    <row r="26" spans="1:21" ht="30" customHeight="1">
      <c r="A26" s="365">
        <f t="shared" si="0"/>
        <v>19</v>
      </c>
      <c r="B26" s="374" t="s">
        <v>310</v>
      </c>
      <c r="C26" s="371"/>
      <c r="D26" s="371"/>
      <c r="E26" s="371" t="s">
        <v>324</v>
      </c>
      <c r="F26" s="371" t="s">
        <v>324</v>
      </c>
      <c r="G26" s="372" t="s">
        <v>324</v>
      </c>
      <c r="H26" s="373" t="s">
        <v>324</v>
      </c>
    </row>
    <row r="27" spans="1:21">
      <c r="A27" s="365">
        <f t="shared" si="0"/>
        <v>20</v>
      </c>
      <c r="B27" s="370" t="s">
        <v>299</v>
      </c>
      <c r="C27" s="371" t="s">
        <v>324</v>
      </c>
      <c r="D27" s="371" t="s">
        <v>324</v>
      </c>
      <c r="E27" s="371" t="s">
        <v>324</v>
      </c>
      <c r="F27" s="371" t="s">
        <v>324</v>
      </c>
      <c r="G27" s="372" t="s">
        <v>324</v>
      </c>
      <c r="H27" s="373" t="s">
        <v>324</v>
      </c>
    </row>
    <row r="28" spans="1:21">
      <c r="A28" s="365">
        <f t="shared" ref="A28" si="2">+A27+1</f>
        <v>21</v>
      </c>
      <c r="B28" s="375" t="s">
        <v>305</v>
      </c>
      <c r="C28" s="376" t="s">
        <v>324</v>
      </c>
      <c r="D28" s="376" t="s">
        <v>324</v>
      </c>
      <c r="E28" s="376" t="s">
        <v>324</v>
      </c>
      <c r="F28" s="376" t="s">
        <v>324</v>
      </c>
      <c r="G28" s="377" t="s">
        <v>324</v>
      </c>
      <c r="H28" s="378" t="s">
        <v>324</v>
      </c>
    </row>
    <row r="29" spans="1:21">
      <c r="C29" s="349"/>
      <c r="D29" s="349"/>
      <c r="E29" s="349"/>
      <c r="F29" s="379"/>
      <c r="G29" s="379"/>
      <c r="H29" s="379"/>
    </row>
  </sheetData>
  <mergeCells count="5">
    <mergeCell ref="C6:D6"/>
    <mergeCell ref="G6:H6"/>
    <mergeCell ref="B4:H4"/>
    <mergeCell ref="B3:H3"/>
    <mergeCell ref="B2:H2"/>
  </mergeCells>
  <printOptions horizontalCentered="1" verticalCentered="1"/>
  <pageMargins left="0" right="0" top="0" bottom="0" header="0" footer="0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31"/>
  <sheetViews>
    <sheetView workbookViewId="0">
      <selection activeCell="T31" sqref="T31"/>
    </sheetView>
  </sheetViews>
  <sheetFormatPr defaultRowHeight="15"/>
  <cols>
    <col min="1" max="1" width="22.28515625" bestFit="1" customWidth="1"/>
    <col min="2" max="3" width="12.7109375" customWidth="1"/>
    <col min="4" max="4" width="2.85546875" bestFit="1" customWidth="1"/>
    <col min="5" max="5" width="5.140625" bestFit="1" customWidth="1"/>
    <col min="6" max="6" width="14.85546875" customWidth="1"/>
    <col min="11" max="11" width="8.5703125" customWidth="1"/>
    <col min="12" max="12" width="7.28515625" bestFit="1" customWidth="1"/>
    <col min="13" max="13" width="4.7109375" bestFit="1" customWidth="1"/>
    <col min="14" max="14" width="4" bestFit="1" customWidth="1"/>
    <col min="16" max="16" width="11.7109375" bestFit="1" customWidth="1"/>
    <col min="17" max="17" width="10.140625" bestFit="1" customWidth="1"/>
    <col min="18" max="18" width="11.7109375" bestFit="1" customWidth="1"/>
    <col min="20" max="20" width="11.28515625" bestFit="1" customWidth="1"/>
    <col min="21" max="21" width="12" bestFit="1" customWidth="1"/>
    <col min="22" max="22" width="13.5703125" bestFit="1" customWidth="1"/>
    <col min="24" max="24" width="3" bestFit="1" customWidth="1"/>
    <col min="25" max="25" width="9.5703125" bestFit="1" customWidth="1"/>
    <col min="26" max="27" width="6.5703125" bestFit="1" customWidth="1"/>
    <col min="28" max="28" width="15.28515625" bestFit="1" customWidth="1"/>
    <col min="29" max="29" width="15" bestFit="1" customWidth="1"/>
    <col min="30" max="30" width="8" bestFit="1" customWidth="1"/>
    <col min="32" max="32" width="8.85546875" bestFit="1" customWidth="1"/>
    <col min="33" max="33" width="4.7109375" bestFit="1" customWidth="1"/>
    <col min="34" max="34" width="8" bestFit="1" customWidth="1"/>
    <col min="36" max="36" width="8.85546875" bestFit="1" customWidth="1"/>
    <col min="37" max="37" width="4.7109375" bestFit="1" customWidth="1"/>
  </cols>
  <sheetData>
    <row r="1" spans="1:37">
      <c r="A1" t="s">
        <v>262</v>
      </c>
      <c r="B1" s="12" t="s">
        <v>266</v>
      </c>
      <c r="C1" s="12" t="s">
        <v>1</v>
      </c>
      <c r="D1" s="12"/>
      <c r="E1" s="12" t="s">
        <v>263</v>
      </c>
      <c r="F1" t="s">
        <v>267</v>
      </c>
    </row>
    <row r="2" spans="1:37">
      <c r="A2" t="s">
        <v>265</v>
      </c>
      <c r="B2" s="260">
        <v>150000</v>
      </c>
      <c r="C2" s="134">
        <v>0.20930000000000001</v>
      </c>
      <c r="D2" t="s">
        <v>260</v>
      </c>
      <c r="E2">
        <v>365</v>
      </c>
      <c r="F2" s="261">
        <f>B2*C2*E2</f>
        <v>11459175.000000002</v>
      </c>
    </row>
    <row r="3" spans="1:37">
      <c r="A3" t="s">
        <v>264</v>
      </c>
      <c r="B3" s="260">
        <v>150000</v>
      </c>
      <c r="C3" s="134">
        <v>0.01</v>
      </c>
      <c r="E3">
        <v>90</v>
      </c>
      <c r="F3" s="261">
        <f>B3*C3*E3</f>
        <v>135000</v>
      </c>
    </row>
    <row r="4" spans="1:37">
      <c r="A4" t="s">
        <v>61</v>
      </c>
      <c r="B4" s="260">
        <v>150000</v>
      </c>
      <c r="C4" s="134">
        <v>5</v>
      </c>
      <c r="D4" t="s">
        <v>261</v>
      </c>
      <c r="E4">
        <v>1</v>
      </c>
      <c r="F4" s="261">
        <f>B4*C4*E4</f>
        <v>750000</v>
      </c>
    </row>
    <row r="5" spans="1:37">
      <c r="A5" t="s">
        <v>320</v>
      </c>
      <c r="B5" s="260">
        <f>+'Working Gas'!$Z$10</f>
        <v>4745333.333333333</v>
      </c>
      <c r="C5" s="357">
        <v>9.3299999999999994E-2</v>
      </c>
      <c r="D5" t="s">
        <v>321</v>
      </c>
      <c r="F5" s="261">
        <f>+B5*C5</f>
        <v>442739.59999999992</v>
      </c>
    </row>
    <row r="6" spans="1:37">
      <c r="A6" t="s">
        <v>37</v>
      </c>
      <c r="F6" s="261">
        <f>SUM(F2:F5)</f>
        <v>12786914.600000001</v>
      </c>
    </row>
    <row r="8" spans="1:37">
      <c r="A8" s="265" t="s">
        <v>293</v>
      </c>
      <c r="B8" s="265"/>
      <c r="C8" s="265"/>
      <c r="D8" s="265"/>
      <c r="E8" s="265"/>
      <c r="F8" s="266"/>
      <c r="G8" s="266"/>
      <c r="H8" s="266"/>
    </row>
    <row r="9" spans="1:37">
      <c r="A9" t="s">
        <v>268</v>
      </c>
    </row>
    <row r="10" spans="1:37">
      <c r="A10" t="s">
        <v>322</v>
      </c>
    </row>
    <row r="11" spans="1:37">
      <c r="K11" s="265" t="s">
        <v>50</v>
      </c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8"/>
      <c r="Y11" s="269" t="s">
        <v>1</v>
      </c>
      <c r="Z11" s="269"/>
      <c r="AA11" s="270" t="s">
        <v>62</v>
      </c>
      <c r="AB11" s="270" t="s">
        <v>270</v>
      </c>
      <c r="AC11" s="271" t="s">
        <v>271</v>
      </c>
      <c r="AD11" s="269"/>
      <c r="AE11" s="265"/>
      <c r="AF11" s="272"/>
      <c r="AG11" s="273"/>
      <c r="AH11" s="274" t="s">
        <v>57</v>
      </c>
      <c r="AI11" s="274" t="s">
        <v>58</v>
      </c>
      <c r="AJ11" s="265"/>
      <c r="AK11" s="265"/>
    </row>
    <row r="12" spans="1:37" ht="15.75" thickBot="1">
      <c r="K12" s="275" t="s">
        <v>272</v>
      </c>
      <c r="L12" s="276"/>
      <c r="M12" s="276"/>
      <c r="N12" s="277"/>
      <c r="O12" s="277"/>
      <c r="P12" s="384" t="s">
        <v>273</v>
      </c>
      <c r="Q12" s="384"/>
      <c r="R12" s="384"/>
      <c r="S12" s="276"/>
      <c r="T12" s="278"/>
      <c r="U12" s="279"/>
      <c r="V12" s="278"/>
      <c r="W12" s="265"/>
      <c r="X12" s="280"/>
      <c r="Y12" s="281" t="s">
        <v>274</v>
      </c>
      <c r="Z12" s="281" t="s">
        <v>63</v>
      </c>
      <c r="AA12" s="282" t="s">
        <v>64</v>
      </c>
      <c r="AB12" s="283">
        <v>43160</v>
      </c>
      <c r="AC12" s="282" t="s">
        <v>275</v>
      </c>
      <c r="AD12" s="281" t="s">
        <v>276</v>
      </c>
      <c r="AE12" s="265"/>
      <c r="AF12" s="273"/>
      <c r="AG12" s="284" t="s">
        <v>277</v>
      </c>
      <c r="AH12" s="285" t="s">
        <v>278</v>
      </c>
      <c r="AI12" s="285" t="s">
        <v>278</v>
      </c>
      <c r="AJ12" s="265"/>
      <c r="AK12" s="265"/>
    </row>
    <row r="13" spans="1:37">
      <c r="K13" s="275"/>
      <c r="L13" s="276"/>
      <c r="M13" s="276"/>
      <c r="N13" s="277"/>
      <c r="O13" s="277"/>
      <c r="P13" s="286"/>
      <c r="Q13" s="286" t="s">
        <v>59</v>
      </c>
      <c r="R13" s="286"/>
      <c r="S13" s="276"/>
      <c r="T13" s="278"/>
      <c r="U13" s="279" t="s">
        <v>279</v>
      </c>
      <c r="V13" s="278"/>
      <c r="W13" s="265"/>
      <c r="X13" s="287"/>
      <c r="Y13" s="287"/>
      <c r="Z13" s="288"/>
      <c r="AA13" s="287"/>
      <c r="AB13" s="287"/>
      <c r="AC13" s="287"/>
      <c r="AD13" s="287"/>
      <c r="AE13" s="265"/>
      <c r="AF13" s="273" t="s">
        <v>289</v>
      </c>
      <c r="AG13" s="289">
        <v>6.75</v>
      </c>
      <c r="AH13" s="290">
        <v>6.9353300000000004</v>
      </c>
      <c r="AI13" s="290">
        <v>8.2994599999999998</v>
      </c>
      <c r="AJ13" s="265"/>
      <c r="AK13" s="265"/>
    </row>
    <row r="14" spans="1:37" ht="15.75" thickBot="1">
      <c r="K14" s="291" t="s">
        <v>281</v>
      </c>
      <c r="L14" s="292"/>
      <c r="M14" s="292"/>
      <c r="N14" s="293" t="s">
        <v>282</v>
      </c>
      <c r="O14" s="293"/>
      <c r="P14" s="294" t="s">
        <v>282</v>
      </c>
      <c r="Q14" s="294" t="s">
        <v>283</v>
      </c>
      <c r="R14" s="295" t="s">
        <v>83</v>
      </c>
      <c r="S14" s="276"/>
      <c r="T14" s="294" t="s">
        <v>195</v>
      </c>
      <c r="U14" s="294" t="s">
        <v>284</v>
      </c>
      <c r="V14" s="294" t="s">
        <v>285</v>
      </c>
      <c r="W14" s="265"/>
      <c r="X14" s="288">
        <v>1</v>
      </c>
      <c r="Y14" s="288" t="s">
        <v>36</v>
      </c>
      <c r="Z14" s="288" t="s">
        <v>65</v>
      </c>
      <c r="AA14" s="296">
        <v>14.9</v>
      </c>
      <c r="AB14" s="297">
        <f>ROUND((AA14*AI13)+AG13,2)</f>
        <v>130.41</v>
      </c>
      <c r="AC14" s="297">
        <f>ROUND((AA14*AI15)+AG15,2)</f>
        <v>132.38</v>
      </c>
      <c r="AD14" s="297">
        <f t="shared" ref="AD14:AD25" si="0">AC14-AB14</f>
        <v>1.9699999999999989</v>
      </c>
      <c r="AE14" s="265"/>
      <c r="AF14" s="265"/>
      <c r="AG14" s="289"/>
      <c r="AH14" s="298"/>
      <c r="AI14" s="298"/>
      <c r="AJ14" s="265"/>
      <c r="AK14" s="265"/>
    </row>
    <row r="15" spans="1:37">
      <c r="K15" s="299" t="s">
        <v>58</v>
      </c>
      <c r="L15" s="299" t="s">
        <v>286</v>
      </c>
      <c r="M15" s="299" t="s">
        <v>287</v>
      </c>
      <c r="N15" s="300">
        <v>45</v>
      </c>
      <c r="O15" s="300"/>
      <c r="P15" s="340">
        <v>62287423</v>
      </c>
      <c r="Q15" s="302">
        <f>2.34949+0.22671</f>
        <v>2.5762</v>
      </c>
      <c r="R15" s="303">
        <f>ROUND(P15*Q15,0)</f>
        <v>160464859</v>
      </c>
      <c r="S15" s="304"/>
      <c r="T15" s="301">
        <f>V15*P15</f>
        <v>0</v>
      </c>
      <c r="U15" s="305">
        <f>U20</f>
        <v>0</v>
      </c>
      <c r="V15" s="306">
        <f>U15*Q15</f>
        <v>0</v>
      </c>
      <c r="W15" s="265"/>
      <c r="X15" s="288">
        <f t="shared" ref="X15:X25" si="1">X14+1</f>
        <v>2</v>
      </c>
      <c r="Y15" s="287"/>
      <c r="Z15" s="288" t="s">
        <v>66</v>
      </c>
      <c r="AA15" s="296">
        <v>12.5</v>
      </c>
      <c r="AB15" s="297">
        <f>ROUND((AA15*AI13)+AG13,2)</f>
        <v>110.49</v>
      </c>
      <c r="AC15" s="297">
        <f>ROUND((AA15*AI15)+AG15,2)</f>
        <v>112.15</v>
      </c>
      <c r="AD15" s="307">
        <f t="shared" si="0"/>
        <v>1.6600000000000108</v>
      </c>
      <c r="AE15" s="265"/>
      <c r="AF15" s="13" t="s">
        <v>280</v>
      </c>
      <c r="AG15" s="289">
        <v>6.75</v>
      </c>
      <c r="AH15" s="308">
        <f>AH13+V26+V18</f>
        <v>6.9974946930439659</v>
      </c>
      <c r="AI15" s="308">
        <f>AI13+V25+V15</f>
        <v>8.4318622210770826</v>
      </c>
      <c r="AJ15" s="265"/>
      <c r="AK15" s="265"/>
    </row>
    <row r="16" spans="1:37">
      <c r="K16" s="299"/>
      <c r="L16" s="299" t="s">
        <v>288</v>
      </c>
      <c r="M16" s="299" t="s">
        <v>292</v>
      </c>
      <c r="N16" s="300">
        <v>45</v>
      </c>
      <c r="O16" s="300"/>
      <c r="P16" s="340">
        <v>17131460</v>
      </c>
      <c r="Q16" s="302">
        <f>1.34949+0.13021</f>
        <v>1.4797</v>
      </c>
      <c r="R16" s="303">
        <f>ROUND(P16*Q16,0)</f>
        <v>25349421</v>
      </c>
      <c r="S16" s="309"/>
      <c r="T16" s="301">
        <f>V16*P16</f>
        <v>0</v>
      </c>
      <c r="U16" s="305">
        <f>U20</f>
        <v>0</v>
      </c>
      <c r="V16" s="306">
        <f>U16*Q16</f>
        <v>0</v>
      </c>
      <c r="W16" s="265"/>
      <c r="X16" s="288">
        <f t="shared" si="1"/>
        <v>3</v>
      </c>
      <c r="Y16" s="287"/>
      <c r="Z16" s="288" t="s">
        <v>67</v>
      </c>
      <c r="AA16" s="296">
        <v>10.1</v>
      </c>
      <c r="AB16" s="297">
        <f>ROUND((AA16*AI13)+AG13,2)</f>
        <v>90.57</v>
      </c>
      <c r="AC16" s="297">
        <f>ROUND((AA16*AI15)+AG15,2)</f>
        <v>91.91</v>
      </c>
      <c r="AD16" s="307">
        <f t="shared" si="0"/>
        <v>1.3400000000000034</v>
      </c>
      <c r="AE16" s="265"/>
      <c r="AF16" s="265"/>
      <c r="AG16" s="289"/>
      <c r="AH16" s="298"/>
      <c r="AI16" s="298"/>
      <c r="AJ16" s="265"/>
      <c r="AK16" s="265"/>
    </row>
    <row r="17" spans="11:37">
      <c r="K17" s="310"/>
      <c r="L17" s="299"/>
      <c r="M17" s="299"/>
      <c r="N17" s="311"/>
      <c r="O17" s="311"/>
      <c r="P17" s="340"/>
      <c r="Q17" s="302"/>
      <c r="R17" s="303"/>
      <c r="S17" s="309"/>
      <c r="T17" s="301"/>
      <c r="U17" s="302"/>
      <c r="V17" s="303"/>
      <c r="W17" s="265"/>
      <c r="X17" s="288">
        <f t="shared" si="1"/>
        <v>4</v>
      </c>
      <c r="Y17" s="287"/>
      <c r="Z17" s="288" t="s">
        <v>68</v>
      </c>
      <c r="AA17" s="296">
        <v>8.3000000000000007</v>
      </c>
      <c r="AB17" s="297">
        <f>ROUND((AA17*AH13)+AG13,2)</f>
        <v>64.31</v>
      </c>
      <c r="AC17" s="297">
        <f>ROUND((AA17*AH15)+AG15,2)</f>
        <v>64.83</v>
      </c>
      <c r="AD17" s="307">
        <f t="shared" si="0"/>
        <v>0.51999999999999602</v>
      </c>
      <c r="AE17" s="265"/>
      <c r="AF17" s="265"/>
      <c r="AG17" s="265"/>
      <c r="AH17" s="265"/>
      <c r="AI17" s="265"/>
      <c r="AJ17" s="265"/>
      <c r="AK17" s="265"/>
    </row>
    <row r="18" spans="11:37">
      <c r="K18" s="312" t="s">
        <v>57</v>
      </c>
      <c r="L18" s="299" t="s">
        <v>286</v>
      </c>
      <c r="M18" s="299" t="str">
        <f>M15</f>
        <v>First</v>
      </c>
      <c r="N18" s="311">
        <f>N15</f>
        <v>45</v>
      </c>
      <c r="O18" s="311"/>
      <c r="P18" s="340">
        <v>25808736</v>
      </c>
      <c r="Q18" s="302">
        <f>1.7267+0.16661</f>
        <v>1.8933099999999998</v>
      </c>
      <c r="R18" s="301">
        <f>ROUND(P18*Q18,0)</f>
        <v>48863938</v>
      </c>
      <c r="S18" s="309"/>
      <c r="T18" s="301">
        <f>V18*P18</f>
        <v>0</v>
      </c>
      <c r="U18" s="305">
        <f>U20</f>
        <v>0</v>
      </c>
      <c r="V18" s="306">
        <f>U18*Q18</f>
        <v>0</v>
      </c>
      <c r="W18" s="265"/>
      <c r="X18" s="288">
        <f t="shared" si="1"/>
        <v>5</v>
      </c>
      <c r="Y18" s="287"/>
      <c r="Z18" s="288" t="s">
        <v>69</v>
      </c>
      <c r="AA18" s="296">
        <v>4.4000000000000004</v>
      </c>
      <c r="AB18" s="297">
        <f>ROUND((AA18*AH13)+AG13,2)</f>
        <v>37.270000000000003</v>
      </c>
      <c r="AC18" s="297">
        <f>ROUND((AA18*AH15)+AG15,2)</f>
        <v>37.54</v>
      </c>
      <c r="AD18" s="307">
        <f t="shared" si="0"/>
        <v>0.26999999999999602</v>
      </c>
      <c r="AE18" s="265"/>
      <c r="AF18" s="265"/>
      <c r="AG18" s="265"/>
      <c r="AH18" s="265"/>
      <c r="AI18" s="265"/>
      <c r="AJ18" s="265"/>
      <c r="AK18" s="265"/>
    </row>
    <row r="19" spans="11:37">
      <c r="K19" s="312"/>
      <c r="L19" s="299" t="s">
        <v>288</v>
      </c>
      <c r="M19" s="299" t="str">
        <f>M16</f>
        <v>Over</v>
      </c>
      <c r="N19" s="311">
        <v>45</v>
      </c>
      <c r="O19" s="311"/>
      <c r="P19" s="340">
        <v>4737192</v>
      </c>
      <c r="Q19" s="302">
        <f>0.7267+0.07012</f>
        <v>0.79681999999999997</v>
      </c>
      <c r="R19" s="301">
        <f>ROUND(P19*Q19,0)</f>
        <v>3774689</v>
      </c>
      <c r="S19" s="309"/>
      <c r="T19" s="301">
        <f>V19*P19</f>
        <v>0</v>
      </c>
      <c r="U19" s="305">
        <f>U20</f>
        <v>0</v>
      </c>
      <c r="V19" s="306">
        <f>U19*Q19</f>
        <v>0</v>
      </c>
      <c r="W19" s="265"/>
      <c r="X19" s="288">
        <f t="shared" si="1"/>
        <v>6</v>
      </c>
      <c r="Y19" s="287"/>
      <c r="Z19" s="288" t="s">
        <v>70</v>
      </c>
      <c r="AA19" s="296">
        <v>3.1</v>
      </c>
      <c r="AB19" s="297">
        <f>ROUND((AA19*AH13)+AG13,2)</f>
        <v>28.25</v>
      </c>
      <c r="AC19" s="297">
        <f>ROUND((AA19*AH15)+AG15,2)</f>
        <v>28.44</v>
      </c>
      <c r="AD19" s="307">
        <f t="shared" si="0"/>
        <v>0.19000000000000128</v>
      </c>
      <c r="AE19" s="265"/>
      <c r="AF19" s="265"/>
      <c r="AG19" s="265"/>
      <c r="AH19" s="265"/>
      <c r="AI19" s="265"/>
      <c r="AJ19" s="265"/>
      <c r="AK19" s="265"/>
    </row>
    <row r="20" spans="11:37" ht="15.75" thickBot="1">
      <c r="K20" s="313" t="s">
        <v>290</v>
      </c>
      <c r="L20" s="314"/>
      <c r="M20" s="299"/>
      <c r="N20" s="311"/>
      <c r="O20" s="311"/>
      <c r="P20" s="315">
        <f>SUM(P18:P19,P15:P16)</f>
        <v>109964811</v>
      </c>
      <c r="Q20" s="316"/>
      <c r="R20" s="315">
        <f>SUM(R15:R19)</f>
        <v>238452907</v>
      </c>
      <c r="S20" s="317"/>
      <c r="T20" s="267">
        <v>0</v>
      </c>
      <c r="U20" s="318">
        <f>T20/R20</f>
        <v>0</v>
      </c>
      <c r="V20" s="315"/>
      <c r="W20" s="265"/>
      <c r="X20" s="288">
        <f t="shared" si="1"/>
        <v>7</v>
      </c>
      <c r="Y20" s="287"/>
      <c r="Z20" s="288" t="s">
        <v>71</v>
      </c>
      <c r="AA20" s="296">
        <v>2</v>
      </c>
      <c r="AB20" s="297">
        <f>ROUND((AA20*AH13)+AG13,2)</f>
        <v>20.62</v>
      </c>
      <c r="AC20" s="297">
        <f>ROUND((AA20*AH15)+AG15,2)</f>
        <v>20.74</v>
      </c>
      <c r="AD20" s="307">
        <f t="shared" si="0"/>
        <v>0.11999999999999744</v>
      </c>
      <c r="AE20" s="265"/>
      <c r="AF20" s="265"/>
      <c r="AG20" s="265"/>
      <c r="AH20" s="265"/>
      <c r="AI20" s="265"/>
      <c r="AJ20" s="265"/>
      <c r="AK20" s="265"/>
    </row>
    <row r="21" spans="11:37" ht="15.75" thickTop="1"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88">
        <f t="shared" si="1"/>
        <v>8</v>
      </c>
      <c r="Y21" s="287"/>
      <c r="Z21" s="288" t="s">
        <v>72</v>
      </c>
      <c r="AA21" s="296">
        <v>1.8</v>
      </c>
      <c r="AB21" s="297">
        <f>ROUND((AA21*AH13)+AG13,2)</f>
        <v>19.23</v>
      </c>
      <c r="AC21" s="297">
        <f>ROUND((AA21*AH15)+AG15,2)</f>
        <v>19.350000000000001</v>
      </c>
      <c r="AD21" s="307">
        <f t="shared" si="0"/>
        <v>0.12000000000000099</v>
      </c>
      <c r="AE21" s="265"/>
      <c r="AF21" s="265"/>
      <c r="AG21" s="265"/>
      <c r="AH21" s="265"/>
      <c r="AI21" s="265"/>
      <c r="AJ21" s="265"/>
      <c r="AK21" s="265"/>
    </row>
    <row r="22" spans="11:37">
      <c r="K22" s="275"/>
      <c r="L22" s="276"/>
      <c r="M22" s="276"/>
      <c r="N22" s="277"/>
      <c r="O22" s="277"/>
      <c r="P22" s="384" t="s">
        <v>273</v>
      </c>
      <c r="Q22" s="384"/>
      <c r="R22" s="384"/>
      <c r="S22" s="276"/>
      <c r="T22" s="278"/>
      <c r="U22" s="279"/>
      <c r="V22" s="278"/>
      <c r="W22" s="265"/>
      <c r="X22" s="288">
        <f t="shared" si="1"/>
        <v>9</v>
      </c>
      <c r="Y22" s="287"/>
      <c r="Z22" s="288" t="s">
        <v>73</v>
      </c>
      <c r="AA22" s="296">
        <v>2</v>
      </c>
      <c r="AB22" s="297">
        <f>ROUND((AA22*AH13)+AG13,2)</f>
        <v>20.62</v>
      </c>
      <c r="AC22" s="297">
        <f>ROUND((AA22*AH15)+AG15,2)</f>
        <v>20.74</v>
      </c>
      <c r="AD22" s="307">
        <f t="shared" si="0"/>
        <v>0.11999999999999744</v>
      </c>
      <c r="AE22" s="265"/>
      <c r="AF22" s="265"/>
      <c r="AG22" s="265"/>
      <c r="AH22" s="265"/>
      <c r="AI22" s="265"/>
      <c r="AJ22" s="265"/>
      <c r="AK22" s="265"/>
    </row>
    <row r="23" spans="11:37">
      <c r="K23" s="275"/>
      <c r="L23" s="276"/>
      <c r="M23" s="276"/>
      <c r="N23" s="277"/>
      <c r="O23" s="277"/>
      <c r="P23" s="286"/>
      <c r="Q23" s="286" t="s">
        <v>60</v>
      </c>
      <c r="R23" s="286"/>
      <c r="S23" s="276"/>
      <c r="T23" s="278"/>
      <c r="U23" s="279" t="s">
        <v>279</v>
      </c>
      <c r="V23" s="278"/>
      <c r="W23" s="265"/>
      <c r="X23" s="288">
        <f t="shared" si="1"/>
        <v>10</v>
      </c>
      <c r="Y23" s="287"/>
      <c r="Z23" s="288" t="s">
        <v>74</v>
      </c>
      <c r="AA23" s="296">
        <v>3.1</v>
      </c>
      <c r="AB23" s="297">
        <f>ROUND((AA23*AH13)+AG13,2)</f>
        <v>28.25</v>
      </c>
      <c r="AC23" s="297">
        <f>ROUND((AA23*AH15)+AG15,2)</f>
        <v>28.44</v>
      </c>
      <c r="AD23" s="307">
        <f t="shared" si="0"/>
        <v>0.19000000000000128</v>
      </c>
      <c r="AE23" s="265"/>
      <c r="AF23" s="265"/>
      <c r="AG23" s="265"/>
      <c r="AH23" s="265"/>
      <c r="AI23" s="265"/>
      <c r="AJ23" s="265"/>
      <c r="AK23" s="265"/>
    </row>
    <row r="24" spans="11:37" ht="15.75" thickBot="1">
      <c r="K24" s="291" t="s">
        <v>281</v>
      </c>
      <c r="L24" s="292"/>
      <c r="M24" s="292"/>
      <c r="N24" s="293" t="s">
        <v>282</v>
      </c>
      <c r="O24" s="293"/>
      <c r="P24" s="294" t="s">
        <v>282</v>
      </c>
      <c r="Q24" s="294" t="s">
        <v>283</v>
      </c>
      <c r="R24" s="295" t="s">
        <v>83</v>
      </c>
      <c r="S24" s="276"/>
      <c r="T24" s="294" t="s">
        <v>195</v>
      </c>
      <c r="U24" s="294" t="s">
        <v>284</v>
      </c>
      <c r="V24" s="294" t="s">
        <v>285</v>
      </c>
      <c r="W24" s="265"/>
      <c r="X24" s="288">
        <f t="shared" si="1"/>
        <v>11</v>
      </c>
      <c r="Y24" s="287"/>
      <c r="Z24" s="288" t="s">
        <v>75</v>
      </c>
      <c r="AA24" s="296">
        <v>6.3</v>
      </c>
      <c r="AB24" s="297">
        <f>ROUND((AA24*AI13)+AG13,2)</f>
        <v>59.04</v>
      </c>
      <c r="AC24" s="297">
        <f>ROUND((AA24*AI15)+AG15,2)</f>
        <v>59.87</v>
      </c>
      <c r="AD24" s="307">
        <f t="shared" si="0"/>
        <v>0.82999999999999829</v>
      </c>
      <c r="AE24" s="265"/>
      <c r="AF24" s="265"/>
      <c r="AG24" s="265"/>
      <c r="AH24" s="265"/>
      <c r="AI24" s="265"/>
      <c r="AJ24" s="265"/>
      <c r="AK24" s="265"/>
    </row>
    <row r="25" spans="11:37">
      <c r="K25" s="265" t="s">
        <v>58</v>
      </c>
      <c r="L25" s="265"/>
      <c r="M25" s="265"/>
      <c r="N25" s="265" t="s">
        <v>291</v>
      </c>
      <c r="O25" s="265"/>
      <c r="P25" s="319">
        <f>+P15+P16</f>
        <v>79418883</v>
      </c>
      <c r="Q25" s="320">
        <v>1.2336800000000001</v>
      </c>
      <c r="R25" s="321">
        <f>+P25*Q25</f>
        <v>97977487.579440013</v>
      </c>
      <c r="S25" s="321"/>
      <c r="T25" s="321">
        <f>+V25*P25</f>
        <v>10515236.504661039</v>
      </c>
      <c r="U25" s="322">
        <f>+U27</f>
        <v>0.10732298576379905</v>
      </c>
      <c r="V25" s="323">
        <f>+Q25*U25</f>
        <v>0.13240222107708363</v>
      </c>
      <c r="W25" s="320"/>
      <c r="X25" s="288">
        <f t="shared" si="1"/>
        <v>12</v>
      </c>
      <c r="Y25" s="287"/>
      <c r="Z25" s="288" t="s">
        <v>76</v>
      </c>
      <c r="AA25" s="296">
        <v>11.5</v>
      </c>
      <c r="AB25" s="297">
        <f>ROUND((AA25*AI13)+AG13,2)</f>
        <v>102.19</v>
      </c>
      <c r="AC25" s="297">
        <f>ROUND((AA25*AI15)+AG15,2)</f>
        <v>103.72</v>
      </c>
      <c r="AD25" s="307">
        <f t="shared" si="0"/>
        <v>1.5300000000000011</v>
      </c>
      <c r="AE25" s="265"/>
      <c r="AF25" s="265"/>
      <c r="AG25" s="265"/>
      <c r="AH25" s="265"/>
      <c r="AI25" s="265"/>
      <c r="AJ25" s="265"/>
      <c r="AK25" s="265"/>
    </row>
    <row r="26" spans="11:37" ht="15.75" thickBot="1">
      <c r="K26" s="265" t="s">
        <v>57</v>
      </c>
      <c r="L26" s="265"/>
      <c r="M26" s="265"/>
      <c r="N26" s="265" t="s">
        <v>291</v>
      </c>
      <c r="O26" s="265"/>
      <c r="P26" s="319">
        <f>+P18+P19</f>
        <v>30545928</v>
      </c>
      <c r="Q26" s="320">
        <v>0.57923000000000002</v>
      </c>
      <c r="R26" s="321">
        <f>+P26*Q26</f>
        <v>17693117.875440001</v>
      </c>
      <c r="S26" s="320"/>
      <c r="T26" s="321">
        <f>+V26*P26</f>
        <v>1898878.2378630657</v>
      </c>
      <c r="U26" s="322">
        <f>+U27</f>
        <v>0.10732298576379905</v>
      </c>
      <c r="V26" s="323">
        <f>+Q26*U26</f>
        <v>6.2164693043965324E-2</v>
      </c>
      <c r="W26" s="320"/>
      <c r="X26" s="288"/>
      <c r="Y26" s="287"/>
      <c r="Z26" s="288"/>
      <c r="AA26" s="324"/>
      <c r="AB26" s="325"/>
      <c r="AC26" s="325"/>
      <c r="AD26" s="326"/>
      <c r="AE26" s="265"/>
      <c r="AF26" s="265"/>
      <c r="AG26" s="265"/>
      <c r="AH26" s="265"/>
      <c r="AI26" s="265"/>
      <c r="AJ26" s="265"/>
      <c r="AK26" s="265"/>
    </row>
    <row r="27" spans="11:37" ht="16.5" thickTop="1" thickBot="1">
      <c r="K27" s="265"/>
      <c r="L27" s="265"/>
      <c r="M27" s="265"/>
      <c r="N27" s="265"/>
      <c r="O27" s="265"/>
      <c r="P27" s="315">
        <f>SUM(P25:P26)</f>
        <v>109964811</v>
      </c>
      <c r="Q27" s="316"/>
      <c r="R27" s="315">
        <f>SUM(R25:R26)</f>
        <v>115670605.45488001</v>
      </c>
      <c r="S27" s="320"/>
      <c r="T27" s="334">
        <v>12414114.742524104</v>
      </c>
      <c r="U27" s="327">
        <f>+T27/R27</f>
        <v>0.10732298576379905</v>
      </c>
      <c r="V27" s="315"/>
      <c r="W27" s="320"/>
      <c r="X27" s="288"/>
      <c r="Y27" s="287"/>
      <c r="Z27" s="288"/>
      <c r="AA27" s="328"/>
      <c r="AB27" s="329"/>
      <c r="AC27" s="288"/>
      <c r="AD27" s="329" t="s">
        <v>269</v>
      </c>
      <c r="AE27" s="265"/>
      <c r="AF27" s="265"/>
      <c r="AG27" s="265"/>
      <c r="AH27" s="265"/>
      <c r="AI27" s="265"/>
      <c r="AJ27" s="265"/>
      <c r="AK27" s="265"/>
    </row>
    <row r="28" spans="11:37" ht="15.75" thickTop="1"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88">
        <f>X25+1</f>
        <v>13</v>
      </c>
      <c r="Y28" s="287"/>
      <c r="Z28" s="330" t="s">
        <v>37</v>
      </c>
      <c r="AA28" s="331">
        <f>SUM(AA14:AA27)</f>
        <v>80</v>
      </c>
      <c r="AB28" s="297">
        <f>SUM(AB14:AB25)</f>
        <v>711.25</v>
      </c>
      <c r="AC28" s="297">
        <f>SUM(AC14:AC25)</f>
        <v>720.11000000000013</v>
      </c>
      <c r="AD28" s="297">
        <f>SUM(AD14:AD25)</f>
        <v>8.860000000000003</v>
      </c>
      <c r="AE28" s="265"/>
      <c r="AF28" s="265"/>
      <c r="AG28" s="265"/>
      <c r="AH28" s="265"/>
      <c r="AI28" s="336"/>
      <c r="AJ28" s="265"/>
      <c r="AK28" s="265"/>
    </row>
    <row r="29" spans="11:37"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87"/>
      <c r="Y29" s="287"/>
      <c r="Z29" s="288"/>
      <c r="AA29" s="287"/>
      <c r="AB29" s="332"/>
      <c r="AC29" s="287"/>
      <c r="AD29" s="287"/>
      <c r="AE29" s="265"/>
      <c r="AF29" s="265"/>
      <c r="AG29" s="265"/>
      <c r="AH29" s="265"/>
      <c r="AI29" s="265"/>
      <c r="AJ29" s="265"/>
      <c r="AK29" s="265"/>
    </row>
    <row r="30" spans="11:37"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87"/>
      <c r="Y30" s="287" t="s">
        <v>269</v>
      </c>
      <c r="Z30" s="288"/>
      <c r="AA30" s="287"/>
      <c r="AB30" s="287"/>
      <c r="AC30" s="333" t="s">
        <v>77</v>
      </c>
      <c r="AD30" s="335">
        <f>ROUND(AD28/AB28,4)</f>
        <v>1.2500000000000001E-2</v>
      </c>
      <c r="AE30" s="265"/>
      <c r="AF30" s="265"/>
      <c r="AG30" s="265"/>
      <c r="AH30" s="265"/>
      <c r="AI30" s="265"/>
      <c r="AJ30" s="265"/>
      <c r="AK30" s="265"/>
    </row>
    <row r="31" spans="11:37"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</row>
  </sheetData>
  <mergeCells count="2">
    <mergeCell ref="P12:R12"/>
    <mergeCell ref="P22:R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10" workbookViewId="0">
      <selection activeCell="R22" sqref="R22"/>
    </sheetView>
  </sheetViews>
  <sheetFormatPr defaultRowHeight="15"/>
  <cols>
    <col min="1" max="1" width="22.28515625" bestFit="1" customWidth="1"/>
    <col min="2" max="3" width="12.7109375" customWidth="1"/>
    <col min="4" max="4" width="2.85546875" bestFit="1" customWidth="1"/>
    <col min="5" max="5" width="5.140625" bestFit="1" customWidth="1"/>
    <col min="6" max="6" width="11.140625" bestFit="1" customWidth="1"/>
    <col min="9" max="9" width="8.5703125" customWidth="1"/>
    <col min="10" max="10" width="7.28515625" bestFit="1" customWidth="1"/>
    <col min="11" max="11" width="4.7109375" bestFit="1" customWidth="1"/>
    <col min="12" max="12" width="4" bestFit="1" customWidth="1"/>
    <col min="14" max="14" width="11.7109375" bestFit="1" customWidth="1"/>
    <col min="15" max="15" width="10.140625" bestFit="1" customWidth="1"/>
    <col min="16" max="16" width="11.7109375" bestFit="1" customWidth="1"/>
    <col min="18" max="18" width="11.28515625" bestFit="1" customWidth="1"/>
    <col min="19" max="19" width="12" bestFit="1" customWidth="1"/>
    <col min="20" max="20" width="13.5703125" bestFit="1" customWidth="1"/>
    <col min="22" max="22" width="3" bestFit="1" customWidth="1"/>
    <col min="23" max="23" width="9.5703125" bestFit="1" customWidth="1"/>
    <col min="24" max="25" width="6.5703125" bestFit="1" customWidth="1"/>
    <col min="26" max="26" width="15.28515625" bestFit="1" customWidth="1"/>
    <col min="27" max="27" width="15" bestFit="1" customWidth="1"/>
    <col min="28" max="28" width="8.5703125" bestFit="1" customWidth="1"/>
    <col min="29" max="29" width="2.140625" customWidth="1"/>
    <col min="30" max="30" width="8.85546875" bestFit="1" customWidth="1"/>
    <col min="31" max="31" width="4.7109375" bestFit="1" customWidth="1"/>
    <col min="32" max="34" width="8.85546875" bestFit="1" customWidth="1"/>
    <col min="35" max="35" width="4.7109375" bestFit="1" customWidth="1"/>
  </cols>
  <sheetData>
    <row r="1" spans="1:36">
      <c r="A1" t="s">
        <v>262</v>
      </c>
      <c r="B1" s="12" t="s">
        <v>266</v>
      </c>
      <c r="C1" s="12" t="s">
        <v>1</v>
      </c>
      <c r="D1" s="12"/>
      <c r="E1" s="12" t="s">
        <v>263</v>
      </c>
      <c r="F1" t="s">
        <v>267</v>
      </c>
    </row>
    <row r="2" spans="1:36">
      <c r="A2" t="s">
        <v>265</v>
      </c>
      <c r="B2" s="260">
        <v>150000</v>
      </c>
      <c r="C2" s="337">
        <v>0.20930000000000001</v>
      </c>
      <c r="D2" t="s">
        <v>260</v>
      </c>
      <c r="E2">
        <v>365</v>
      </c>
      <c r="F2" s="261">
        <f>B2*C2*E2</f>
        <v>11459175.000000002</v>
      </c>
    </row>
    <row r="3" spans="1:36">
      <c r="A3" t="s">
        <v>264</v>
      </c>
      <c r="B3" s="260">
        <v>150000</v>
      </c>
      <c r="C3" s="337">
        <v>0.01</v>
      </c>
      <c r="E3">
        <v>90</v>
      </c>
      <c r="F3" s="261">
        <f>B3*C3*E3</f>
        <v>135000</v>
      </c>
    </row>
    <row r="4" spans="1:36">
      <c r="A4" t="s">
        <v>61</v>
      </c>
      <c r="B4" s="260">
        <v>150000</v>
      </c>
      <c r="C4" s="337">
        <v>20</v>
      </c>
      <c r="D4" t="s">
        <v>261</v>
      </c>
      <c r="E4">
        <v>1</v>
      </c>
      <c r="F4" s="261">
        <f>B4*C4*E4</f>
        <v>3000000</v>
      </c>
    </row>
    <row r="5" spans="1:36">
      <c r="A5" t="s">
        <v>320</v>
      </c>
      <c r="B5" s="260">
        <f>+'Working Gas'!$Z$10</f>
        <v>4745333.333333333</v>
      </c>
      <c r="C5" s="357">
        <v>9.3299999999999994E-2</v>
      </c>
      <c r="D5" t="s">
        <v>321</v>
      </c>
      <c r="F5" s="261">
        <f>+B5*C5</f>
        <v>442739.59999999992</v>
      </c>
    </row>
    <row r="6" spans="1:36">
      <c r="A6" t="s">
        <v>37</v>
      </c>
      <c r="F6" s="261">
        <f>SUM(F2:F5)</f>
        <v>15036914.600000001</v>
      </c>
      <c r="G6" s="261"/>
    </row>
    <row r="8" spans="1:36">
      <c r="A8" t="str">
        <f>'Option 1 Low Case SNG'!A8</f>
        <v>1/  Estimated negotiated rate of $0.2093 is based on the Kern River 25 year Period 2 rate</v>
      </c>
    </row>
    <row r="9" spans="1:36">
      <c r="A9" t="s">
        <v>268</v>
      </c>
    </row>
    <row r="10" spans="1:36">
      <c r="A10" t="s">
        <v>322</v>
      </c>
    </row>
    <row r="13" spans="1:36">
      <c r="I13" s="265" t="s">
        <v>51</v>
      </c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8"/>
      <c r="W13" s="269" t="s">
        <v>1</v>
      </c>
      <c r="X13" s="269"/>
      <c r="Y13" s="270" t="s">
        <v>62</v>
      </c>
      <c r="Z13" s="270" t="s">
        <v>270</v>
      </c>
      <c r="AA13" s="271" t="s">
        <v>271</v>
      </c>
      <c r="AB13" s="269"/>
      <c r="AC13" s="265"/>
      <c r="AD13" s="272"/>
      <c r="AE13" s="273"/>
      <c r="AF13" s="274" t="s">
        <v>57</v>
      </c>
      <c r="AG13" s="274" t="s">
        <v>58</v>
      </c>
      <c r="AH13" s="265"/>
      <c r="AI13" s="265"/>
      <c r="AJ13" s="265"/>
    </row>
    <row r="14" spans="1:36" ht="15.75" thickBot="1">
      <c r="I14" s="275" t="s">
        <v>272</v>
      </c>
      <c r="J14" s="276"/>
      <c r="K14" s="276"/>
      <c r="L14" s="277"/>
      <c r="M14" s="277"/>
      <c r="N14" s="384" t="s">
        <v>273</v>
      </c>
      <c r="O14" s="384"/>
      <c r="P14" s="384"/>
      <c r="Q14" s="276"/>
      <c r="R14" s="278"/>
      <c r="S14" s="279"/>
      <c r="T14" s="278"/>
      <c r="U14" s="265"/>
      <c r="V14" s="280"/>
      <c r="W14" s="281" t="s">
        <v>274</v>
      </c>
      <c r="X14" s="281" t="s">
        <v>63</v>
      </c>
      <c r="Y14" s="282" t="s">
        <v>64</v>
      </c>
      <c r="Z14" s="283">
        <v>43160</v>
      </c>
      <c r="AA14" s="282" t="s">
        <v>275</v>
      </c>
      <c r="AB14" s="281" t="s">
        <v>276</v>
      </c>
      <c r="AC14" s="265"/>
      <c r="AD14" s="273"/>
      <c r="AE14" s="284" t="s">
        <v>277</v>
      </c>
      <c r="AF14" s="285" t="s">
        <v>278</v>
      </c>
      <c r="AG14" s="285" t="s">
        <v>278</v>
      </c>
      <c r="AH14" s="265"/>
      <c r="AI14" s="265"/>
      <c r="AJ14" s="265"/>
    </row>
    <row r="15" spans="1:36">
      <c r="I15" s="275"/>
      <c r="J15" s="276"/>
      <c r="K15" s="276"/>
      <c r="L15" s="277"/>
      <c r="M15" s="277"/>
      <c r="N15" s="286"/>
      <c r="O15" s="286" t="s">
        <v>59</v>
      </c>
      <c r="P15" s="286"/>
      <c r="Q15" s="276"/>
      <c r="R15" s="278"/>
      <c r="S15" s="279" t="s">
        <v>279</v>
      </c>
      <c r="T15" s="278"/>
      <c r="U15" s="265"/>
      <c r="V15" s="287"/>
      <c r="W15" s="287"/>
      <c r="X15" s="288"/>
      <c r="Y15" s="287"/>
      <c r="Z15" s="287"/>
      <c r="AA15" s="287"/>
      <c r="AB15" s="287"/>
      <c r="AC15" s="265"/>
      <c r="AD15" s="273" t="s">
        <v>289</v>
      </c>
      <c r="AE15" s="289">
        <v>6.75</v>
      </c>
      <c r="AF15" s="290">
        <v>6.9353300000000004</v>
      </c>
      <c r="AG15" s="290">
        <v>8.2994599999999998</v>
      </c>
      <c r="AH15" s="265"/>
      <c r="AI15" s="265"/>
      <c r="AJ15" s="265"/>
    </row>
    <row r="16" spans="1:36" ht="15.75" thickBot="1">
      <c r="I16" s="291" t="s">
        <v>281</v>
      </c>
      <c r="J16" s="292"/>
      <c r="K16" s="292"/>
      <c r="L16" s="293" t="s">
        <v>282</v>
      </c>
      <c r="M16" s="293"/>
      <c r="N16" s="294" t="s">
        <v>282</v>
      </c>
      <c r="O16" s="294" t="s">
        <v>283</v>
      </c>
      <c r="P16" s="295" t="s">
        <v>83</v>
      </c>
      <c r="Q16" s="276"/>
      <c r="R16" s="294" t="s">
        <v>195</v>
      </c>
      <c r="S16" s="294" t="s">
        <v>284</v>
      </c>
      <c r="T16" s="294" t="s">
        <v>285</v>
      </c>
      <c r="U16" s="265"/>
      <c r="V16" s="288">
        <v>1</v>
      </c>
      <c r="W16" s="288" t="s">
        <v>36</v>
      </c>
      <c r="X16" s="288" t="s">
        <v>65</v>
      </c>
      <c r="Y16" s="296">
        <v>14.9</v>
      </c>
      <c r="Z16" s="297">
        <f>ROUND((Y16*AG15)+AE15,2)</f>
        <v>130.41</v>
      </c>
      <c r="AA16" s="297">
        <f>ROUND((Y16*AG17)+AE17,2)</f>
        <v>132.72999999999999</v>
      </c>
      <c r="AB16" s="297">
        <f t="shared" ref="AB16:AB27" si="0">AA16-Z16</f>
        <v>2.3199999999999932</v>
      </c>
      <c r="AC16" s="265"/>
      <c r="AD16" s="265"/>
      <c r="AE16" s="289"/>
      <c r="AF16" s="298"/>
      <c r="AG16" s="298"/>
      <c r="AH16" s="265"/>
      <c r="AI16" s="265"/>
      <c r="AJ16" s="265"/>
    </row>
    <row r="17" spans="9:36">
      <c r="I17" s="299" t="s">
        <v>58</v>
      </c>
      <c r="J17" s="299" t="s">
        <v>286</v>
      </c>
      <c r="K17" s="299" t="s">
        <v>287</v>
      </c>
      <c r="L17" s="300">
        <v>45</v>
      </c>
      <c r="M17" s="300"/>
      <c r="N17" s="341">
        <v>62287423</v>
      </c>
      <c r="O17" s="302">
        <f>2.34949+0.22671</f>
        <v>2.5762</v>
      </c>
      <c r="P17" s="303">
        <f>ROUND(N17*O17,0)</f>
        <v>160464859</v>
      </c>
      <c r="Q17" s="304"/>
      <c r="R17" s="301">
        <f>T17*N17</f>
        <v>0</v>
      </c>
      <c r="S17" s="305">
        <f>S22</f>
        <v>0</v>
      </c>
      <c r="T17" s="306">
        <f>S17*O17</f>
        <v>0</v>
      </c>
      <c r="U17" s="265"/>
      <c r="V17" s="288">
        <f t="shared" ref="V17:V27" si="1">V16+1</f>
        <v>2</v>
      </c>
      <c r="W17" s="287"/>
      <c r="X17" s="288" t="s">
        <v>66</v>
      </c>
      <c r="Y17" s="296">
        <v>12.5</v>
      </c>
      <c r="Z17" s="297">
        <f>ROUND((Y17*AG15)+AE15,2)</f>
        <v>110.49</v>
      </c>
      <c r="AA17" s="297">
        <f>ROUND((Y17*AG17)+AE17,2)</f>
        <v>112.44</v>
      </c>
      <c r="AB17" s="307">
        <f t="shared" si="0"/>
        <v>1.9500000000000028</v>
      </c>
      <c r="AC17" s="265"/>
      <c r="AD17" s="13" t="s">
        <v>280</v>
      </c>
      <c r="AE17" s="289">
        <v>6.75</v>
      </c>
      <c r="AF17" s="308">
        <f>AF15+T28+T20</f>
        <v>7.008433262958941</v>
      </c>
      <c r="AG17" s="308">
        <f>AG15+T27+T17</f>
        <v>8.4551598661105025</v>
      </c>
      <c r="AH17" s="265"/>
      <c r="AI17" s="265"/>
      <c r="AJ17" s="265"/>
    </row>
    <row r="18" spans="9:36">
      <c r="I18" s="299"/>
      <c r="J18" s="299" t="s">
        <v>288</v>
      </c>
      <c r="K18" s="299" t="s">
        <v>292</v>
      </c>
      <c r="L18" s="300">
        <v>45</v>
      </c>
      <c r="M18" s="300"/>
      <c r="N18" s="341">
        <v>17131460</v>
      </c>
      <c r="O18" s="302">
        <f>1.34949+0.13021</f>
        <v>1.4797</v>
      </c>
      <c r="P18" s="303">
        <f>ROUND(N18*O18,0)</f>
        <v>25349421</v>
      </c>
      <c r="Q18" s="309"/>
      <c r="R18" s="301">
        <f>T18*N18</f>
        <v>0</v>
      </c>
      <c r="S18" s="305">
        <f>S22</f>
        <v>0</v>
      </c>
      <c r="T18" s="306">
        <f>S18*O18</f>
        <v>0</v>
      </c>
      <c r="U18" s="265"/>
      <c r="V18" s="288">
        <f t="shared" si="1"/>
        <v>3</v>
      </c>
      <c r="W18" s="287"/>
      <c r="X18" s="288" t="s">
        <v>67</v>
      </c>
      <c r="Y18" s="296">
        <v>10.1</v>
      </c>
      <c r="Z18" s="297">
        <f>ROUND((Y18*AG15)+AE15,2)</f>
        <v>90.57</v>
      </c>
      <c r="AA18" s="297">
        <f>ROUND((Y18*AG17)+AE17,2)</f>
        <v>92.15</v>
      </c>
      <c r="AB18" s="307">
        <f t="shared" si="0"/>
        <v>1.5800000000000125</v>
      </c>
      <c r="AC18" s="265"/>
      <c r="AD18" s="265"/>
      <c r="AE18" s="289"/>
      <c r="AF18" s="298"/>
      <c r="AG18" s="298"/>
      <c r="AH18" s="265"/>
      <c r="AI18" s="265"/>
      <c r="AJ18" s="265"/>
    </row>
    <row r="19" spans="9:36">
      <c r="I19" s="310"/>
      <c r="J19" s="299"/>
      <c r="K19" s="299"/>
      <c r="L19" s="311"/>
      <c r="M19" s="311"/>
      <c r="N19" s="341"/>
      <c r="O19" s="302"/>
      <c r="P19" s="303"/>
      <c r="Q19" s="309"/>
      <c r="R19" s="301"/>
      <c r="S19" s="302"/>
      <c r="T19" s="303"/>
      <c r="U19" s="265"/>
      <c r="V19" s="288">
        <f t="shared" si="1"/>
        <v>4</v>
      </c>
      <c r="W19" s="287"/>
      <c r="X19" s="288" t="s">
        <v>68</v>
      </c>
      <c r="Y19" s="296">
        <v>8.3000000000000007</v>
      </c>
      <c r="Z19" s="297">
        <f>ROUND((Y19*AF15)+AE15,2)</f>
        <v>64.31</v>
      </c>
      <c r="AA19" s="297">
        <f>ROUND((Y19*AF17)+AE17,2)</f>
        <v>64.92</v>
      </c>
      <c r="AB19" s="307">
        <f t="shared" si="0"/>
        <v>0.60999999999999943</v>
      </c>
      <c r="AC19" s="265"/>
      <c r="AD19" s="265"/>
      <c r="AE19" s="265"/>
      <c r="AF19" s="265"/>
      <c r="AG19" s="265"/>
      <c r="AH19" s="265"/>
      <c r="AI19" s="265"/>
      <c r="AJ19" s="265"/>
    </row>
    <row r="20" spans="9:36">
      <c r="I20" s="312" t="s">
        <v>57</v>
      </c>
      <c r="J20" s="299" t="s">
        <v>286</v>
      </c>
      <c r="K20" s="299" t="str">
        <f>K17</f>
        <v>First</v>
      </c>
      <c r="L20" s="311">
        <f>L17</f>
        <v>45</v>
      </c>
      <c r="M20" s="311"/>
      <c r="N20" s="341">
        <v>25808736</v>
      </c>
      <c r="O20" s="302">
        <f>1.7267+0.16661</f>
        <v>1.8933099999999998</v>
      </c>
      <c r="P20" s="301">
        <f>ROUND(N20*O20,0)</f>
        <v>48863938</v>
      </c>
      <c r="Q20" s="309"/>
      <c r="R20" s="301">
        <f>T20*N20</f>
        <v>0</v>
      </c>
      <c r="S20" s="305">
        <f>S22</f>
        <v>0</v>
      </c>
      <c r="T20" s="306">
        <f>S20*O20</f>
        <v>0</v>
      </c>
      <c r="U20" s="265"/>
      <c r="V20" s="288">
        <f t="shared" si="1"/>
        <v>5</v>
      </c>
      <c r="W20" s="287"/>
      <c r="X20" s="288" t="s">
        <v>69</v>
      </c>
      <c r="Y20" s="296">
        <v>4.4000000000000004</v>
      </c>
      <c r="Z20" s="297">
        <f>ROUND((Y20*AF15)+AE15,2)</f>
        <v>37.270000000000003</v>
      </c>
      <c r="AA20" s="297">
        <f>ROUND((Y20*AF17)+AE17,2)</f>
        <v>37.590000000000003</v>
      </c>
      <c r="AB20" s="307">
        <f t="shared" si="0"/>
        <v>0.32000000000000028</v>
      </c>
      <c r="AC20" s="265"/>
      <c r="AD20" s="265"/>
      <c r="AE20" s="265"/>
      <c r="AF20" s="265"/>
      <c r="AG20" s="265"/>
      <c r="AH20" s="265"/>
      <c r="AI20" s="265"/>
      <c r="AJ20" s="265"/>
    </row>
    <row r="21" spans="9:36">
      <c r="I21" s="312"/>
      <c r="J21" s="299" t="s">
        <v>288</v>
      </c>
      <c r="K21" s="299" t="str">
        <f>K18</f>
        <v>Over</v>
      </c>
      <c r="L21" s="311">
        <v>45</v>
      </c>
      <c r="M21" s="311"/>
      <c r="N21" s="341">
        <v>4737192</v>
      </c>
      <c r="O21" s="302">
        <f>0.7267+0.07012</f>
        <v>0.79681999999999997</v>
      </c>
      <c r="P21" s="301">
        <f>ROUND(N21*O21,0)</f>
        <v>3774689</v>
      </c>
      <c r="Q21" s="309"/>
      <c r="R21" s="301">
        <f>T21*N21</f>
        <v>0</v>
      </c>
      <c r="S21" s="305">
        <f>S22</f>
        <v>0</v>
      </c>
      <c r="T21" s="306">
        <f>S21*O21</f>
        <v>0</v>
      </c>
      <c r="U21" s="265"/>
      <c r="V21" s="288">
        <f t="shared" si="1"/>
        <v>6</v>
      </c>
      <c r="W21" s="287"/>
      <c r="X21" s="288" t="s">
        <v>70</v>
      </c>
      <c r="Y21" s="296">
        <v>3.1</v>
      </c>
      <c r="Z21" s="297">
        <f>ROUND((Y21*AF15)+AE15,2)</f>
        <v>28.25</v>
      </c>
      <c r="AA21" s="297">
        <f>ROUND((Y21*AF17)+AE17,2)</f>
        <v>28.48</v>
      </c>
      <c r="AB21" s="307">
        <f t="shared" si="0"/>
        <v>0.23000000000000043</v>
      </c>
      <c r="AC21" s="265"/>
      <c r="AD21" s="265"/>
      <c r="AE21" s="265"/>
      <c r="AF21" s="265"/>
      <c r="AG21" s="265"/>
      <c r="AH21" s="265"/>
      <c r="AI21" s="265"/>
      <c r="AJ21" s="265"/>
    </row>
    <row r="22" spans="9:36" ht="15.75" thickBot="1">
      <c r="I22" s="313" t="s">
        <v>290</v>
      </c>
      <c r="J22" s="314"/>
      <c r="K22" s="299"/>
      <c r="L22" s="311"/>
      <c r="M22" s="311"/>
      <c r="N22" s="315">
        <f>SUM(N20:N21,N17:N18)</f>
        <v>109964811</v>
      </c>
      <c r="O22" s="316"/>
      <c r="P22" s="315">
        <f>SUM(P17:P21)</f>
        <v>238452907</v>
      </c>
      <c r="Q22" s="317"/>
      <c r="R22" s="267">
        <v>0</v>
      </c>
      <c r="S22" s="318">
        <f>R22/P22</f>
        <v>0</v>
      </c>
      <c r="T22" s="315"/>
      <c r="U22" s="265"/>
      <c r="V22" s="288">
        <f t="shared" si="1"/>
        <v>7</v>
      </c>
      <c r="W22" s="287"/>
      <c r="X22" s="288" t="s">
        <v>71</v>
      </c>
      <c r="Y22" s="296">
        <v>2</v>
      </c>
      <c r="Z22" s="297">
        <f>ROUND((Y22*AF15)+AE15,2)</f>
        <v>20.62</v>
      </c>
      <c r="AA22" s="297">
        <f>ROUND((Y22*AF17)+AE17,2)</f>
        <v>20.77</v>
      </c>
      <c r="AB22" s="307">
        <f t="shared" si="0"/>
        <v>0.14999999999999858</v>
      </c>
      <c r="AC22" s="265"/>
      <c r="AD22" s="265"/>
      <c r="AE22" s="265"/>
      <c r="AF22" s="265"/>
      <c r="AG22" s="265"/>
      <c r="AH22" s="265"/>
      <c r="AI22" s="265"/>
      <c r="AJ22" s="265"/>
    </row>
    <row r="23" spans="9:36" ht="15.75" thickTop="1"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88">
        <f t="shared" si="1"/>
        <v>8</v>
      </c>
      <c r="W23" s="287"/>
      <c r="X23" s="288" t="s">
        <v>72</v>
      </c>
      <c r="Y23" s="296">
        <v>1.8</v>
      </c>
      <c r="Z23" s="297">
        <f>ROUND((Y23*AF15)+AE15,2)</f>
        <v>19.23</v>
      </c>
      <c r="AA23" s="297">
        <f>ROUND((Y23*AF17)+AE17,2)</f>
        <v>19.37</v>
      </c>
      <c r="AB23" s="307">
        <f t="shared" si="0"/>
        <v>0.14000000000000057</v>
      </c>
      <c r="AC23" s="265"/>
      <c r="AD23" s="265"/>
      <c r="AE23" s="265"/>
      <c r="AF23" s="265"/>
      <c r="AG23" s="265"/>
      <c r="AH23" s="265"/>
      <c r="AI23" s="265"/>
      <c r="AJ23" s="265"/>
    </row>
    <row r="24" spans="9:36">
      <c r="I24" s="275"/>
      <c r="J24" s="276"/>
      <c r="K24" s="276"/>
      <c r="L24" s="277"/>
      <c r="M24" s="277"/>
      <c r="N24" s="384" t="s">
        <v>273</v>
      </c>
      <c r="O24" s="384"/>
      <c r="P24" s="384"/>
      <c r="Q24" s="276"/>
      <c r="R24" s="278"/>
      <c r="S24" s="279"/>
      <c r="T24" s="278"/>
      <c r="U24" s="265"/>
      <c r="V24" s="288">
        <f t="shared" si="1"/>
        <v>9</v>
      </c>
      <c r="W24" s="287"/>
      <c r="X24" s="288" t="s">
        <v>73</v>
      </c>
      <c r="Y24" s="296">
        <v>2</v>
      </c>
      <c r="Z24" s="297">
        <f>ROUND((Y24*AF15)+AE15,2)</f>
        <v>20.62</v>
      </c>
      <c r="AA24" s="297">
        <f>ROUND((Y24*AF17)+AE17,2)</f>
        <v>20.77</v>
      </c>
      <c r="AB24" s="307">
        <f t="shared" si="0"/>
        <v>0.14999999999999858</v>
      </c>
      <c r="AC24" s="265"/>
      <c r="AD24" s="265"/>
      <c r="AE24" s="265"/>
      <c r="AF24" s="265"/>
      <c r="AG24" s="265"/>
      <c r="AH24" s="265"/>
      <c r="AI24" s="265"/>
      <c r="AJ24" s="265"/>
    </row>
    <row r="25" spans="9:36">
      <c r="I25" s="275"/>
      <c r="J25" s="276"/>
      <c r="K25" s="276"/>
      <c r="L25" s="277"/>
      <c r="M25" s="277"/>
      <c r="N25" s="286"/>
      <c r="O25" s="286" t="s">
        <v>60</v>
      </c>
      <c r="P25" s="286"/>
      <c r="Q25" s="276"/>
      <c r="R25" s="278"/>
      <c r="S25" s="279" t="s">
        <v>279</v>
      </c>
      <c r="T25" s="278"/>
      <c r="U25" s="265"/>
      <c r="V25" s="288">
        <f t="shared" si="1"/>
        <v>10</v>
      </c>
      <c r="W25" s="287"/>
      <c r="X25" s="288" t="s">
        <v>74</v>
      </c>
      <c r="Y25" s="296">
        <v>3.1</v>
      </c>
      <c r="Z25" s="297">
        <f>ROUND((Y25*AF15)+AE15,2)</f>
        <v>28.25</v>
      </c>
      <c r="AA25" s="297">
        <f>ROUND((Y25*AF17)+AE17,2)</f>
        <v>28.48</v>
      </c>
      <c r="AB25" s="307">
        <f t="shared" si="0"/>
        <v>0.23000000000000043</v>
      </c>
      <c r="AC25" s="265"/>
      <c r="AD25" s="265"/>
      <c r="AE25" s="265"/>
      <c r="AF25" s="265"/>
      <c r="AG25" s="265"/>
      <c r="AH25" s="265"/>
      <c r="AI25" s="265"/>
      <c r="AJ25" s="265"/>
    </row>
    <row r="26" spans="9:36" ht="15.75" thickBot="1">
      <c r="I26" s="291" t="s">
        <v>281</v>
      </c>
      <c r="J26" s="292"/>
      <c r="K26" s="292"/>
      <c r="L26" s="293" t="s">
        <v>282</v>
      </c>
      <c r="M26" s="293"/>
      <c r="N26" s="294" t="s">
        <v>282</v>
      </c>
      <c r="O26" s="294" t="s">
        <v>283</v>
      </c>
      <c r="P26" s="295" t="s">
        <v>83</v>
      </c>
      <c r="Q26" s="276"/>
      <c r="R26" s="294" t="s">
        <v>195</v>
      </c>
      <c r="S26" s="294" t="s">
        <v>284</v>
      </c>
      <c r="T26" s="294" t="s">
        <v>285</v>
      </c>
      <c r="U26" s="265"/>
      <c r="V26" s="288">
        <f t="shared" si="1"/>
        <v>11</v>
      </c>
      <c r="W26" s="287"/>
      <c r="X26" s="288" t="s">
        <v>75</v>
      </c>
      <c r="Y26" s="296">
        <v>6.3</v>
      </c>
      <c r="Z26" s="297">
        <f>ROUND((Y26*AG15)+AE15,2)</f>
        <v>59.04</v>
      </c>
      <c r="AA26" s="297">
        <f>ROUND((Y26*AG17)+AE17,2)</f>
        <v>60.02</v>
      </c>
      <c r="AB26" s="307">
        <f t="shared" si="0"/>
        <v>0.98000000000000398</v>
      </c>
      <c r="AC26" s="265"/>
      <c r="AD26" s="265"/>
      <c r="AE26" s="265"/>
      <c r="AF26" s="265"/>
      <c r="AG26" s="265"/>
      <c r="AH26" s="265"/>
      <c r="AI26" s="265"/>
      <c r="AJ26" s="265"/>
    </row>
    <row r="27" spans="9:36">
      <c r="I27" s="265" t="s">
        <v>58</v>
      </c>
      <c r="J27" s="265"/>
      <c r="K27" s="265"/>
      <c r="L27" s="265" t="s">
        <v>291</v>
      </c>
      <c r="M27" s="265"/>
      <c r="N27" s="319">
        <f>+N17+N18</f>
        <v>79418883</v>
      </c>
      <c r="O27" s="320">
        <v>1.2336800000000001</v>
      </c>
      <c r="P27" s="321">
        <f>+N27*O27</f>
        <v>97977487.579440013</v>
      </c>
      <c r="Q27" s="321"/>
      <c r="R27" s="321">
        <f>+T27*N27</f>
        <v>12365509.449745644</v>
      </c>
      <c r="S27" s="322">
        <f>+S29</f>
        <v>0.12620766009864978</v>
      </c>
      <c r="T27" s="323">
        <f>+O27*S27</f>
        <v>0.15569986611050227</v>
      </c>
      <c r="U27" s="320"/>
      <c r="V27" s="288">
        <f t="shared" si="1"/>
        <v>12</v>
      </c>
      <c r="W27" s="287"/>
      <c r="X27" s="288" t="s">
        <v>76</v>
      </c>
      <c r="Y27" s="296">
        <v>11.5</v>
      </c>
      <c r="Z27" s="297">
        <f>ROUND((Y27*AG15)+AE15,2)</f>
        <v>102.19</v>
      </c>
      <c r="AA27" s="297">
        <f>ROUND((Y27*AG17)+AE17,2)</f>
        <v>103.98</v>
      </c>
      <c r="AB27" s="307">
        <f t="shared" si="0"/>
        <v>1.7900000000000063</v>
      </c>
      <c r="AC27" s="265"/>
      <c r="AD27" s="265"/>
      <c r="AE27" s="265"/>
      <c r="AF27" s="265"/>
      <c r="AG27" s="265"/>
      <c r="AH27" s="265"/>
      <c r="AI27" s="265"/>
      <c r="AJ27" s="265"/>
    </row>
    <row r="28" spans="9:36" ht="15.75" thickBot="1">
      <c r="I28" s="265" t="s">
        <v>57</v>
      </c>
      <c r="J28" s="265"/>
      <c r="K28" s="265"/>
      <c r="L28" s="265" t="s">
        <v>291</v>
      </c>
      <c r="M28" s="265"/>
      <c r="N28" s="319">
        <f>+N20+N21</f>
        <v>30545928</v>
      </c>
      <c r="O28" s="320">
        <v>0.57923000000000002</v>
      </c>
      <c r="P28" s="321">
        <f>+N28*O28</f>
        <v>17693117.875440001</v>
      </c>
      <c r="Q28" s="320"/>
      <c r="R28" s="321">
        <f>+T28*N28</f>
        <v>2233007.0069088764</v>
      </c>
      <c r="S28" s="322">
        <f>+S29</f>
        <v>0.12620766009864978</v>
      </c>
      <c r="T28" s="323">
        <f>+O28*S28</f>
        <v>7.3103262958940915E-2</v>
      </c>
      <c r="U28" s="320"/>
      <c r="V28" s="288"/>
      <c r="W28" s="287"/>
      <c r="X28" s="288"/>
      <c r="Y28" s="324"/>
      <c r="Z28" s="325"/>
      <c r="AA28" s="325"/>
      <c r="AB28" s="326"/>
      <c r="AC28" s="265"/>
      <c r="AD28" s="265"/>
      <c r="AE28" s="265"/>
      <c r="AF28" s="265"/>
      <c r="AG28" s="265"/>
      <c r="AH28" s="265"/>
      <c r="AI28" s="265"/>
      <c r="AJ28" s="265"/>
    </row>
    <row r="29" spans="9:36" ht="16.5" thickTop="1" thickBot="1">
      <c r="I29" s="265"/>
      <c r="J29" s="265"/>
      <c r="K29" s="265"/>
      <c r="L29" s="265"/>
      <c r="M29" s="265"/>
      <c r="N29" s="315">
        <f>SUM(N27:N28)</f>
        <v>109964811</v>
      </c>
      <c r="O29" s="316"/>
      <c r="P29" s="315">
        <f>SUM(P27:P28)</f>
        <v>115670605.45488001</v>
      </c>
      <c r="Q29" s="320"/>
      <c r="R29" s="334">
        <v>14598516.456654521</v>
      </c>
      <c r="S29" s="327">
        <f>+R29/P29</f>
        <v>0.12620766009864978</v>
      </c>
      <c r="T29" s="315"/>
      <c r="U29" s="320"/>
      <c r="V29" s="288"/>
      <c r="W29" s="287"/>
      <c r="X29" s="288"/>
      <c r="Y29" s="328"/>
      <c r="Z29" s="329"/>
      <c r="AA29" s="288"/>
      <c r="AB29" s="329" t="s">
        <v>269</v>
      </c>
      <c r="AC29" s="265"/>
      <c r="AD29" s="265"/>
      <c r="AE29" s="265"/>
      <c r="AF29" s="265"/>
      <c r="AG29" s="265"/>
      <c r="AH29" s="265"/>
      <c r="AI29" s="265"/>
      <c r="AJ29" s="265"/>
    </row>
    <row r="30" spans="9:36" ht="15.75" thickTop="1"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88">
        <f>V27+1</f>
        <v>13</v>
      </c>
      <c r="W30" s="287"/>
      <c r="X30" s="330" t="s">
        <v>37</v>
      </c>
      <c r="Y30" s="331">
        <f>SUM(Y16:Y29)</f>
        <v>80</v>
      </c>
      <c r="Z30" s="297">
        <f>SUM(Z16:Z27)</f>
        <v>711.25</v>
      </c>
      <c r="AA30" s="297">
        <f>SUM(AA16:AA27)</f>
        <v>721.7</v>
      </c>
      <c r="AB30" s="297">
        <f>SUM(AB16:AB27)</f>
        <v>10.450000000000017</v>
      </c>
      <c r="AC30" s="265"/>
      <c r="AD30" s="265"/>
      <c r="AE30" s="265"/>
      <c r="AF30" s="265"/>
      <c r="AG30" s="265"/>
      <c r="AH30" s="265"/>
      <c r="AI30" s="265"/>
      <c r="AJ30" s="265"/>
    </row>
    <row r="31" spans="9:36"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87"/>
      <c r="W31" s="287"/>
      <c r="X31" s="288"/>
      <c r="Y31" s="287"/>
      <c r="Z31" s="332"/>
      <c r="AA31" s="287"/>
      <c r="AB31" s="287"/>
      <c r="AC31" s="265"/>
      <c r="AD31" s="265"/>
      <c r="AE31" s="265"/>
      <c r="AF31" s="265"/>
      <c r="AG31" s="265"/>
      <c r="AH31" s="265"/>
      <c r="AI31" s="265"/>
      <c r="AJ31" s="265"/>
    </row>
    <row r="32" spans="9:36"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87"/>
      <c r="W32" s="287" t="s">
        <v>269</v>
      </c>
      <c r="X32" s="288"/>
      <c r="Y32" s="287"/>
      <c r="Z32" s="287"/>
      <c r="AA32" s="333" t="s">
        <v>77</v>
      </c>
      <c r="AB32" s="335">
        <f>ROUND(AB30/Z30,4)</f>
        <v>1.47E-2</v>
      </c>
      <c r="AC32" s="265"/>
      <c r="AD32" s="265"/>
      <c r="AE32" s="265"/>
      <c r="AF32" s="265"/>
      <c r="AG32" s="265"/>
      <c r="AH32" s="265"/>
      <c r="AI32" s="265"/>
      <c r="AJ32" s="265"/>
    </row>
    <row r="33" spans="9:36"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</row>
  </sheetData>
  <mergeCells count="2">
    <mergeCell ref="N14:P14"/>
    <mergeCell ref="N24:P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3"/>
  <sheetViews>
    <sheetView workbookViewId="0">
      <selection activeCell="BM24" sqref="BM24"/>
    </sheetView>
  </sheetViews>
  <sheetFormatPr defaultColWidth="9.28515625" defaultRowHeight="11.25"/>
  <cols>
    <col min="1" max="1" width="4.140625" style="14" customWidth="1"/>
    <col min="2" max="2" width="23.28515625" style="18" customWidth="1"/>
    <col min="3" max="3" width="12.5703125" style="18" customWidth="1"/>
    <col min="4" max="4" width="13" style="18" customWidth="1"/>
    <col min="5" max="10" width="11" style="18" customWidth="1"/>
    <col min="11" max="11" width="11.5703125" style="18" customWidth="1"/>
    <col min="12" max="13" width="11" style="18" customWidth="1"/>
    <col min="14" max="14" width="10.7109375" style="18" customWidth="1"/>
    <col min="15" max="15" width="10.42578125" style="18" customWidth="1"/>
    <col min="16" max="16" width="10.5703125" style="18" customWidth="1"/>
    <col min="17" max="18" width="10.42578125" style="18" customWidth="1"/>
    <col min="19" max="19" width="10.5703125" style="18" customWidth="1"/>
    <col min="20" max="24" width="9.85546875" style="18" customWidth="1"/>
    <col min="25" max="25" width="10" style="18" customWidth="1"/>
    <col min="26" max="30" width="9.85546875" style="18" customWidth="1"/>
    <col min="31" max="32" width="9.7109375" style="18" customWidth="1"/>
    <col min="33" max="33" width="10" style="18" customWidth="1"/>
    <col min="34" max="47" width="9.28515625" style="18" customWidth="1"/>
    <col min="48" max="48" width="10" style="18" customWidth="1"/>
    <col min="49" max="49" width="10.5703125" style="18" customWidth="1"/>
    <col min="50" max="50" width="11.140625" style="18" customWidth="1"/>
    <col min="51" max="55" width="9.28515625" style="18"/>
    <col min="56" max="56" width="7.28515625" style="18" bestFit="1" customWidth="1"/>
    <col min="57" max="57" width="4.7109375" style="18" bestFit="1" customWidth="1"/>
    <col min="58" max="58" width="4" style="18" bestFit="1" customWidth="1"/>
    <col min="59" max="59" width="9.28515625" style="18"/>
    <col min="60" max="60" width="11.7109375" style="18" bestFit="1" customWidth="1"/>
    <col min="61" max="61" width="10.140625" style="18" bestFit="1" customWidth="1"/>
    <col min="62" max="62" width="11.7109375" style="18" bestFit="1" customWidth="1"/>
    <col min="63" max="63" width="9.28515625" style="18"/>
    <col min="64" max="64" width="9.7109375" style="18" bestFit="1" customWidth="1"/>
    <col min="65" max="65" width="12" style="18" bestFit="1" customWidth="1"/>
    <col min="66" max="66" width="13.5703125" style="18" bestFit="1" customWidth="1"/>
    <col min="67" max="67" width="9.28515625" style="18"/>
    <col min="68" max="68" width="3" style="18" bestFit="1" customWidth="1"/>
    <col min="69" max="69" width="9.5703125" style="18" bestFit="1" customWidth="1"/>
    <col min="70" max="71" width="6.5703125" style="18" bestFit="1" customWidth="1"/>
    <col min="72" max="72" width="15.28515625" style="18" bestFit="1" customWidth="1"/>
    <col min="73" max="73" width="15" style="18" bestFit="1" customWidth="1"/>
    <col min="74" max="74" width="8" style="18" bestFit="1" customWidth="1"/>
    <col min="75" max="75" width="9.28515625" style="18"/>
    <col min="76" max="76" width="8.85546875" style="18" bestFit="1" customWidth="1"/>
    <col min="77" max="77" width="4.7109375" style="18" bestFit="1" customWidth="1"/>
    <col min="78" max="79" width="8.85546875" style="18" bestFit="1" customWidth="1"/>
    <col min="80" max="16384" width="9.28515625" style="18"/>
  </cols>
  <sheetData>
    <row r="1" spans="2:81" s="18" customFormat="1" ht="15.75">
      <c r="B1" s="15" t="s">
        <v>139</v>
      </c>
      <c r="C1" s="16"/>
      <c r="D1" s="17"/>
      <c r="G1" s="19"/>
      <c r="H1" s="20"/>
      <c r="J1" s="21"/>
      <c r="K1" s="22"/>
      <c r="L1" s="23"/>
      <c r="M1" s="24"/>
      <c r="W1" s="135"/>
      <c r="BC1" t="s">
        <v>40</v>
      </c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8"/>
      <c r="BQ1" s="269" t="s">
        <v>1</v>
      </c>
      <c r="BR1" s="269"/>
      <c r="BS1" s="270" t="s">
        <v>62</v>
      </c>
      <c r="BT1" s="270" t="s">
        <v>270</v>
      </c>
      <c r="BU1" s="271" t="s">
        <v>271</v>
      </c>
      <c r="BV1" s="269"/>
      <c r="BW1" s="265"/>
      <c r="BX1" s="272"/>
      <c r="BY1" s="273"/>
      <c r="BZ1" s="274" t="s">
        <v>57</v>
      </c>
      <c r="CA1" s="274" t="s">
        <v>58</v>
      </c>
      <c r="CB1" s="265"/>
      <c r="CC1" s="265"/>
    </row>
    <row r="2" spans="2:81" s="18" customFormat="1" ht="12.75" customHeight="1" thickBot="1">
      <c r="B2" s="25"/>
      <c r="D2" s="26"/>
      <c r="G2" s="27"/>
      <c r="H2" s="20"/>
      <c r="J2" s="24"/>
      <c r="M2" s="28"/>
      <c r="N2" s="385"/>
      <c r="O2" s="385"/>
      <c r="W2" s="135"/>
      <c r="BC2" s="275" t="s">
        <v>272</v>
      </c>
      <c r="BD2" s="276"/>
      <c r="BE2" s="276"/>
      <c r="BF2" s="277"/>
      <c r="BG2" s="277"/>
      <c r="BH2" s="384" t="s">
        <v>273</v>
      </c>
      <c r="BI2" s="384"/>
      <c r="BJ2" s="384"/>
      <c r="BK2" s="276"/>
      <c r="BL2" s="278"/>
      <c r="BM2" s="279"/>
      <c r="BN2" s="278"/>
      <c r="BO2" s="265"/>
      <c r="BP2" s="280"/>
      <c r="BQ2" s="281" t="s">
        <v>274</v>
      </c>
      <c r="BR2" s="281" t="s">
        <v>63</v>
      </c>
      <c r="BS2" s="282" t="s">
        <v>64</v>
      </c>
      <c r="BT2" s="283">
        <v>43160</v>
      </c>
      <c r="BU2" s="282" t="s">
        <v>275</v>
      </c>
      <c r="BV2" s="281" t="s">
        <v>276</v>
      </c>
      <c r="BW2" s="265"/>
      <c r="BX2" s="273"/>
      <c r="BY2" s="284" t="s">
        <v>277</v>
      </c>
      <c r="BZ2" s="285" t="s">
        <v>278</v>
      </c>
      <c r="CA2" s="285" t="s">
        <v>278</v>
      </c>
      <c r="CB2" s="265"/>
      <c r="CC2" s="265"/>
    </row>
    <row r="3" spans="2:81" s="18" customFormat="1" ht="15">
      <c r="B3" s="29"/>
      <c r="C3" s="30"/>
      <c r="G3" s="31"/>
      <c r="H3" s="20"/>
      <c r="J3" s="24"/>
      <c r="K3" s="24"/>
      <c r="L3" s="32"/>
      <c r="M3" s="20"/>
      <c r="N3" s="386"/>
      <c r="O3" s="386"/>
      <c r="W3" s="27"/>
      <c r="BC3" s="275"/>
      <c r="BD3" s="276"/>
      <c r="BE3" s="276"/>
      <c r="BF3" s="277"/>
      <c r="BG3" s="277"/>
      <c r="BH3" s="286"/>
      <c r="BI3" s="286" t="s">
        <v>59</v>
      </c>
      <c r="BJ3" s="286"/>
      <c r="BK3" s="276"/>
      <c r="BL3" s="278"/>
      <c r="BM3" s="279" t="s">
        <v>279</v>
      </c>
      <c r="BN3" s="278"/>
      <c r="BO3" s="265"/>
      <c r="BP3" s="287"/>
      <c r="BQ3" s="287"/>
      <c r="BR3" s="288"/>
      <c r="BS3" s="287"/>
      <c r="BT3" s="287"/>
      <c r="BU3" s="287"/>
      <c r="BV3" s="287"/>
      <c r="BW3" s="265"/>
      <c r="BX3" s="273" t="s">
        <v>289</v>
      </c>
      <c r="BY3" s="289">
        <v>6.75</v>
      </c>
      <c r="BZ3" s="290">
        <v>6.9353300000000004</v>
      </c>
      <c r="CA3" s="290">
        <v>8.2994599999999998</v>
      </c>
      <c r="CB3" s="265"/>
      <c r="CC3" s="265"/>
    </row>
    <row r="4" spans="2:81" s="18" customFormat="1" ht="15.75" thickBot="1">
      <c r="B4" s="33" t="s">
        <v>79</v>
      </c>
      <c r="C4" s="34" t="s">
        <v>80</v>
      </c>
      <c r="D4" s="33" t="s">
        <v>81</v>
      </c>
      <c r="E4" s="136"/>
      <c r="F4" s="35" t="s">
        <v>82</v>
      </c>
      <c r="G4" s="36"/>
      <c r="H4" s="37"/>
      <c r="J4" s="35" t="s">
        <v>83</v>
      </c>
      <c r="K4" s="36"/>
      <c r="L4" s="38"/>
      <c r="M4" s="39"/>
      <c r="N4" s="387"/>
      <c r="O4" s="385"/>
      <c r="W4" s="27"/>
      <c r="BC4" s="291" t="s">
        <v>281</v>
      </c>
      <c r="BD4" s="292"/>
      <c r="BE4" s="292"/>
      <c r="BF4" s="293" t="s">
        <v>282</v>
      </c>
      <c r="BG4" s="293"/>
      <c r="BH4" s="294" t="s">
        <v>282</v>
      </c>
      <c r="BI4" s="294" t="s">
        <v>283</v>
      </c>
      <c r="BJ4" s="295" t="s">
        <v>83</v>
      </c>
      <c r="BK4" s="276"/>
      <c r="BL4" s="294" t="s">
        <v>195</v>
      </c>
      <c r="BM4" s="294" t="s">
        <v>284</v>
      </c>
      <c r="BN4" s="294" t="s">
        <v>285</v>
      </c>
      <c r="BO4" s="265"/>
      <c r="BP4" s="288">
        <v>1</v>
      </c>
      <c r="BQ4" s="288" t="s">
        <v>36</v>
      </c>
      <c r="BR4" s="288" t="s">
        <v>65</v>
      </c>
      <c r="BS4" s="296">
        <v>14.9</v>
      </c>
      <c r="BT4" s="297">
        <f>ROUND((BS4*CA3)+BY3,2)</f>
        <v>130.41</v>
      </c>
      <c r="BU4" s="297">
        <f>ROUND((BS4*CA5)+BY5,2)</f>
        <v>130.83000000000001</v>
      </c>
      <c r="BV4" s="297">
        <f t="shared" ref="BV4:BV15" si="0">BU4-BT4</f>
        <v>0.42000000000001592</v>
      </c>
      <c r="BW4" s="265"/>
      <c r="BX4" s="265"/>
      <c r="BY4" s="289"/>
      <c r="BZ4" s="298"/>
      <c r="CA4" s="298"/>
      <c r="CB4" s="265"/>
      <c r="CC4" s="265"/>
    </row>
    <row r="5" spans="2:81" s="18" customFormat="1" ht="15">
      <c r="B5" s="40" t="s">
        <v>84</v>
      </c>
      <c r="C5" s="126">
        <f>C19*D19*1000</f>
        <v>0</v>
      </c>
      <c r="D5" s="137">
        <v>27500000</v>
      </c>
      <c r="E5" s="136"/>
      <c r="F5" s="41" t="s">
        <v>85</v>
      </c>
      <c r="G5" s="42"/>
      <c r="H5" s="138">
        <v>0.21</v>
      </c>
      <c r="J5" s="43" t="s">
        <v>86</v>
      </c>
      <c r="L5" s="264">
        <f>C43</f>
        <v>2698757.1881210757</v>
      </c>
      <c r="M5" s="44"/>
      <c r="O5" s="125"/>
      <c r="W5" s="31"/>
      <c r="BC5" s="299" t="s">
        <v>58</v>
      </c>
      <c r="BD5" s="299" t="s">
        <v>286</v>
      </c>
      <c r="BE5" s="299" t="s">
        <v>287</v>
      </c>
      <c r="BF5" s="300">
        <v>45</v>
      </c>
      <c r="BG5" s="300"/>
      <c r="BH5" s="342">
        <v>62287423</v>
      </c>
      <c r="BI5" s="302">
        <f>2.34949+0.22671</f>
        <v>2.5762</v>
      </c>
      <c r="BJ5" s="303">
        <f>ROUND(BH5*BI5,0)</f>
        <v>160464859</v>
      </c>
      <c r="BK5" s="304"/>
      <c r="BL5" s="301">
        <f>BN5*BH5</f>
        <v>1763157.5473087484</v>
      </c>
      <c r="BM5" s="305">
        <f>BM10</f>
        <v>1.0987811018808576E-2</v>
      </c>
      <c r="BN5" s="306">
        <f>BM5*BI5</f>
        <v>2.8306798746654656E-2</v>
      </c>
      <c r="BO5" s="265"/>
      <c r="BP5" s="288">
        <f t="shared" ref="BP5:BP15" si="1">BP4+1</f>
        <v>2</v>
      </c>
      <c r="BQ5" s="287"/>
      <c r="BR5" s="288" t="s">
        <v>66</v>
      </c>
      <c r="BS5" s="296">
        <v>12.5</v>
      </c>
      <c r="BT5" s="297">
        <f>ROUND((BS5*CA3)+BY3,2)</f>
        <v>110.49</v>
      </c>
      <c r="BU5" s="297">
        <f>ROUND((BS5*CA5)+BY5,2)</f>
        <v>110.85</v>
      </c>
      <c r="BV5" s="307">
        <f t="shared" si="0"/>
        <v>0.35999999999999943</v>
      </c>
      <c r="BW5" s="265"/>
      <c r="BX5" s="13" t="s">
        <v>280</v>
      </c>
      <c r="BY5" s="289">
        <v>6.75</v>
      </c>
      <c r="BZ5" s="308">
        <f>BZ3+BN16+BN8</f>
        <v>6.9561333324800207</v>
      </c>
      <c r="CA5" s="308">
        <f>CA3+BN15+BN5</f>
        <v>8.327766798746655</v>
      </c>
      <c r="CB5" s="265"/>
      <c r="CC5" s="265"/>
    </row>
    <row r="6" spans="2:81" s="18" customFormat="1" ht="15">
      <c r="B6" s="45" t="s">
        <v>87</v>
      </c>
      <c r="C6" s="127">
        <v>0</v>
      </c>
      <c r="D6" s="127"/>
      <c r="E6" s="46"/>
      <c r="F6" s="41" t="s">
        <v>88</v>
      </c>
      <c r="G6" s="42"/>
      <c r="H6" s="139">
        <v>4.7100000000000003E-2</v>
      </c>
      <c r="I6" s="47"/>
      <c r="J6" s="48" t="s">
        <v>89</v>
      </c>
      <c r="L6" s="49"/>
      <c r="M6" s="50"/>
      <c r="N6" s="140"/>
      <c r="BC6" s="299"/>
      <c r="BD6" s="299" t="s">
        <v>288</v>
      </c>
      <c r="BE6" s="299" t="s">
        <v>292</v>
      </c>
      <c r="BF6" s="300">
        <v>45</v>
      </c>
      <c r="BG6" s="300"/>
      <c r="BH6" s="342">
        <v>17131460</v>
      </c>
      <c r="BI6" s="302">
        <f>1.34949+0.13021</f>
        <v>1.4797</v>
      </c>
      <c r="BJ6" s="303">
        <f>ROUND(BH6*BI6,0)</f>
        <v>25349421</v>
      </c>
      <c r="BK6" s="309"/>
      <c r="BL6" s="301">
        <f>BN6*BH6</f>
        <v>278534.65136180515</v>
      </c>
      <c r="BM6" s="305">
        <f>BM10</f>
        <v>1.0987811018808576E-2</v>
      </c>
      <c r="BN6" s="306">
        <f>BM6*BI6</f>
        <v>1.6258663964531052E-2</v>
      </c>
      <c r="BO6" s="265"/>
      <c r="BP6" s="288">
        <f t="shared" si="1"/>
        <v>3</v>
      </c>
      <c r="BQ6" s="287"/>
      <c r="BR6" s="288" t="s">
        <v>67</v>
      </c>
      <c r="BS6" s="296">
        <v>10.1</v>
      </c>
      <c r="BT6" s="297">
        <f>ROUND((BS6*CA3)+BY3,2)</f>
        <v>90.57</v>
      </c>
      <c r="BU6" s="297">
        <f>ROUND((BS6*CA5)+BY5,2)</f>
        <v>90.86</v>
      </c>
      <c r="BV6" s="307">
        <f t="shared" si="0"/>
        <v>0.29000000000000625</v>
      </c>
      <c r="BW6" s="265"/>
      <c r="BX6" s="265"/>
      <c r="BY6" s="289"/>
      <c r="BZ6" s="298"/>
      <c r="CA6" s="298"/>
      <c r="CB6" s="265"/>
      <c r="CC6" s="265"/>
    </row>
    <row r="7" spans="2:81" s="18" customFormat="1" ht="15">
      <c r="B7" s="51" t="s">
        <v>90</v>
      </c>
      <c r="C7" s="128"/>
      <c r="D7" s="141"/>
      <c r="E7" s="17"/>
      <c r="F7" s="52" t="s">
        <v>91</v>
      </c>
      <c r="G7" s="42"/>
      <c r="H7" s="53">
        <f>ROUND(H5-(H5*H6)+H6,4)</f>
        <v>0.2472</v>
      </c>
      <c r="I7" s="54"/>
      <c r="J7" s="48" t="s">
        <v>92</v>
      </c>
      <c r="L7" s="49">
        <v>0</v>
      </c>
      <c r="M7" s="50"/>
      <c r="BC7" s="310"/>
      <c r="BD7" s="299"/>
      <c r="BE7" s="299"/>
      <c r="BF7" s="311"/>
      <c r="BG7" s="311"/>
      <c r="BH7" s="342"/>
      <c r="BI7" s="302"/>
      <c r="BJ7" s="303"/>
      <c r="BK7" s="309"/>
      <c r="BL7" s="301"/>
      <c r="BM7" s="302"/>
      <c r="BN7" s="303"/>
      <c r="BO7" s="265"/>
      <c r="BP7" s="288">
        <f t="shared" si="1"/>
        <v>4</v>
      </c>
      <c r="BQ7" s="287"/>
      <c r="BR7" s="288" t="s">
        <v>68</v>
      </c>
      <c r="BS7" s="296">
        <v>8.3000000000000007</v>
      </c>
      <c r="BT7" s="297">
        <f>ROUND((BS7*BZ3)+BY3,2)</f>
        <v>64.31</v>
      </c>
      <c r="BU7" s="297">
        <f>ROUND((BS7*BZ5)+BY5,2)</f>
        <v>64.489999999999995</v>
      </c>
      <c r="BV7" s="307">
        <f t="shared" si="0"/>
        <v>0.17999999999999261</v>
      </c>
      <c r="BW7" s="265"/>
      <c r="BX7" s="265"/>
      <c r="BY7" s="265"/>
      <c r="BZ7" s="265"/>
      <c r="CA7" s="265"/>
      <c r="CB7" s="265"/>
      <c r="CC7" s="265"/>
    </row>
    <row r="8" spans="2:81" s="18" customFormat="1" ht="15">
      <c r="B8" s="55" t="s">
        <v>93</v>
      </c>
      <c r="C8" s="56"/>
      <c r="D8" s="57"/>
      <c r="F8" s="58" t="s">
        <v>94</v>
      </c>
      <c r="G8" s="59"/>
      <c r="H8" s="60">
        <f>C215/(1-C215)</f>
        <v>0.32839171614925811</v>
      </c>
      <c r="I8" s="54"/>
      <c r="J8" s="41" t="s">
        <v>95</v>
      </c>
      <c r="K8" s="61"/>
      <c r="L8" s="62">
        <v>350</v>
      </c>
      <c r="M8" s="50"/>
      <c r="BC8" s="312" t="s">
        <v>57</v>
      </c>
      <c r="BD8" s="299" t="s">
        <v>286</v>
      </c>
      <c r="BE8" s="299" t="str">
        <f>BE5</f>
        <v>First</v>
      </c>
      <c r="BF8" s="311">
        <f>BF5</f>
        <v>45</v>
      </c>
      <c r="BG8" s="311"/>
      <c r="BH8" s="342">
        <v>25808736</v>
      </c>
      <c r="BI8" s="302">
        <f>1.7267+0.16661</f>
        <v>1.8933099999999998</v>
      </c>
      <c r="BJ8" s="301">
        <f>ROUND(BH8*BI8,0)</f>
        <v>48863938</v>
      </c>
      <c r="BK8" s="309"/>
      <c r="BL8" s="301">
        <f>BN8*BH8</f>
        <v>536907.7158970735</v>
      </c>
      <c r="BM8" s="305">
        <f>BM10</f>
        <v>1.0987811018808576E-2</v>
      </c>
      <c r="BN8" s="306">
        <f>BM8*BI8</f>
        <v>2.0803332480020465E-2</v>
      </c>
      <c r="BO8" s="265"/>
      <c r="BP8" s="288">
        <f t="shared" si="1"/>
        <v>5</v>
      </c>
      <c r="BQ8" s="287"/>
      <c r="BR8" s="288" t="s">
        <v>69</v>
      </c>
      <c r="BS8" s="296">
        <v>4.4000000000000004</v>
      </c>
      <c r="BT8" s="297">
        <f>ROUND((BS8*BZ3)+BY3,2)</f>
        <v>37.270000000000003</v>
      </c>
      <c r="BU8" s="297">
        <f>ROUND((BS8*BZ5)+BY5,2)</f>
        <v>37.36</v>
      </c>
      <c r="BV8" s="307">
        <f t="shared" si="0"/>
        <v>8.9999999999996305E-2</v>
      </c>
      <c r="BW8" s="265"/>
      <c r="BX8" s="265"/>
      <c r="BY8" s="265"/>
      <c r="BZ8" s="265"/>
      <c r="CA8" s="265"/>
      <c r="CB8" s="265"/>
      <c r="CC8" s="265"/>
    </row>
    <row r="9" spans="2:81" s="18" customFormat="1" ht="15">
      <c r="B9" s="63" t="s">
        <v>96</v>
      </c>
      <c r="C9" s="142"/>
      <c r="D9" s="64">
        <f>+D5+D6</f>
        <v>27500000</v>
      </c>
      <c r="F9" s="65" t="s">
        <v>97</v>
      </c>
      <c r="G9" s="66"/>
      <c r="H9" s="67">
        <v>20</v>
      </c>
      <c r="J9" s="68" t="s">
        <v>98</v>
      </c>
      <c r="K9" s="61"/>
      <c r="L9" s="69">
        <v>12</v>
      </c>
      <c r="M9" s="70"/>
      <c r="BC9" s="312"/>
      <c r="BD9" s="299" t="s">
        <v>288</v>
      </c>
      <c r="BE9" s="299" t="str">
        <f>BE6</f>
        <v>Over</v>
      </c>
      <c r="BF9" s="311">
        <v>45</v>
      </c>
      <c r="BG9" s="311"/>
      <c r="BH9" s="342">
        <v>4737192</v>
      </c>
      <c r="BI9" s="302">
        <f>0.7267+0.07012</f>
        <v>0.79681999999999997</v>
      </c>
      <c r="BJ9" s="301">
        <f>ROUND(BH9*BI9,0)</f>
        <v>3774689</v>
      </c>
      <c r="BK9" s="309"/>
      <c r="BL9" s="301">
        <f>BN9*BH9</f>
        <v>41475.573006599989</v>
      </c>
      <c r="BM9" s="305">
        <f>BM10</f>
        <v>1.0987811018808576E-2</v>
      </c>
      <c r="BN9" s="306">
        <f>BM9*BI9</f>
        <v>8.7553075760070497E-3</v>
      </c>
      <c r="BO9" s="265"/>
      <c r="BP9" s="288">
        <f t="shared" si="1"/>
        <v>6</v>
      </c>
      <c r="BQ9" s="287"/>
      <c r="BR9" s="288" t="s">
        <v>70</v>
      </c>
      <c r="BS9" s="296">
        <v>3.1</v>
      </c>
      <c r="BT9" s="297">
        <f>ROUND((BS9*BZ3)+BY3,2)</f>
        <v>28.25</v>
      </c>
      <c r="BU9" s="297">
        <f>ROUND((BS9*BZ5)+BY5,2)</f>
        <v>28.31</v>
      </c>
      <c r="BV9" s="307">
        <f t="shared" si="0"/>
        <v>5.9999999999998721E-2</v>
      </c>
      <c r="BW9" s="265"/>
      <c r="BX9" s="265"/>
      <c r="BY9" s="265"/>
      <c r="BZ9" s="265"/>
      <c r="CA9" s="265"/>
      <c r="CB9" s="265"/>
      <c r="CC9" s="265"/>
    </row>
    <row r="10" spans="2:81" s="18" customFormat="1" ht="15.75" thickBot="1">
      <c r="B10" s="71" t="s">
        <v>99</v>
      </c>
      <c r="C10" s="50"/>
      <c r="D10" s="143">
        <v>2.5000000000000001E-2</v>
      </c>
      <c r="E10" s="72"/>
      <c r="F10" s="73" t="s">
        <v>100</v>
      </c>
      <c r="G10" s="129" t="s">
        <v>101</v>
      </c>
      <c r="H10" s="74">
        <v>0.5</v>
      </c>
      <c r="J10" s="75" t="s">
        <v>102</v>
      </c>
      <c r="K10" s="76" t="s">
        <v>103</v>
      </c>
      <c r="L10" s="77" t="s">
        <v>104</v>
      </c>
      <c r="M10" s="61"/>
      <c r="O10" s="72"/>
      <c r="BC10" s="313" t="s">
        <v>290</v>
      </c>
      <c r="BD10" s="314"/>
      <c r="BE10" s="299"/>
      <c r="BF10" s="311"/>
      <c r="BG10" s="311"/>
      <c r="BH10" s="315">
        <f>SUM(BH8:BH9,BH5:BH6)</f>
        <v>109964811</v>
      </c>
      <c r="BI10" s="316"/>
      <c r="BJ10" s="315">
        <f>SUM(BJ5:BJ9)</f>
        <v>238452907</v>
      </c>
      <c r="BK10" s="317"/>
      <c r="BL10" s="267">
        <v>2620075.4790015365</v>
      </c>
      <c r="BM10" s="318">
        <f>BL10/BJ10</f>
        <v>1.0987811018808576E-2</v>
      </c>
      <c r="BN10" s="315"/>
      <c r="BO10" s="265"/>
      <c r="BP10" s="288">
        <f t="shared" si="1"/>
        <v>7</v>
      </c>
      <c r="BQ10" s="287"/>
      <c r="BR10" s="288" t="s">
        <v>71</v>
      </c>
      <c r="BS10" s="296">
        <v>2</v>
      </c>
      <c r="BT10" s="297">
        <f>ROUND((BS10*BZ3)+BY3,2)</f>
        <v>20.62</v>
      </c>
      <c r="BU10" s="297">
        <f>ROUND((BS10*BZ5)+BY5,2)</f>
        <v>20.66</v>
      </c>
      <c r="BV10" s="307">
        <f t="shared" si="0"/>
        <v>3.9999999999999147E-2</v>
      </c>
      <c r="BW10" s="265"/>
      <c r="BX10" s="265"/>
      <c r="BY10" s="265"/>
      <c r="BZ10" s="265"/>
      <c r="CA10" s="265"/>
      <c r="CB10" s="265"/>
      <c r="CC10" s="265"/>
    </row>
    <row r="11" spans="2:81" s="18" customFormat="1" ht="15.75" thickTop="1">
      <c r="B11" s="78" t="s">
        <v>105</v>
      </c>
      <c r="C11" s="144"/>
      <c r="D11" s="79">
        <f>1/D10</f>
        <v>40</v>
      </c>
      <c r="F11" s="80" t="s">
        <v>106</v>
      </c>
      <c r="G11" s="81"/>
      <c r="H11" s="34"/>
      <c r="J11" s="82" t="s">
        <v>107</v>
      </c>
      <c r="K11" s="131">
        <v>0</v>
      </c>
      <c r="L11" s="132">
        <v>0</v>
      </c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88">
        <f t="shared" si="1"/>
        <v>8</v>
      </c>
      <c r="BQ11" s="287"/>
      <c r="BR11" s="288" t="s">
        <v>72</v>
      </c>
      <c r="BS11" s="296">
        <v>1.8</v>
      </c>
      <c r="BT11" s="297">
        <f>ROUND((BS11*BZ3)+BY3,2)</f>
        <v>19.23</v>
      </c>
      <c r="BU11" s="297">
        <f>ROUND((BS11*BZ5)+BY5,2)</f>
        <v>19.27</v>
      </c>
      <c r="BV11" s="307">
        <f t="shared" si="0"/>
        <v>3.9999999999999147E-2</v>
      </c>
      <c r="BW11" s="265"/>
      <c r="BX11" s="265"/>
      <c r="BY11" s="265"/>
      <c r="BZ11" s="265"/>
      <c r="CA11" s="265"/>
      <c r="CB11" s="265"/>
      <c r="CC11" s="265"/>
    </row>
    <row r="12" spans="2:81" s="18" customFormat="1" ht="15">
      <c r="B12" s="83" t="s">
        <v>140</v>
      </c>
      <c r="C12" s="145">
        <f>+'Working Gas'!$Z$9*0</f>
        <v>0</v>
      </c>
      <c r="D12" s="257">
        <f>+C12*C13</f>
        <v>0</v>
      </c>
      <c r="E12" s="84"/>
      <c r="F12" s="41" t="s">
        <v>108</v>
      </c>
      <c r="G12" s="69"/>
      <c r="H12" s="138">
        <v>1</v>
      </c>
      <c r="J12" s="68"/>
      <c r="K12" s="146"/>
      <c r="L12" s="147"/>
      <c r="N12" s="84"/>
      <c r="O12" s="148"/>
      <c r="BC12" s="275"/>
      <c r="BD12" s="276"/>
      <c r="BE12" s="276"/>
      <c r="BF12" s="277"/>
      <c r="BG12" s="277"/>
      <c r="BH12" s="384" t="s">
        <v>273</v>
      </c>
      <c r="BI12" s="384"/>
      <c r="BJ12" s="384"/>
      <c r="BK12" s="276"/>
      <c r="BL12" s="278"/>
      <c r="BM12" s="279"/>
      <c r="BN12" s="278"/>
      <c r="BO12" s="265"/>
      <c r="BP12" s="288">
        <f t="shared" si="1"/>
        <v>9</v>
      </c>
      <c r="BQ12" s="287"/>
      <c r="BR12" s="288" t="s">
        <v>73</v>
      </c>
      <c r="BS12" s="296">
        <v>2</v>
      </c>
      <c r="BT12" s="297">
        <f>ROUND((BS12*BZ3)+BY3,2)</f>
        <v>20.62</v>
      </c>
      <c r="BU12" s="297">
        <f>ROUND((BS12*BZ5)+BY5,2)</f>
        <v>20.66</v>
      </c>
      <c r="BV12" s="307">
        <f t="shared" si="0"/>
        <v>3.9999999999999147E-2</v>
      </c>
      <c r="BW12" s="265"/>
      <c r="BX12" s="265"/>
      <c r="BY12" s="265"/>
      <c r="BZ12" s="265"/>
      <c r="CA12" s="265"/>
      <c r="CB12" s="265"/>
      <c r="CC12" s="265"/>
    </row>
    <row r="13" spans="2:81" s="18" customFormat="1" ht="15">
      <c r="B13" s="78" t="s">
        <v>141</v>
      </c>
      <c r="C13" s="149">
        <v>4</v>
      </c>
      <c r="D13" s="150"/>
      <c r="E13" s="85"/>
      <c r="F13" s="41" t="s">
        <v>109</v>
      </c>
      <c r="G13" s="69"/>
      <c r="H13" s="139">
        <v>1.2E-2</v>
      </c>
      <c r="J13" s="86" t="s">
        <v>110</v>
      </c>
      <c r="K13" s="86" t="s">
        <v>111</v>
      </c>
      <c r="L13" s="86" t="s">
        <v>112</v>
      </c>
      <c r="M13" s="86" t="s">
        <v>113</v>
      </c>
      <c r="O13" s="151"/>
      <c r="BC13" s="275"/>
      <c r="BD13" s="276"/>
      <c r="BE13" s="276"/>
      <c r="BF13" s="277"/>
      <c r="BG13" s="277"/>
      <c r="BH13" s="286"/>
      <c r="BI13" s="286" t="s">
        <v>60</v>
      </c>
      <c r="BJ13" s="286"/>
      <c r="BK13" s="276"/>
      <c r="BL13" s="278"/>
      <c r="BM13" s="279" t="s">
        <v>279</v>
      </c>
      <c r="BN13" s="278"/>
      <c r="BO13" s="265"/>
      <c r="BP13" s="288">
        <f t="shared" si="1"/>
        <v>10</v>
      </c>
      <c r="BQ13" s="287"/>
      <c r="BR13" s="288" t="s">
        <v>74</v>
      </c>
      <c r="BS13" s="296">
        <v>3.1</v>
      </c>
      <c r="BT13" s="297">
        <f>ROUND((BS13*BZ3)+BY3,2)</f>
        <v>28.25</v>
      </c>
      <c r="BU13" s="297">
        <f>ROUND((BS13*BZ5)+BY5,2)</f>
        <v>28.31</v>
      </c>
      <c r="BV13" s="307">
        <f t="shared" si="0"/>
        <v>5.9999999999998721E-2</v>
      </c>
      <c r="BW13" s="265"/>
      <c r="BX13" s="265"/>
      <c r="BY13" s="265"/>
      <c r="BZ13" s="265"/>
      <c r="CA13" s="265"/>
      <c r="CB13" s="265"/>
      <c r="CC13" s="265"/>
    </row>
    <row r="14" spans="2:81" s="18" customFormat="1" ht="15.75" thickBot="1">
      <c r="B14" s="87" t="s">
        <v>114</v>
      </c>
      <c r="C14" s="88">
        <f>+D8</f>
        <v>0</v>
      </c>
      <c r="D14" s="88">
        <f>C219</f>
        <v>0</v>
      </c>
      <c r="F14" s="58" t="s">
        <v>115</v>
      </c>
      <c r="G14" s="59"/>
      <c r="H14" s="152">
        <v>0</v>
      </c>
      <c r="J14" s="89" t="s">
        <v>116</v>
      </c>
      <c r="K14" s="89" t="s">
        <v>112</v>
      </c>
      <c r="L14" s="89" t="s">
        <v>117</v>
      </c>
      <c r="M14" s="89" t="s">
        <v>112</v>
      </c>
      <c r="N14" s="84"/>
      <c r="O14" s="151"/>
      <c r="BC14" s="291" t="s">
        <v>281</v>
      </c>
      <c r="BD14" s="292"/>
      <c r="BE14" s="292"/>
      <c r="BF14" s="293" t="s">
        <v>282</v>
      </c>
      <c r="BG14" s="293"/>
      <c r="BH14" s="294" t="s">
        <v>282</v>
      </c>
      <c r="BI14" s="294" t="s">
        <v>283</v>
      </c>
      <c r="BJ14" s="295" t="s">
        <v>83</v>
      </c>
      <c r="BK14" s="276"/>
      <c r="BL14" s="294" t="s">
        <v>195</v>
      </c>
      <c r="BM14" s="294" t="s">
        <v>284</v>
      </c>
      <c r="BN14" s="294" t="s">
        <v>285</v>
      </c>
      <c r="BO14" s="265"/>
      <c r="BP14" s="288">
        <f t="shared" si="1"/>
        <v>11</v>
      </c>
      <c r="BQ14" s="287"/>
      <c r="BR14" s="288" t="s">
        <v>75</v>
      </c>
      <c r="BS14" s="296">
        <v>6.3</v>
      </c>
      <c r="BT14" s="297">
        <f>ROUND((BS14*CA3)+BY3,2)</f>
        <v>59.04</v>
      </c>
      <c r="BU14" s="297">
        <f>ROUND((BS14*CA5)+BY5,2)</f>
        <v>59.21</v>
      </c>
      <c r="BV14" s="307">
        <f t="shared" si="0"/>
        <v>0.17000000000000171</v>
      </c>
      <c r="BW14" s="265"/>
      <c r="BX14" s="265"/>
      <c r="BY14" s="265"/>
      <c r="BZ14" s="265"/>
      <c r="CA14" s="265"/>
      <c r="CB14" s="265"/>
      <c r="CC14" s="265"/>
    </row>
    <row r="15" spans="2:81" s="18" customFormat="1" ht="15">
      <c r="B15" s="35" t="s">
        <v>118</v>
      </c>
      <c r="C15" s="35"/>
      <c r="D15" s="262"/>
      <c r="E15" s="90"/>
      <c r="F15" s="91" t="s">
        <v>119</v>
      </c>
      <c r="G15" s="92"/>
      <c r="H15" s="93">
        <f>H16</f>
        <v>30</v>
      </c>
      <c r="J15" s="83" t="s">
        <v>120</v>
      </c>
      <c r="K15" s="153">
        <v>9.8500000000000004E-2</v>
      </c>
      <c r="L15" s="153">
        <v>0.52066570799982248</v>
      </c>
      <c r="M15" s="94">
        <f>K15*L15</f>
        <v>5.1285572237982517E-2</v>
      </c>
      <c r="N15" s="154"/>
      <c r="O15" s="84"/>
      <c r="BC15" s="265" t="s">
        <v>58</v>
      </c>
      <c r="BD15" s="265"/>
      <c r="BE15" s="265"/>
      <c r="BF15" s="265" t="s">
        <v>291</v>
      </c>
      <c r="BG15" s="265"/>
      <c r="BH15" s="319">
        <f>+BH5+BH6</f>
        <v>79418883</v>
      </c>
      <c r="BI15" s="320">
        <v>1.2336800000000001</v>
      </c>
      <c r="BJ15" s="321">
        <f>+BH15*BI15</f>
        <v>97977487.579440013</v>
      </c>
      <c r="BK15" s="321"/>
      <c r="BL15" s="321">
        <f>+BN15*BH15</f>
        <v>0</v>
      </c>
      <c r="BM15" s="322">
        <f>+BM17</f>
        <v>0</v>
      </c>
      <c r="BN15" s="323">
        <f>+BI15*BM15</f>
        <v>0</v>
      </c>
      <c r="BO15" s="320"/>
      <c r="BP15" s="288">
        <f t="shared" si="1"/>
        <v>12</v>
      </c>
      <c r="BQ15" s="287"/>
      <c r="BR15" s="288" t="s">
        <v>76</v>
      </c>
      <c r="BS15" s="296">
        <v>11.5</v>
      </c>
      <c r="BT15" s="297">
        <f>ROUND((BS15*CA3)+BY3,2)</f>
        <v>102.19</v>
      </c>
      <c r="BU15" s="297">
        <f>ROUND((BS15*CA5)+BY5,2)</f>
        <v>102.52</v>
      </c>
      <c r="BV15" s="307">
        <f t="shared" si="0"/>
        <v>0.32999999999999829</v>
      </c>
      <c r="BW15" s="265"/>
      <c r="BX15" s="265"/>
      <c r="BY15" s="265"/>
      <c r="BZ15" s="265"/>
      <c r="CA15" s="265"/>
      <c r="CB15" s="265"/>
      <c r="CC15" s="265"/>
    </row>
    <row r="16" spans="2:81" s="18" customFormat="1" ht="15.75" thickBot="1">
      <c r="B16" s="52" t="s">
        <v>121</v>
      </c>
      <c r="C16" s="95"/>
      <c r="D16" s="96">
        <f>C5+C7</f>
        <v>0</v>
      </c>
      <c r="E16" s="20"/>
      <c r="F16" s="97" t="s">
        <v>122</v>
      </c>
      <c r="G16" s="98"/>
      <c r="H16" s="130">
        <v>30</v>
      </c>
      <c r="J16" s="78" t="s">
        <v>123</v>
      </c>
      <c r="K16" s="152">
        <v>5.2455893909448444E-2</v>
      </c>
      <c r="L16" s="152">
        <f>1-L15</f>
        <v>0.47933429200017752</v>
      </c>
      <c r="M16" s="99">
        <f>K16*L16</f>
        <v>2.5143908768321895E-2</v>
      </c>
      <c r="N16" s="151"/>
      <c r="BC16" s="265" t="s">
        <v>57</v>
      </c>
      <c r="BD16" s="265"/>
      <c r="BE16" s="265"/>
      <c r="BF16" s="265" t="s">
        <v>291</v>
      </c>
      <c r="BG16" s="265"/>
      <c r="BH16" s="319">
        <f>+BH8+BH9</f>
        <v>30545928</v>
      </c>
      <c r="BI16" s="320">
        <v>0.57923000000000002</v>
      </c>
      <c r="BJ16" s="321">
        <f>+BH16*BI16</f>
        <v>17693117.875440001</v>
      </c>
      <c r="BK16" s="320"/>
      <c r="BL16" s="321">
        <f>+BN16*BH16</f>
        <v>0</v>
      </c>
      <c r="BM16" s="322">
        <f>+BM17</f>
        <v>0</v>
      </c>
      <c r="BN16" s="323">
        <f>+BI16*BM16</f>
        <v>0</v>
      </c>
      <c r="BO16" s="320"/>
      <c r="BP16" s="288"/>
      <c r="BQ16" s="287"/>
      <c r="BR16" s="288"/>
      <c r="BS16" s="324"/>
      <c r="BT16" s="325"/>
      <c r="BU16" s="325"/>
      <c r="BV16" s="326"/>
      <c r="BW16" s="265"/>
      <c r="BX16" s="265"/>
      <c r="BY16" s="265"/>
      <c r="BZ16" s="265"/>
      <c r="CA16" s="265"/>
      <c r="CB16" s="265"/>
      <c r="CC16" s="265"/>
    </row>
    <row r="17" spans="1:81" ht="16.5" thickTop="1" thickBot="1">
      <c r="B17" s="41" t="s">
        <v>124</v>
      </c>
      <c r="C17" s="50"/>
      <c r="D17" s="143">
        <v>0.02</v>
      </c>
      <c r="E17" s="20"/>
      <c r="F17" s="100" t="s">
        <v>125</v>
      </c>
      <c r="G17" s="92"/>
      <c r="H17" s="101" t="s">
        <v>126</v>
      </c>
      <c r="I17" s="47"/>
      <c r="J17" s="102" t="s">
        <v>127</v>
      </c>
      <c r="K17" s="103"/>
      <c r="L17" s="104"/>
      <c r="M17" s="94">
        <f>M15+M16</f>
        <v>7.6429481006304409E-2</v>
      </c>
      <c r="N17" s="155"/>
      <c r="BC17" s="265"/>
      <c r="BD17" s="265"/>
      <c r="BE17" s="265"/>
      <c r="BF17" s="265"/>
      <c r="BG17" s="265"/>
      <c r="BH17" s="315">
        <f>SUM(BH15:BH16)</f>
        <v>109964811</v>
      </c>
      <c r="BI17" s="316"/>
      <c r="BJ17" s="315">
        <f>SUM(BJ15:BJ16)</f>
        <v>115670605.45488001</v>
      </c>
      <c r="BK17" s="320"/>
      <c r="BL17" s="334">
        <v>0</v>
      </c>
      <c r="BM17" s="327">
        <f>+BL17/BJ17</f>
        <v>0</v>
      </c>
      <c r="BN17" s="315"/>
      <c r="BO17" s="320"/>
      <c r="BP17" s="288"/>
      <c r="BQ17" s="287"/>
      <c r="BR17" s="288"/>
      <c r="BS17" s="328"/>
      <c r="BT17" s="329"/>
      <c r="BU17" s="288"/>
      <c r="BV17" s="329" t="s">
        <v>269</v>
      </c>
      <c r="BW17" s="265"/>
      <c r="BX17" s="265"/>
      <c r="BY17" s="265"/>
      <c r="BZ17" s="265"/>
      <c r="CA17" s="265"/>
      <c r="CB17" s="265"/>
      <c r="CC17" s="265"/>
    </row>
    <row r="18" spans="1:81" ht="15.75" thickTop="1">
      <c r="B18" s="105" t="s">
        <v>128</v>
      </c>
      <c r="C18" s="156"/>
      <c r="D18" s="150">
        <f>39652833/(11547824+125886273-39652833)</f>
        <v>0.40552587865912637</v>
      </c>
      <c r="E18" s="20"/>
      <c r="F18" s="106" t="s">
        <v>129</v>
      </c>
      <c r="G18" s="92"/>
      <c r="H18" s="107">
        <f>D39</f>
        <v>3541799.3475781688</v>
      </c>
      <c r="I18" s="72"/>
      <c r="J18" s="108" t="s">
        <v>130</v>
      </c>
      <c r="K18" s="109"/>
      <c r="L18" s="110"/>
      <c r="M18" s="99">
        <f>(1+H8)*M15+M16</f>
        <v>9.3271238087232242E-2</v>
      </c>
      <c r="N18" s="157"/>
      <c r="O18" s="158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88">
        <f>BP15+1</f>
        <v>13</v>
      </c>
      <c r="BQ18" s="287"/>
      <c r="BR18" s="330" t="s">
        <v>37</v>
      </c>
      <c r="BS18" s="331">
        <f>SUM(BS4:BS17)</f>
        <v>80</v>
      </c>
      <c r="BT18" s="297">
        <f>SUM(BT4:BT15)</f>
        <v>711.25</v>
      </c>
      <c r="BU18" s="297">
        <f>SUM(BU4:BU15)</f>
        <v>713.33</v>
      </c>
      <c r="BV18" s="297">
        <f>SUM(BV4:BV15)</f>
        <v>2.0800000000000054</v>
      </c>
      <c r="BW18" s="265"/>
      <c r="BX18" s="265"/>
      <c r="BY18" s="265"/>
      <c r="BZ18" s="265"/>
      <c r="CA18" s="265"/>
      <c r="CB18" s="265"/>
      <c r="CC18" s="265"/>
    </row>
    <row r="19" spans="1:81" ht="15">
      <c r="B19" s="111" t="s">
        <v>131</v>
      </c>
      <c r="C19" s="159"/>
      <c r="D19" s="263">
        <f>(12729949+8535404)/(17670+1705)</f>
        <v>1097.5666064516129</v>
      </c>
      <c r="E19" s="20"/>
      <c r="F19" s="112" t="s">
        <v>132</v>
      </c>
      <c r="G19" s="92"/>
      <c r="H19" s="113" t="s">
        <v>126</v>
      </c>
      <c r="I19" s="114"/>
      <c r="J19" s="115" t="s">
        <v>133</v>
      </c>
      <c r="K19" s="116"/>
      <c r="L19" s="92"/>
      <c r="M19" s="99">
        <f>IF(L15=1,0.1,M17)</f>
        <v>7.6429481006304409E-2</v>
      </c>
      <c r="N19" s="157"/>
      <c r="O19" s="158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87"/>
      <c r="BQ19" s="287"/>
      <c r="BR19" s="288"/>
      <c r="BS19" s="287"/>
      <c r="BT19" s="332"/>
      <c r="BU19" s="287"/>
      <c r="BV19" s="287"/>
      <c r="BW19" s="265"/>
      <c r="BX19" s="265"/>
      <c r="BY19" s="265"/>
      <c r="BZ19" s="265"/>
      <c r="CA19" s="265"/>
      <c r="CB19" s="265"/>
      <c r="CC19" s="265"/>
    </row>
    <row r="20" spans="1:81" ht="15">
      <c r="B20" s="111" t="s">
        <v>134</v>
      </c>
      <c r="C20" s="111">
        <v>0</v>
      </c>
      <c r="D20" s="117"/>
      <c r="E20" s="90"/>
      <c r="F20" s="65" t="s">
        <v>135</v>
      </c>
      <c r="G20" s="118"/>
      <c r="H20" s="120">
        <v>420.25</v>
      </c>
      <c r="I20" s="90"/>
      <c r="J20"/>
      <c r="K20"/>
      <c r="L20"/>
      <c r="M20"/>
      <c r="N20" s="160"/>
      <c r="O20" s="20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87"/>
      <c r="BQ20" s="287" t="s">
        <v>269</v>
      </c>
      <c r="BR20" s="288"/>
      <c r="BS20" s="287"/>
      <c r="BT20" s="287"/>
      <c r="BU20" s="333" t="s">
        <v>77</v>
      </c>
      <c r="BV20" s="335">
        <f>ROUND(BV18/BT18,4)</f>
        <v>2.8999999999999998E-3</v>
      </c>
      <c r="BW20" s="265"/>
      <c r="BX20" s="265"/>
      <c r="BY20" s="265"/>
      <c r="BZ20" s="265"/>
      <c r="CA20" s="265"/>
      <c r="CB20" s="265"/>
      <c r="CC20" s="265"/>
    </row>
    <row r="21" spans="1:81" ht="15">
      <c r="B21" s="111"/>
      <c r="C21" s="119"/>
      <c r="D21" s="111"/>
      <c r="E21" s="90"/>
      <c r="F21" s="65" t="s">
        <v>136</v>
      </c>
      <c r="G21" s="118"/>
      <c r="H21" s="120">
        <v>0</v>
      </c>
      <c r="I21" s="90"/>
      <c r="J21"/>
      <c r="K21"/>
      <c r="L21"/>
      <c r="M21"/>
      <c r="N21" s="160"/>
      <c r="O21" s="20"/>
    </row>
    <row r="22" spans="1:81" ht="15">
      <c r="B22" s="55" t="s">
        <v>137</v>
      </c>
      <c r="C22" s="121"/>
      <c r="D22" s="122"/>
      <c r="E22" s="90"/>
      <c r="F22" s="61"/>
      <c r="G22" s="61"/>
      <c r="H22" s="123"/>
      <c r="I22" s="90"/>
      <c r="J22"/>
      <c r="K22"/>
      <c r="L22"/>
      <c r="M22"/>
      <c r="N22" s="160"/>
      <c r="O22" s="20"/>
    </row>
    <row r="23" spans="1:81" ht="15">
      <c r="E23" s="90"/>
      <c r="F23" s="61"/>
      <c r="G23" s="61"/>
      <c r="H23" s="123"/>
      <c r="I23" s="90"/>
      <c r="J23"/>
      <c r="K23"/>
      <c r="L23"/>
      <c r="M23"/>
      <c r="N23" s="160"/>
      <c r="O23" s="20"/>
    </row>
    <row r="24" spans="1:81" ht="15">
      <c r="C24" s="125"/>
      <c r="D24" s="258"/>
      <c r="E24" s="90"/>
      <c r="F24" s="61"/>
      <c r="G24" s="61"/>
      <c r="H24" s="123"/>
      <c r="I24" s="90"/>
      <c r="J24"/>
      <c r="K24"/>
      <c r="L24"/>
      <c r="M24"/>
      <c r="N24" s="160"/>
      <c r="O24" s="20"/>
    </row>
    <row r="25" spans="1:81">
      <c r="B25" s="161"/>
      <c r="C25" s="162"/>
      <c r="D25" s="259"/>
      <c r="E25" s="90"/>
      <c r="F25" s="61"/>
      <c r="G25" s="61"/>
      <c r="H25" s="123"/>
      <c r="I25" s="90"/>
      <c r="J25" s="163"/>
      <c r="K25" s="163"/>
      <c r="L25" s="163"/>
      <c r="M25" s="164"/>
      <c r="N25" s="160"/>
      <c r="O25" s="20"/>
    </row>
    <row r="26" spans="1:81">
      <c r="D26" s="85"/>
      <c r="H26" s="27"/>
      <c r="W26" s="27"/>
    </row>
    <row r="27" spans="1:81">
      <c r="H27" s="136"/>
      <c r="W27" s="31"/>
    </row>
    <row r="28" spans="1:81">
      <c r="B28" s="61"/>
      <c r="C28" s="61"/>
      <c r="H28" s="31"/>
    </row>
    <row r="29" spans="1:81">
      <c r="B29" s="24" t="s">
        <v>145</v>
      </c>
      <c r="C29" s="24"/>
      <c r="P29" s="24" t="s">
        <v>146</v>
      </c>
      <c r="AY29" s="18" t="s">
        <v>147</v>
      </c>
      <c r="AZ29" s="18" t="s">
        <v>148</v>
      </c>
      <c r="BA29" s="18" t="s">
        <v>149</v>
      </c>
    </row>
    <row r="30" spans="1:81" s="172" customFormat="1">
      <c r="A30" s="171" t="s">
        <v>142</v>
      </c>
      <c r="B30" s="166" t="s">
        <v>143</v>
      </c>
      <c r="C30" s="166"/>
      <c r="D30" s="166">
        <v>1</v>
      </c>
      <c r="E30" s="166">
        <f>D30+1</f>
        <v>2</v>
      </c>
      <c r="F30" s="166">
        <f t="shared" ref="F30:AU30" si="2">E30+1</f>
        <v>3</v>
      </c>
      <c r="G30" s="166">
        <f t="shared" si="2"/>
        <v>4</v>
      </c>
      <c r="H30" s="166">
        <f t="shared" si="2"/>
        <v>5</v>
      </c>
      <c r="I30" s="166">
        <f t="shared" si="2"/>
        <v>6</v>
      </c>
      <c r="J30" s="166">
        <f t="shared" si="2"/>
        <v>7</v>
      </c>
      <c r="K30" s="166">
        <f t="shared" si="2"/>
        <v>8</v>
      </c>
      <c r="L30" s="166">
        <f t="shared" si="2"/>
        <v>9</v>
      </c>
      <c r="M30" s="166">
        <f t="shared" si="2"/>
        <v>10</v>
      </c>
      <c r="N30" s="166">
        <f t="shared" si="2"/>
        <v>11</v>
      </c>
      <c r="O30" s="166">
        <f t="shared" si="2"/>
        <v>12</v>
      </c>
      <c r="P30" s="166">
        <f t="shared" si="2"/>
        <v>13</v>
      </c>
      <c r="Q30" s="166">
        <f t="shared" si="2"/>
        <v>14</v>
      </c>
      <c r="R30" s="166">
        <f t="shared" si="2"/>
        <v>15</v>
      </c>
      <c r="S30" s="166">
        <f t="shared" si="2"/>
        <v>16</v>
      </c>
      <c r="T30" s="166">
        <f t="shared" si="2"/>
        <v>17</v>
      </c>
      <c r="U30" s="166">
        <f t="shared" si="2"/>
        <v>18</v>
      </c>
      <c r="V30" s="166">
        <f t="shared" si="2"/>
        <v>19</v>
      </c>
      <c r="W30" s="166">
        <f t="shared" si="2"/>
        <v>20</v>
      </c>
      <c r="X30" s="166">
        <f t="shared" si="2"/>
        <v>21</v>
      </c>
      <c r="Y30" s="166">
        <f t="shared" si="2"/>
        <v>22</v>
      </c>
      <c r="Z30" s="166">
        <f t="shared" si="2"/>
        <v>23</v>
      </c>
      <c r="AA30" s="166">
        <f t="shared" si="2"/>
        <v>24</v>
      </c>
      <c r="AB30" s="166">
        <f t="shared" si="2"/>
        <v>25</v>
      </c>
      <c r="AC30" s="166">
        <f t="shared" si="2"/>
        <v>26</v>
      </c>
      <c r="AD30" s="166">
        <f t="shared" si="2"/>
        <v>27</v>
      </c>
      <c r="AE30" s="166">
        <f t="shared" si="2"/>
        <v>28</v>
      </c>
      <c r="AF30" s="166">
        <f t="shared" si="2"/>
        <v>29</v>
      </c>
      <c r="AG30" s="166">
        <f t="shared" si="2"/>
        <v>30</v>
      </c>
      <c r="AH30" s="166">
        <f t="shared" si="2"/>
        <v>31</v>
      </c>
      <c r="AI30" s="166">
        <f t="shared" si="2"/>
        <v>32</v>
      </c>
      <c r="AJ30" s="166">
        <f t="shared" si="2"/>
        <v>33</v>
      </c>
      <c r="AK30" s="166">
        <f t="shared" si="2"/>
        <v>34</v>
      </c>
      <c r="AL30" s="166">
        <f t="shared" si="2"/>
        <v>35</v>
      </c>
      <c r="AM30" s="166">
        <f t="shared" si="2"/>
        <v>36</v>
      </c>
      <c r="AN30" s="166">
        <f t="shared" si="2"/>
        <v>37</v>
      </c>
      <c r="AO30" s="166">
        <f t="shared" si="2"/>
        <v>38</v>
      </c>
      <c r="AP30" s="166">
        <f t="shared" si="2"/>
        <v>39</v>
      </c>
      <c r="AQ30" s="166">
        <f t="shared" si="2"/>
        <v>40</v>
      </c>
      <c r="AR30" s="166">
        <f t="shared" si="2"/>
        <v>41</v>
      </c>
      <c r="AS30" s="166">
        <f t="shared" si="2"/>
        <v>42</v>
      </c>
      <c r="AT30" s="166">
        <f t="shared" si="2"/>
        <v>43</v>
      </c>
      <c r="AU30" s="166">
        <f t="shared" si="2"/>
        <v>44</v>
      </c>
      <c r="AY30" s="18" t="s">
        <v>144</v>
      </c>
      <c r="BA30" s="172" t="s">
        <v>144</v>
      </c>
    </row>
    <row r="31" spans="1:81" s="146" customFormat="1">
      <c r="A31" s="173">
        <v>1</v>
      </c>
      <c r="B31" s="174" t="s">
        <v>150</v>
      </c>
      <c r="C31" s="174"/>
      <c r="D31" s="175">
        <f>D16</f>
        <v>0</v>
      </c>
      <c r="E31" s="175">
        <f t="shared" ref="E31:AU31" si="3">D31*(1+$D$17)</f>
        <v>0</v>
      </c>
      <c r="F31" s="175">
        <f t="shared" si="3"/>
        <v>0</v>
      </c>
      <c r="G31" s="175">
        <f t="shared" si="3"/>
        <v>0</v>
      </c>
      <c r="H31" s="175">
        <f t="shared" si="3"/>
        <v>0</v>
      </c>
      <c r="I31" s="175">
        <f t="shared" si="3"/>
        <v>0</v>
      </c>
      <c r="J31" s="175">
        <f t="shared" si="3"/>
        <v>0</v>
      </c>
      <c r="K31" s="175">
        <f t="shared" si="3"/>
        <v>0</v>
      </c>
      <c r="L31" s="175">
        <f t="shared" si="3"/>
        <v>0</v>
      </c>
      <c r="M31" s="175">
        <f t="shared" si="3"/>
        <v>0</v>
      </c>
      <c r="N31" s="175">
        <f t="shared" si="3"/>
        <v>0</v>
      </c>
      <c r="O31" s="175">
        <f t="shared" si="3"/>
        <v>0</v>
      </c>
      <c r="P31" s="175">
        <f t="shared" si="3"/>
        <v>0</v>
      </c>
      <c r="Q31" s="175">
        <f t="shared" si="3"/>
        <v>0</v>
      </c>
      <c r="R31" s="175">
        <f t="shared" si="3"/>
        <v>0</v>
      </c>
      <c r="S31" s="175">
        <f t="shared" si="3"/>
        <v>0</v>
      </c>
      <c r="T31" s="175">
        <f t="shared" si="3"/>
        <v>0</v>
      </c>
      <c r="U31" s="175">
        <f t="shared" si="3"/>
        <v>0</v>
      </c>
      <c r="V31" s="175">
        <f t="shared" si="3"/>
        <v>0</v>
      </c>
      <c r="W31" s="175">
        <f t="shared" si="3"/>
        <v>0</v>
      </c>
      <c r="X31" s="175">
        <f t="shared" si="3"/>
        <v>0</v>
      </c>
      <c r="Y31" s="175">
        <f t="shared" si="3"/>
        <v>0</v>
      </c>
      <c r="Z31" s="175">
        <f t="shared" si="3"/>
        <v>0</v>
      </c>
      <c r="AA31" s="175">
        <f t="shared" si="3"/>
        <v>0</v>
      </c>
      <c r="AB31" s="175">
        <f t="shared" si="3"/>
        <v>0</v>
      </c>
      <c r="AC31" s="175">
        <f t="shared" si="3"/>
        <v>0</v>
      </c>
      <c r="AD31" s="175">
        <f t="shared" si="3"/>
        <v>0</v>
      </c>
      <c r="AE31" s="175">
        <f t="shared" si="3"/>
        <v>0</v>
      </c>
      <c r="AF31" s="175">
        <f t="shared" si="3"/>
        <v>0</v>
      </c>
      <c r="AG31" s="175">
        <f t="shared" si="3"/>
        <v>0</v>
      </c>
      <c r="AH31" s="175">
        <f t="shared" si="3"/>
        <v>0</v>
      </c>
      <c r="AI31" s="175">
        <f t="shared" si="3"/>
        <v>0</v>
      </c>
      <c r="AJ31" s="175">
        <f t="shared" si="3"/>
        <v>0</v>
      </c>
      <c r="AK31" s="175">
        <f t="shared" si="3"/>
        <v>0</v>
      </c>
      <c r="AL31" s="175">
        <f t="shared" si="3"/>
        <v>0</v>
      </c>
      <c r="AM31" s="175">
        <f t="shared" si="3"/>
        <v>0</v>
      </c>
      <c r="AN31" s="175">
        <f t="shared" si="3"/>
        <v>0</v>
      </c>
      <c r="AO31" s="175">
        <f t="shared" si="3"/>
        <v>0</v>
      </c>
      <c r="AP31" s="175">
        <f t="shared" si="3"/>
        <v>0</v>
      </c>
      <c r="AQ31" s="175">
        <f t="shared" si="3"/>
        <v>0</v>
      </c>
      <c r="AR31" s="175">
        <f t="shared" si="3"/>
        <v>0</v>
      </c>
      <c r="AS31" s="175">
        <f t="shared" si="3"/>
        <v>0</v>
      </c>
      <c r="AT31" s="175">
        <f t="shared" si="3"/>
        <v>0</v>
      </c>
      <c r="AU31" s="175">
        <f t="shared" si="3"/>
        <v>0</v>
      </c>
      <c r="AY31" s="146">
        <f>SUM(D31:M31)/10</f>
        <v>0</v>
      </c>
      <c r="BA31" s="146">
        <f>SUM(D31:AJ31)/33</f>
        <v>0</v>
      </c>
    </row>
    <row r="32" spans="1:81" s="146" customFormat="1">
      <c r="A32" s="176">
        <f>A31+1</f>
        <v>2</v>
      </c>
      <c r="B32" s="177" t="s">
        <v>151</v>
      </c>
      <c r="C32" s="178"/>
      <c r="D32" s="70">
        <f t="shared" ref="D32:AU32" si="4">$D$18*D31</f>
        <v>0</v>
      </c>
      <c r="E32" s="70">
        <f t="shared" si="4"/>
        <v>0</v>
      </c>
      <c r="F32" s="70">
        <f t="shared" si="4"/>
        <v>0</v>
      </c>
      <c r="G32" s="70">
        <f t="shared" si="4"/>
        <v>0</v>
      </c>
      <c r="H32" s="70">
        <f t="shared" si="4"/>
        <v>0</v>
      </c>
      <c r="I32" s="70">
        <f t="shared" si="4"/>
        <v>0</v>
      </c>
      <c r="J32" s="70">
        <f t="shared" si="4"/>
        <v>0</v>
      </c>
      <c r="K32" s="70">
        <f t="shared" si="4"/>
        <v>0</v>
      </c>
      <c r="L32" s="70">
        <f t="shared" si="4"/>
        <v>0</v>
      </c>
      <c r="M32" s="70">
        <f t="shared" si="4"/>
        <v>0</v>
      </c>
      <c r="N32" s="70">
        <f t="shared" si="4"/>
        <v>0</v>
      </c>
      <c r="O32" s="70">
        <f t="shared" si="4"/>
        <v>0</v>
      </c>
      <c r="P32" s="70">
        <f t="shared" si="4"/>
        <v>0</v>
      </c>
      <c r="Q32" s="70">
        <f t="shared" si="4"/>
        <v>0</v>
      </c>
      <c r="R32" s="70">
        <f t="shared" si="4"/>
        <v>0</v>
      </c>
      <c r="S32" s="70">
        <f t="shared" si="4"/>
        <v>0</v>
      </c>
      <c r="T32" s="70">
        <f t="shared" si="4"/>
        <v>0</v>
      </c>
      <c r="U32" s="70">
        <f t="shared" si="4"/>
        <v>0</v>
      </c>
      <c r="V32" s="70">
        <f t="shared" si="4"/>
        <v>0</v>
      </c>
      <c r="W32" s="70">
        <f t="shared" si="4"/>
        <v>0</v>
      </c>
      <c r="X32" s="70">
        <f t="shared" si="4"/>
        <v>0</v>
      </c>
      <c r="Y32" s="70">
        <f t="shared" si="4"/>
        <v>0</v>
      </c>
      <c r="Z32" s="70">
        <f t="shared" si="4"/>
        <v>0</v>
      </c>
      <c r="AA32" s="70">
        <f t="shared" si="4"/>
        <v>0</v>
      </c>
      <c r="AB32" s="70">
        <f t="shared" si="4"/>
        <v>0</v>
      </c>
      <c r="AC32" s="70">
        <f t="shared" si="4"/>
        <v>0</v>
      </c>
      <c r="AD32" s="70">
        <f t="shared" si="4"/>
        <v>0</v>
      </c>
      <c r="AE32" s="70">
        <f t="shared" si="4"/>
        <v>0</v>
      </c>
      <c r="AF32" s="70">
        <f t="shared" si="4"/>
        <v>0</v>
      </c>
      <c r="AG32" s="70">
        <f t="shared" si="4"/>
        <v>0</v>
      </c>
      <c r="AH32" s="70">
        <f t="shared" si="4"/>
        <v>0</v>
      </c>
      <c r="AI32" s="70">
        <f t="shared" si="4"/>
        <v>0</v>
      </c>
      <c r="AJ32" s="175">
        <f t="shared" si="4"/>
        <v>0</v>
      </c>
      <c r="AK32" s="179">
        <f t="shared" si="4"/>
        <v>0</v>
      </c>
      <c r="AL32" s="179">
        <f t="shared" si="4"/>
        <v>0</v>
      </c>
      <c r="AM32" s="179">
        <f t="shared" si="4"/>
        <v>0</v>
      </c>
      <c r="AN32" s="179">
        <f t="shared" si="4"/>
        <v>0</v>
      </c>
      <c r="AO32" s="179">
        <f t="shared" si="4"/>
        <v>0</v>
      </c>
      <c r="AP32" s="179">
        <f t="shared" si="4"/>
        <v>0</v>
      </c>
      <c r="AQ32" s="179">
        <f t="shared" si="4"/>
        <v>0</v>
      </c>
      <c r="AR32" s="179">
        <f t="shared" si="4"/>
        <v>0</v>
      </c>
      <c r="AS32" s="179">
        <f t="shared" si="4"/>
        <v>0</v>
      </c>
      <c r="AT32" s="179">
        <f t="shared" si="4"/>
        <v>0</v>
      </c>
      <c r="AU32" s="179">
        <f t="shared" si="4"/>
        <v>0</v>
      </c>
      <c r="AY32" s="146">
        <f>SUM(D32:M32)/10</f>
        <v>0</v>
      </c>
      <c r="BA32" s="146">
        <f>SUM(D32:AJ32)/33</f>
        <v>0</v>
      </c>
    </row>
    <row r="33" spans="1:53" s="146" customFormat="1">
      <c r="A33" s="173"/>
      <c r="B33" s="174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</row>
    <row r="34" spans="1:53" s="146" customFormat="1">
      <c r="A34" s="173">
        <f>A32+1</f>
        <v>3</v>
      </c>
      <c r="B34" s="180" t="s">
        <v>152</v>
      </c>
      <c r="C34" s="180"/>
      <c r="D34" s="181">
        <f t="shared" ref="D34:AU34" si="5">SUM(D31:D33)</f>
        <v>0</v>
      </c>
      <c r="E34" s="181">
        <f t="shared" si="5"/>
        <v>0</v>
      </c>
      <c r="F34" s="181">
        <f t="shared" si="5"/>
        <v>0</v>
      </c>
      <c r="G34" s="181">
        <f t="shared" si="5"/>
        <v>0</v>
      </c>
      <c r="H34" s="181">
        <f t="shared" si="5"/>
        <v>0</v>
      </c>
      <c r="I34" s="181">
        <f t="shared" si="5"/>
        <v>0</v>
      </c>
      <c r="J34" s="181">
        <f t="shared" si="5"/>
        <v>0</v>
      </c>
      <c r="K34" s="181">
        <f t="shared" si="5"/>
        <v>0</v>
      </c>
      <c r="L34" s="181">
        <f t="shared" si="5"/>
        <v>0</v>
      </c>
      <c r="M34" s="181">
        <f t="shared" si="5"/>
        <v>0</v>
      </c>
      <c r="N34" s="181">
        <f t="shared" si="5"/>
        <v>0</v>
      </c>
      <c r="O34" s="181">
        <f t="shared" si="5"/>
        <v>0</v>
      </c>
      <c r="P34" s="181">
        <f t="shared" si="5"/>
        <v>0</v>
      </c>
      <c r="Q34" s="181">
        <f t="shared" si="5"/>
        <v>0</v>
      </c>
      <c r="R34" s="181">
        <f t="shared" si="5"/>
        <v>0</v>
      </c>
      <c r="S34" s="181">
        <f t="shared" si="5"/>
        <v>0</v>
      </c>
      <c r="T34" s="181">
        <f t="shared" si="5"/>
        <v>0</v>
      </c>
      <c r="U34" s="181">
        <f t="shared" si="5"/>
        <v>0</v>
      </c>
      <c r="V34" s="181">
        <f t="shared" si="5"/>
        <v>0</v>
      </c>
      <c r="W34" s="181">
        <f t="shared" si="5"/>
        <v>0</v>
      </c>
      <c r="X34" s="181">
        <f t="shared" si="5"/>
        <v>0</v>
      </c>
      <c r="Y34" s="181">
        <f t="shared" si="5"/>
        <v>0</v>
      </c>
      <c r="Z34" s="181">
        <f t="shared" si="5"/>
        <v>0</v>
      </c>
      <c r="AA34" s="181">
        <f t="shared" si="5"/>
        <v>0</v>
      </c>
      <c r="AB34" s="181">
        <f t="shared" si="5"/>
        <v>0</v>
      </c>
      <c r="AC34" s="181">
        <f t="shared" si="5"/>
        <v>0</v>
      </c>
      <c r="AD34" s="181">
        <f t="shared" si="5"/>
        <v>0</v>
      </c>
      <c r="AE34" s="181">
        <f t="shared" si="5"/>
        <v>0</v>
      </c>
      <c r="AF34" s="181">
        <f t="shared" si="5"/>
        <v>0</v>
      </c>
      <c r="AG34" s="181">
        <f t="shared" si="5"/>
        <v>0</v>
      </c>
      <c r="AH34" s="181">
        <f t="shared" si="5"/>
        <v>0</v>
      </c>
      <c r="AI34" s="181">
        <f t="shared" si="5"/>
        <v>0</v>
      </c>
      <c r="AJ34" s="181">
        <f t="shared" si="5"/>
        <v>0</v>
      </c>
      <c r="AK34" s="181">
        <f t="shared" si="5"/>
        <v>0</v>
      </c>
      <c r="AL34" s="181">
        <f t="shared" si="5"/>
        <v>0</v>
      </c>
      <c r="AM34" s="181">
        <f t="shared" si="5"/>
        <v>0</v>
      </c>
      <c r="AN34" s="181">
        <f t="shared" si="5"/>
        <v>0</v>
      </c>
      <c r="AO34" s="181">
        <f t="shared" si="5"/>
        <v>0</v>
      </c>
      <c r="AP34" s="181">
        <f t="shared" si="5"/>
        <v>0</v>
      </c>
      <c r="AQ34" s="181">
        <f t="shared" si="5"/>
        <v>0</v>
      </c>
      <c r="AR34" s="181">
        <f t="shared" si="5"/>
        <v>0</v>
      </c>
      <c r="AS34" s="181">
        <f t="shared" si="5"/>
        <v>0</v>
      </c>
      <c r="AT34" s="181">
        <f t="shared" si="5"/>
        <v>0</v>
      </c>
      <c r="AU34" s="181">
        <f t="shared" si="5"/>
        <v>0</v>
      </c>
      <c r="AY34" s="146">
        <f t="shared" ref="AY34:AY39" si="6">SUM(D34:M34)/10</f>
        <v>0</v>
      </c>
      <c r="BA34" s="146">
        <f t="shared" ref="BA34:BA39" si="7">SUM(D34:AJ34)/33</f>
        <v>0</v>
      </c>
    </row>
    <row r="35" spans="1:53" s="146" customFormat="1">
      <c r="A35" s="173">
        <f t="shared" ref="A35:A68" si="8">A34+1</f>
        <v>4</v>
      </c>
      <c r="B35" s="174" t="s">
        <v>153</v>
      </c>
      <c r="C35" s="174"/>
      <c r="D35" s="175">
        <f>(D5*$D$10)</f>
        <v>687500</v>
      </c>
      <c r="E35" s="175">
        <f>IF(SUM($D$35:D35)&gt;=(E46-$D$6),0,IF((E46-$D$6)*$D$10+SUM($D$35:D35)&gt;(E46-$D$6),(E46-$D$6)-SUM($D$35:D35),(E46-$D$6)*$D$10))</f>
        <v>687500</v>
      </c>
      <c r="F35" s="175">
        <f>IF(SUM($D$35:E35)&gt;=$D$5,0,IF($D$5*$D$10+SUM($D$35:E35)&gt;$D$5,$D$5-SUM($D$35:E35),$D$5*$D$10))</f>
        <v>687500</v>
      </c>
      <c r="G35" s="175">
        <f>IF(SUM($D$35:F35)&gt;=$D$5,0,IF($D$5*$D$10+SUM($D$35:F35)&gt;$D$5,$D$5-SUM($D$35:F35),$D$5*$D$10))</f>
        <v>687500</v>
      </c>
      <c r="H35" s="175">
        <f>IF(SUM($D$35:G35)&gt;=$D$5,0,IF($D$5*$D$10+SUM($D$35:G35)&gt;$D$5,$D$5-SUM($D$35:G35),$D$5*$D$10))</f>
        <v>687500</v>
      </c>
      <c r="I35" s="175">
        <f>IF(SUM($D$35:H35)&gt;=$D$5,0,IF($D$5*$D$10+SUM($D$35:H35)&gt;$D$5,$D$5-SUM($D$35:H35),$D$5*$D$10))</f>
        <v>687500</v>
      </c>
      <c r="J35" s="175">
        <f>IF(SUM($D$35:I35)&gt;=$D$5,0,IF($D$5*$D$10+SUM($D$35:I35)&gt;$D$5,$D$5-SUM($D$35:I35),$D$5*$D$10))</f>
        <v>687500</v>
      </c>
      <c r="K35" s="175">
        <f>IF(SUM($D$35:J35)&gt;=$D$5,0,IF($D$5*$D$10+SUM($D$35:J35)&gt;$D$5,$D$5-SUM($D$35:J35),$D$5*$D$10))</f>
        <v>687500</v>
      </c>
      <c r="L35" s="175">
        <f>IF(SUM($D$35:K35)&gt;=$D$5,0,IF($D$5*$D$10+SUM($D$35:K35)&gt;$D$5,$D$5-SUM($D$35:K35),$D$5*$D$10))</f>
        <v>687500</v>
      </c>
      <c r="M35" s="175">
        <f>IF(SUM($D$35:L35)&gt;=$D$5,0,IF($D$5*$D$10+SUM($D$35:L35)&gt;$D$5,$D$5-SUM($D$35:L35),$D$5*$D$10))</f>
        <v>687500</v>
      </c>
      <c r="N35" s="175">
        <f>IF(SUM($D$35:M35)&gt;=$D$5,0,IF($D$5*$D$10+SUM($D$35:M35)&gt;$D$5,$D$5-SUM($D$35:M35),$D$5*$D$10))</f>
        <v>687500</v>
      </c>
      <c r="O35" s="175">
        <f>IF(SUM($D$35:N35)&gt;=$D$5,0,IF($D$5*$D$10+SUM($D$35:N35)&gt;$D$5,$D$5-SUM($D$35:N35),$D$5*$D$10))</f>
        <v>687500</v>
      </c>
      <c r="P35" s="175">
        <f>IF(SUM($D$35:O35)&gt;=$D$5,0,IF($D$5*$D$10+SUM($D$35:O35)&gt;$D$5,$D$5-SUM($D$35:O35),$D$5*$D$10))</f>
        <v>687500</v>
      </c>
      <c r="Q35" s="175">
        <f>IF(SUM($D$35:P35)&gt;=$D$5,0,IF($D$5*$D$10+SUM($D$35:P35)&gt;$D$5,$D$5-SUM($D$35:P35),$D$5*$D$10))</f>
        <v>687500</v>
      </c>
      <c r="R35" s="175">
        <f>IF(SUM($D$35:Q35)&gt;=$D$5,0,IF($D$5*$D$10+SUM($D$35:Q35)&gt;$D$5,$D$5-SUM($D$35:Q35),$D$5*$D$10))</f>
        <v>687500</v>
      </c>
      <c r="S35" s="175">
        <f>IF(SUM($D$35:R35)&gt;=$D$5,0,IF($D$5*$D$10+SUM($D$35:R35)&gt;$D$5,$D$5-SUM($D$35:R35),$D$5*$D$10))</f>
        <v>687500</v>
      </c>
      <c r="T35" s="175">
        <f>IF(SUM($D$35:S35)&gt;=$D$5,0,IF($D$5*$D$10+SUM($D$35:S35)&gt;$D$5,$D$5-SUM($D$35:S35),$D$5*$D$10))</f>
        <v>687500</v>
      </c>
      <c r="U35" s="175">
        <f>IF(SUM($D$35:T35)&gt;=$D$5,0,IF($D$5*$D$10+SUM($D$35:T35)&gt;$D$5,$D$5-SUM($D$35:T35),$D$5*$D$10))</f>
        <v>687500</v>
      </c>
      <c r="V35" s="175">
        <f>IF(SUM($D$35:U35)&gt;=$D$5,0,IF($D$5*$D$10+SUM($D$35:U35)&gt;$D$5,$D$5-SUM($D$35:U35),$D$5*$D$10))</f>
        <v>687500</v>
      </c>
      <c r="W35" s="175">
        <f>IF(SUM($D$35:V35)&gt;=$D$5,0,IF($D$5*$D$10+SUM($D$35:V35)&gt;$D$5,$D$5-SUM($D$35:V35),$D$5*$D$10))</f>
        <v>687500</v>
      </c>
      <c r="X35" s="175">
        <f>IF(SUM($D$35:W35)&gt;=$D$5,0,IF($D$5*$D$10+SUM($D$35:W35)&gt;$D$5,$D$5-SUM($D$35:W35),$D$5*$D$10))</f>
        <v>687500</v>
      </c>
      <c r="Y35" s="175">
        <f>IF(SUM($D$35:X35)&gt;=$D$5,0,IF($D$5*$D$10+SUM($D$35:X35)&gt;$D$5,$D$5-SUM($D$35:X35),$D$5*$D$10))</f>
        <v>687500</v>
      </c>
      <c r="Z35" s="175">
        <f>IF(SUM($D$35:Y35)&gt;=$D$5,0,IF($D$5*$D$10+SUM($D$35:Y35)&gt;$D$5,$D$5-SUM($D$35:Y35),$D$5*$D$10))</f>
        <v>687500</v>
      </c>
      <c r="AA35" s="175">
        <f>IF(SUM($D$35:Z35)&gt;=$D$5,0,IF($D$5*$D$10+SUM($D$35:Z35)&gt;$D$5,$D$5-SUM($D$35:Z35),$D$5*$D$10))</f>
        <v>687500</v>
      </c>
      <c r="AB35" s="175">
        <f>IF(SUM($D$35:AA35)&gt;=$D$5,0,IF($D$5*$D$10+SUM($D$35:AA35)&gt;$D$5,$D$5-SUM($D$35:AA35),$D$5*$D$10))</f>
        <v>687500</v>
      </c>
      <c r="AC35" s="175">
        <f>IF(SUM($D$35:AB35)&gt;=$D$5,0,IF($D$5*$D$10+SUM($D$35:AB35)&gt;$D$5,$D$5-SUM($D$35:AB35),$D$5*$D$10))</f>
        <v>687500</v>
      </c>
      <c r="AD35" s="175">
        <f>IF(SUM($D$35:AC35)&gt;=$D$5,0,IF($D$5*$D$10+SUM($D$35:AC35)&gt;$D$5,$D$5-SUM($D$35:AC35),$D$5*$D$10))</f>
        <v>687500</v>
      </c>
      <c r="AE35" s="175">
        <f>IF(SUM($D$35:AD35)&gt;=$D$5,0,IF($D$5*$D$10+SUM($D$35:AD35)&gt;$D$5,$D$5-SUM($D$35:AD35),$D$5*$D$10))</f>
        <v>687500</v>
      </c>
      <c r="AF35" s="175">
        <f>IF(SUM($D$35:AE35)&gt;=$D$5,0,IF($D$5*$D$10+SUM($D$35:AE35)&gt;$D$5,$D$5-SUM($D$35:AE35),$D$5*$D$10))</f>
        <v>687500</v>
      </c>
      <c r="AG35" s="175">
        <f>IF(SUM($D$35:AF35)&gt;=$D$5,0,IF($D$5*$D$10+SUM($D$35:AF35)&gt;$D$5,$D$5-SUM($D$35:AF35),$D$5*$D$10))</f>
        <v>687500</v>
      </c>
      <c r="AH35" s="175">
        <f>IF(SUM($D$35:AG35)&gt;=$D$5,0,IF($D$5*$D$10+SUM($D$35:AG35)&gt;$D$5,$D$5-SUM($D$35:AG35),$D$5*$D$10))</f>
        <v>687500</v>
      </c>
      <c r="AI35" s="175">
        <f>IF(SUM($D$35:AH35)&gt;=$D$5,0,IF($D$5*$D$10+SUM($D$35:AH35)&gt;$D$5,$D$5-SUM($D$35:AH35),$D$5*$D$10))</f>
        <v>687500</v>
      </c>
      <c r="AJ35" s="175">
        <f>IF(SUM($D$35:AI35)&gt;=$D$5,0,IF($D$5*$D$10+SUM($D$35:AI35)&gt;$D$5,$D$5-SUM($D$35:AI35),$D$5*$D$10))</f>
        <v>687500</v>
      </c>
      <c r="AK35" s="175">
        <f>IF(SUM($D$35:AJ35)&gt;=$D$5,0,IF($D$5*$D$10+SUM($D$35:AJ35)&gt;$D$5,$D$5-SUM($D$35:AJ35),$D$5*$D$10))</f>
        <v>687500</v>
      </c>
      <c r="AL35" s="175">
        <f>IF(SUM($D$35:AK35)&gt;=$D$5,0,IF($D$5*$D$10+SUM($D$35:AK35)&gt;$D$5,$D$5-SUM($D$35:AK35),$D$5*$D$10))</f>
        <v>687500</v>
      </c>
      <c r="AM35" s="175">
        <f>IF(SUM($D$35:AL35)&gt;=$D$5,0,IF($D$5*$D$10+SUM($D$35:AL35)&gt;$D$5,$D$5-SUM($D$35:AL35),$D$5*$D$10))</f>
        <v>687500</v>
      </c>
      <c r="AN35" s="175">
        <f>IF(SUM($D$35:AM35)&gt;=$D$5,0,IF($D$5*$D$10+SUM($D$35:AM35)&gt;$D$5,$D$5-SUM($D$35:AM35),$D$5*$D$10))</f>
        <v>687500</v>
      </c>
      <c r="AO35" s="175">
        <f>IF(SUM($D$35:AN35)&gt;=$D$5,0,IF($D$5*$D$10+SUM($D$35:AN35)&gt;$D$5,$D$5-SUM($D$35:AN35),$D$5*$D$10))</f>
        <v>687500</v>
      </c>
      <c r="AP35" s="175">
        <f>IF(SUM($D$35:AO35)&gt;=$D$5,0,IF($D$5*$D$10+SUM($D$35:AO35)&gt;$D$5,$D$5-SUM($D$35:AO35),$D$5*$D$10))</f>
        <v>687500</v>
      </c>
      <c r="AQ35" s="175">
        <f>IF(SUM($D$35:AP35)&gt;=$D$5,0,IF($D$5*$D$10+SUM($D$35:AP35)&gt;$D$5,$D$5-SUM($D$35:AP35),$D$5*$D$10))</f>
        <v>687500</v>
      </c>
      <c r="AR35" s="175">
        <f>IF(SUM($D$35:AQ35)&gt;=$D$5,0,IF($D$5*$D$10+SUM($D$35:AQ35)&gt;$D$5,$D$5-SUM($D$35:AQ35),$D$5*$D$10))</f>
        <v>0</v>
      </c>
      <c r="AS35" s="175">
        <f>IF(SUM($D$35:AR35)&gt;=$D$5,0,IF($D$5*$D$10+SUM($D$35:AR35)&gt;$D$5,$D$5-SUM($D$35:AR35),$D$5*$D$10))</f>
        <v>0</v>
      </c>
      <c r="AT35" s="175">
        <f>IF(SUM($D$35:AS35)&gt;=$D$5,0,IF($D$5*$D$10+SUM($D$35:AS35)&gt;$D$5,$D$5-SUM($D$35:AS35),$D$5*$D$10))</f>
        <v>0</v>
      </c>
      <c r="AU35" s="175">
        <f>IF(SUM($D$35:AT35)&gt;=$D$5,0,IF($D$5*$D$10+SUM($D$35:AT35)&gt;$D$5,$D$5-SUM($D$35:AT35),$D$5*$D$10))</f>
        <v>0</v>
      </c>
      <c r="AY35" s="146">
        <f t="shared" si="6"/>
        <v>687500</v>
      </c>
      <c r="BA35" s="146">
        <f t="shared" si="7"/>
        <v>687500</v>
      </c>
    </row>
    <row r="36" spans="1:53" s="146" customFormat="1">
      <c r="A36" s="173">
        <f t="shared" si="8"/>
        <v>5</v>
      </c>
      <c r="B36" s="174" t="s">
        <v>106</v>
      </c>
      <c r="C36" s="174"/>
      <c r="D36" s="175">
        <f>(D57*$H$12*($H$13))</f>
        <v>325365.15000000002</v>
      </c>
      <c r="E36" s="175">
        <f t="shared" ref="E36:AU36" si="9">(E57*$H$12*($H$13))</f>
        <v>314680.51428</v>
      </c>
      <c r="F36" s="175">
        <f t="shared" si="9"/>
        <v>302802.01380000002</v>
      </c>
      <c r="G36" s="175">
        <f t="shared" si="9"/>
        <v>291348.52428000001</v>
      </c>
      <c r="H36" s="175">
        <f t="shared" si="9"/>
        <v>280288.23108</v>
      </c>
      <c r="I36" s="175">
        <f t="shared" si="9"/>
        <v>269591.76684</v>
      </c>
      <c r="J36" s="175">
        <f t="shared" si="9"/>
        <v>259231.80360000001</v>
      </c>
      <c r="K36" s="175">
        <f t="shared" si="9"/>
        <v>249183.05279999998</v>
      </c>
      <c r="L36" s="175">
        <f t="shared" si="9"/>
        <v>239308.05888</v>
      </c>
      <c r="M36" s="175">
        <f t="shared" si="9"/>
        <v>229457.94563999999</v>
      </c>
      <c r="N36" s="175">
        <f t="shared" si="9"/>
        <v>219607.83239999998</v>
      </c>
      <c r="O36" s="175">
        <f t="shared" si="9"/>
        <v>209757.71916000001</v>
      </c>
      <c r="P36" s="175">
        <f t="shared" si="9"/>
        <v>199907.60592</v>
      </c>
      <c r="Q36" s="175">
        <f t="shared" si="9"/>
        <v>190057.49268000002</v>
      </c>
      <c r="R36" s="175">
        <f t="shared" si="9"/>
        <v>180207.37944000002</v>
      </c>
      <c r="S36" s="175">
        <f t="shared" si="9"/>
        <v>170357.26620000001</v>
      </c>
      <c r="T36" s="175">
        <f t="shared" si="9"/>
        <v>160507.15296000001</v>
      </c>
      <c r="U36" s="175">
        <f t="shared" si="9"/>
        <v>150657.03972</v>
      </c>
      <c r="V36" s="175">
        <f t="shared" si="9"/>
        <v>140806.92647999999</v>
      </c>
      <c r="W36" s="175">
        <f t="shared" si="9"/>
        <v>130956.81324</v>
      </c>
      <c r="X36" s="175">
        <f t="shared" si="9"/>
        <v>122016.68028000002</v>
      </c>
      <c r="Y36" s="175">
        <f t="shared" si="9"/>
        <v>114896.1</v>
      </c>
      <c r="Z36" s="175">
        <f t="shared" si="9"/>
        <v>108685.5</v>
      </c>
      <c r="AA36" s="175">
        <f t="shared" si="9"/>
        <v>102474.90000000001</v>
      </c>
      <c r="AB36" s="175">
        <f t="shared" si="9"/>
        <v>96264.3</v>
      </c>
      <c r="AC36" s="175">
        <f t="shared" si="9"/>
        <v>90053.7</v>
      </c>
      <c r="AD36" s="175">
        <f t="shared" si="9"/>
        <v>83843.100000000006</v>
      </c>
      <c r="AE36" s="175">
        <f t="shared" si="9"/>
        <v>77632.5</v>
      </c>
      <c r="AF36" s="175">
        <f t="shared" si="9"/>
        <v>71421.900000000009</v>
      </c>
      <c r="AG36" s="175">
        <f t="shared" si="9"/>
        <v>65211.3</v>
      </c>
      <c r="AH36" s="175">
        <f t="shared" si="9"/>
        <v>59000.700000000004</v>
      </c>
      <c r="AI36" s="175">
        <f t="shared" si="9"/>
        <v>52790.1</v>
      </c>
      <c r="AJ36" s="175">
        <f t="shared" si="9"/>
        <v>46579.500000000007</v>
      </c>
      <c r="AK36" s="175">
        <f t="shared" si="9"/>
        <v>40368.900000000009</v>
      </c>
      <c r="AL36" s="175">
        <f t="shared" si="9"/>
        <v>34158.300000000003</v>
      </c>
      <c r="AM36" s="175">
        <f t="shared" si="9"/>
        <v>27947.700000000004</v>
      </c>
      <c r="AN36" s="175">
        <f t="shared" si="9"/>
        <v>21737.100000000006</v>
      </c>
      <c r="AO36" s="175">
        <f t="shared" si="9"/>
        <v>15526.500000000005</v>
      </c>
      <c r="AP36" s="175">
        <f t="shared" si="9"/>
        <v>9315.9000000000051</v>
      </c>
      <c r="AQ36" s="175">
        <f t="shared" si="9"/>
        <v>3105.3000000000056</v>
      </c>
      <c r="AR36" s="175">
        <f t="shared" si="9"/>
        <v>5.5879354476928712E-12</v>
      </c>
      <c r="AS36" s="175">
        <f t="shared" si="9"/>
        <v>5.5879354476928712E-12</v>
      </c>
      <c r="AT36" s="175">
        <f t="shared" si="9"/>
        <v>5.5879354476928712E-12</v>
      </c>
      <c r="AU36" s="175">
        <f t="shared" si="9"/>
        <v>5.5879354476928712E-12</v>
      </c>
      <c r="AY36" s="146">
        <f t="shared" si="6"/>
        <v>276125.70611999999</v>
      </c>
      <c r="BA36" s="146">
        <f t="shared" si="7"/>
        <v>169846.98695999998</v>
      </c>
    </row>
    <row r="37" spans="1:53" s="146" customFormat="1">
      <c r="A37" s="173">
        <f t="shared" si="8"/>
        <v>6</v>
      </c>
      <c r="B37" s="182" t="s">
        <v>154</v>
      </c>
      <c r="C37" s="182"/>
      <c r="D37" s="175">
        <f>D61</f>
        <v>2072290.7960031987</v>
      </c>
      <c r="E37" s="175">
        <f t="shared" ref="E37:AU37" si="10">E61</f>
        <v>2004239.0324347804</v>
      </c>
      <c r="F37" s="175">
        <f t="shared" si="10"/>
        <v>1928583.3968664855</v>
      </c>
      <c r="G37" s="175">
        <f t="shared" si="10"/>
        <v>1855634.70855609</v>
      </c>
      <c r="H37" s="175">
        <f t="shared" si="10"/>
        <v>1785190.3361349602</v>
      </c>
      <c r="I37" s="175">
        <f t="shared" si="10"/>
        <v>1717063.2352628191</v>
      </c>
      <c r="J37" s="175">
        <f t="shared" si="10"/>
        <v>1651079.3507896862</v>
      </c>
      <c r="K37" s="175">
        <f t="shared" si="10"/>
        <v>1587077.616755879</v>
      </c>
      <c r="L37" s="175">
        <f t="shared" si="10"/>
        <v>1524182.5617353781</v>
      </c>
      <c r="M37" s="175">
        <f t="shared" si="10"/>
        <v>1461445.9748365008</v>
      </c>
      <c r="N37" s="175">
        <f t="shared" si="10"/>
        <v>1398709.3879376235</v>
      </c>
      <c r="O37" s="175">
        <f t="shared" si="10"/>
        <v>1335972.8010387463</v>
      </c>
      <c r="P37" s="175">
        <f t="shared" si="10"/>
        <v>1273236.214139869</v>
      </c>
      <c r="Q37" s="175">
        <f t="shared" si="10"/>
        <v>1210499.6272409917</v>
      </c>
      <c r="R37" s="175">
        <f t="shared" si="10"/>
        <v>1147763.0403421144</v>
      </c>
      <c r="S37" s="175">
        <f t="shared" si="10"/>
        <v>1085026.4534432371</v>
      </c>
      <c r="T37" s="175">
        <f t="shared" si="10"/>
        <v>1022289.8665443598</v>
      </c>
      <c r="U37" s="175">
        <f t="shared" si="10"/>
        <v>959553.27964548254</v>
      </c>
      <c r="V37" s="175">
        <f t="shared" si="10"/>
        <v>896816.69274660514</v>
      </c>
      <c r="W37" s="175">
        <f t="shared" si="10"/>
        <v>834080.10584772786</v>
      </c>
      <c r="X37" s="175">
        <f t="shared" si="10"/>
        <v>777139.29565938166</v>
      </c>
      <c r="Y37" s="175">
        <f t="shared" si="10"/>
        <v>731787.44105403766</v>
      </c>
      <c r="Z37" s="175">
        <f t="shared" si="10"/>
        <v>692231.36315922486</v>
      </c>
      <c r="AA37" s="175">
        <f t="shared" si="10"/>
        <v>652675.28526441194</v>
      </c>
      <c r="AB37" s="175">
        <f t="shared" si="10"/>
        <v>613119.20736959914</v>
      </c>
      <c r="AC37" s="175">
        <f t="shared" si="10"/>
        <v>573563.12947478634</v>
      </c>
      <c r="AD37" s="175">
        <f t="shared" si="10"/>
        <v>534007.05157997343</v>
      </c>
      <c r="AE37" s="175">
        <f t="shared" si="10"/>
        <v>494450.97368516063</v>
      </c>
      <c r="AF37" s="175">
        <f t="shared" si="10"/>
        <v>454894.89579034777</v>
      </c>
      <c r="AG37" s="175">
        <f t="shared" si="10"/>
        <v>415338.81789553491</v>
      </c>
      <c r="AH37" s="175">
        <f t="shared" si="10"/>
        <v>375782.74000072206</v>
      </c>
      <c r="AI37" s="175">
        <f t="shared" si="10"/>
        <v>336226.6621059092</v>
      </c>
      <c r="AJ37" s="175">
        <f t="shared" si="10"/>
        <v>296670.5842110964</v>
      </c>
      <c r="AK37" s="175">
        <f t="shared" si="10"/>
        <v>257114.50631628354</v>
      </c>
      <c r="AL37" s="175">
        <f t="shared" si="10"/>
        <v>217558.42842147071</v>
      </c>
      <c r="AM37" s="175">
        <f t="shared" si="10"/>
        <v>178002.35052665786</v>
      </c>
      <c r="AN37" s="175">
        <f t="shared" si="10"/>
        <v>138446.272631845</v>
      </c>
      <c r="AO37" s="175">
        <f t="shared" si="10"/>
        <v>98890.194737032158</v>
      </c>
      <c r="AP37" s="175">
        <f t="shared" si="10"/>
        <v>59334.1168422193</v>
      </c>
      <c r="AQ37" s="175">
        <f t="shared" si="10"/>
        <v>19778.038947406458</v>
      </c>
      <c r="AR37" s="175">
        <f t="shared" si="10"/>
        <v>3.5590250513658118E-11</v>
      </c>
      <c r="AS37" s="175">
        <f t="shared" si="10"/>
        <v>3.5590250513658118E-11</v>
      </c>
      <c r="AT37" s="175">
        <f t="shared" si="10"/>
        <v>3.5590250513658118E-11</v>
      </c>
      <c r="AU37" s="175">
        <f t="shared" si="10"/>
        <v>3.5590250513658118E-11</v>
      </c>
      <c r="AY37" s="146">
        <f t="shared" si="6"/>
        <v>1758678.700937578</v>
      </c>
      <c r="BA37" s="146">
        <f t="shared" si="7"/>
        <v>1081776.4219864463</v>
      </c>
    </row>
    <row r="38" spans="1:53" s="146" customFormat="1">
      <c r="A38" s="173">
        <f t="shared" si="8"/>
        <v>7</v>
      </c>
      <c r="B38" s="183" t="s">
        <v>82</v>
      </c>
      <c r="C38" s="183"/>
      <c r="D38" s="184">
        <f>$H$8*D59</f>
        <v>456643.40157497034</v>
      </c>
      <c r="E38" s="184">
        <f t="shared" ref="E38:AU38" si="11">$H$8*E59</f>
        <v>441647.73163376667</v>
      </c>
      <c r="F38" s="184">
        <f t="shared" si="11"/>
        <v>424976.49666961294</v>
      </c>
      <c r="G38" s="184">
        <f t="shared" si="11"/>
        <v>408901.75598421355</v>
      </c>
      <c r="H38" s="184">
        <f t="shared" si="11"/>
        <v>393378.85837436042</v>
      </c>
      <c r="I38" s="184">
        <f t="shared" si="11"/>
        <v>378366.58734478452</v>
      </c>
      <c r="J38" s="184">
        <f t="shared" si="11"/>
        <v>363826.58865683264</v>
      </c>
      <c r="K38" s="184">
        <f t="shared" si="11"/>
        <v>349723.37032846763</v>
      </c>
      <c r="L38" s="184">
        <f t="shared" si="11"/>
        <v>335864.01626377774</v>
      </c>
      <c r="M38" s="184">
        <f t="shared" si="11"/>
        <v>322039.58172980184</v>
      </c>
      <c r="N38" s="184">
        <f t="shared" si="11"/>
        <v>308215.14719582594</v>
      </c>
      <c r="O38" s="184">
        <f t="shared" si="11"/>
        <v>294390.71266185003</v>
      </c>
      <c r="P38" s="184">
        <f t="shared" si="11"/>
        <v>280566.27812787413</v>
      </c>
      <c r="Q38" s="184">
        <f t="shared" si="11"/>
        <v>266741.84359389823</v>
      </c>
      <c r="R38" s="184">
        <f t="shared" si="11"/>
        <v>252917.40905992233</v>
      </c>
      <c r="S38" s="184">
        <f t="shared" si="11"/>
        <v>239092.97452594643</v>
      </c>
      <c r="T38" s="184">
        <f t="shared" si="11"/>
        <v>225268.53999197047</v>
      </c>
      <c r="U38" s="184">
        <f t="shared" si="11"/>
        <v>211444.10545799456</v>
      </c>
      <c r="V38" s="184">
        <f t="shared" si="11"/>
        <v>197619.67092401866</v>
      </c>
      <c r="W38" s="184">
        <f t="shared" si="11"/>
        <v>183795.23639004276</v>
      </c>
      <c r="X38" s="184">
        <f t="shared" si="11"/>
        <v>171247.94075808307</v>
      </c>
      <c r="Y38" s="184">
        <f t="shared" si="11"/>
        <v>161254.35047883264</v>
      </c>
      <c r="Z38" s="184">
        <f t="shared" si="11"/>
        <v>152537.89910159845</v>
      </c>
      <c r="AA38" s="184">
        <f t="shared" si="11"/>
        <v>143821.44772436423</v>
      </c>
      <c r="AB38" s="184">
        <f t="shared" si="11"/>
        <v>135104.99634713004</v>
      </c>
      <c r="AC38" s="184">
        <f t="shared" si="11"/>
        <v>126388.54496989584</v>
      </c>
      <c r="AD38" s="184">
        <f t="shared" si="11"/>
        <v>117672.09359266165</v>
      </c>
      <c r="AE38" s="184">
        <f t="shared" si="11"/>
        <v>108955.64221542746</v>
      </c>
      <c r="AF38" s="184">
        <f t="shared" si="11"/>
        <v>100239.19083819327</v>
      </c>
      <c r="AG38" s="184">
        <f t="shared" si="11"/>
        <v>91522.739460959056</v>
      </c>
      <c r="AH38" s="184">
        <f t="shared" si="11"/>
        <v>82806.288083724867</v>
      </c>
      <c r="AI38" s="184">
        <f t="shared" si="11"/>
        <v>74089.836706490678</v>
      </c>
      <c r="AJ38" s="184">
        <f t="shared" si="11"/>
        <v>65373.385329256482</v>
      </c>
      <c r="AK38" s="184">
        <f t="shared" si="11"/>
        <v>56656.933952022286</v>
      </c>
      <c r="AL38" s="184">
        <f t="shared" si="11"/>
        <v>47940.48257478809</v>
      </c>
      <c r="AM38" s="184">
        <f t="shared" si="11"/>
        <v>39224.031197553893</v>
      </c>
      <c r="AN38" s="184">
        <f t="shared" si="11"/>
        <v>30507.579820319694</v>
      </c>
      <c r="AO38" s="184">
        <f t="shared" si="11"/>
        <v>21791.128443085498</v>
      </c>
      <c r="AP38" s="184">
        <f t="shared" si="11"/>
        <v>13074.677065851301</v>
      </c>
      <c r="AQ38" s="184">
        <f t="shared" si="11"/>
        <v>4358.2256886171062</v>
      </c>
      <c r="AR38" s="184">
        <f t="shared" si="11"/>
        <v>7.8425542828290843E-12</v>
      </c>
      <c r="AS38" s="184">
        <f t="shared" si="11"/>
        <v>7.8425542828290843E-12</v>
      </c>
      <c r="AT38" s="184">
        <f t="shared" si="11"/>
        <v>7.8425542828290843E-12</v>
      </c>
      <c r="AU38" s="184">
        <f t="shared" si="11"/>
        <v>7.8425542828290843E-12</v>
      </c>
      <c r="AV38" s="146" t="s">
        <v>155</v>
      </c>
      <c r="AW38" s="146" t="s">
        <v>155</v>
      </c>
      <c r="AX38" s="146" t="s">
        <v>156</v>
      </c>
      <c r="AY38" s="146">
        <f t="shared" si="6"/>
        <v>387536.83885605889</v>
      </c>
      <c r="BA38" s="146">
        <f t="shared" si="7"/>
        <v>238376.80794231969</v>
      </c>
    </row>
    <row r="39" spans="1:53" s="146" customFormat="1">
      <c r="A39" s="173">
        <f t="shared" si="8"/>
        <v>8</v>
      </c>
      <c r="B39" s="183" t="s">
        <v>157</v>
      </c>
      <c r="C39" s="183"/>
      <c r="D39" s="184">
        <f>SUM(D34:D38)</f>
        <v>3541799.3475781688</v>
      </c>
      <c r="E39" s="184">
        <f t="shared" ref="E39:AU39" si="12">SUM(E34:E38)</f>
        <v>3448067.2783485469</v>
      </c>
      <c r="F39" s="184">
        <f t="shared" si="12"/>
        <v>3343861.9073360981</v>
      </c>
      <c r="G39" s="184">
        <f t="shared" si="12"/>
        <v>3243384.9888203037</v>
      </c>
      <c r="H39" s="184">
        <f t="shared" si="12"/>
        <v>3146357.4255893207</v>
      </c>
      <c r="I39" s="184">
        <f t="shared" si="12"/>
        <v>3052521.5894476036</v>
      </c>
      <c r="J39" s="184">
        <f t="shared" si="12"/>
        <v>2961637.7430465184</v>
      </c>
      <c r="K39" s="184">
        <f t="shared" si="12"/>
        <v>2873484.039884347</v>
      </c>
      <c r="L39" s="184">
        <f t="shared" si="12"/>
        <v>2786854.6368791559</v>
      </c>
      <c r="M39" s="184">
        <f t="shared" si="12"/>
        <v>2700443.5022063027</v>
      </c>
      <c r="N39" s="184">
        <f t="shared" si="12"/>
        <v>2614032.3675334495</v>
      </c>
      <c r="O39" s="184">
        <f t="shared" si="12"/>
        <v>2527621.2328605959</v>
      </c>
      <c r="P39" s="184">
        <f t="shared" si="12"/>
        <v>2441210.0981877432</v>
      </c>
      <c r="Q39" s="184">
        <f t="shared" si="12"/>
        <v>2354798.9635148901</v>
      </c>
      <c r="R39" s="184">
        <f t="shared" si="12"/>
        <v>2268387.8288420369</v>
      </c>
      <c r="S39" s="184">
        <f t="shared" si="12"/>
        <v>2181976.6941691833</v>
      </c>
      <c r="T39" s="184">
        <f t="shared" si="12"/>
        <v>2095565.5594963303</v>
      </c>
      <c r="U39" s="184">
        <f t="shared" si="12"/>
        <v>2009154.4248234772</v>
      </c>
      <c r="V39" s="184">
        <f t="shared" si="12"/>
        <v>1922743.2901506238</v>
      </c>
      <c r="W39" s="184">
        <f t="shared" si="12"/>
        <v>1836332.1554777708</v>
      </c>
      <c r="X39" s="184">
        <f t="shared" si="12"/>
        <v>1757903.9166974647</v>
      </c>
      <c r="Y39" s="184">
        <f t="shared" si="12"/>
        <v>1695437.8915328702</v>
      </c>
      <c r="Z39" s="184">
        <f t="shared" si="12"/>
        <v>1640954.7622608233</v>
      </c>
      <c r="AA39" s="184">
        <f t="shared" si="12"/>
        <v>1586471.6329887761</v>
      </c>
      <c r="AB39" s="184">
        <f t="shared" si="12"/>
        <v>1531988.5037167293</v>
      </c>
      <c r="AC39" s="184">
        <f t="shared" si="12"/>
        <v>1477505.3744446822</v>
      </c>
      <c r="AD39" s="184">
        <f t="shared" si="12"/>
        <v>1423022.245172635</v>
      </c>
      <c r="AE39" s="184">
        <f t="shared" si="12"/>
        <v>1368539.1159005882</v>
      </c>
      <c r="AF39" s="184">
        <f t="shared" si="12"/>
        <v>1314055.986628541</v>
      </c>
      <c r="AG39" s="184">
        <f t="shared" si="12"/>
        <v>1259572.8573564941</v>
      </c>
      <c r="AH39" s="184">
        <f t="shared" si="12"/>
        <v>1205089.7280844469</v>
      </c>
      <c r="AI39" s="184">
        <f t="shared" si="12"/>
        <v>1150606.5988123999</v>
      </c>
      <c r="AJ39" s="184">
        <f t="shared" si="12"/>
        <v>1096123.4695403529</v>
      </c>
      <c r="AK39" s="184">
        <f t="shared" si="12"/>
        <v>1041640.340268306</v>
      </c>
      <c r="AL39" s="184">
        <f t="shared" si="12"/>
        <v>987157.21099625877</v>
      </c>
      <c r="AM39" s="184">
        <f t="shared" si="12"/>
        <v>932674.08172421169</v>
      </c>
      <c r="AN39" s="184">
        <f t="shared" si="12"/>
        <v>878190.95245216461</v>
      </c>
      <c r="AO39" s="184">
        <f t="shared" si="12"/>
        <v>823707.82318011764</v>
      </c>
      <c r="AP39" s="184">
        <f t="shared" si="12"/>
        <v>769224.69390807056</v>
      </c>
      <c r="AQ39" s="184">
        <f t="shared" si="12"/>
        <v>714741.5646360236</v>
      </c>
      <c r="AR39" s="184">
        <f t="shared" si="12"/>
        <v>4.9020740244180075E-11</v>
      </c>
      <c r="AS39" s="184">
        <f t="shared" si="12"/>
        <v>4.9020740244180075E-11</v>
      </c>
      <c r="AT39" s="184">
        <f t="shared" si="12"/>
        <v>4.9020740244180075E-11</v>
      </c>
      <c r="AU39" s="184">
        <f t="shared" si="12"/>
        <v>4.9020740244180075E-11</v>
      </c>
      <c r="AV39" s="146" t="s">
        <v>158</v>
      </c>
      <c r="AW39" s="185" t="s">
        <v>159</v>
      </c>
      <c r="AX39" s="146">
        <f>SUM(D39:AK39)/AK30</f>
        <v>2144092.5734587521</v>
      </c>
      <c r="AY39" s="186">
        <f t="shared" si="6"/>
        <v>3109841.2459136369</v>
      </c>
      <c r="AZ39" s="146">
        <f>SUM(AY34:AY38)</f>
        <v>3109841.2459136369</v>
      </c>
      <c r="BA39" s="146">
        <f t="shared" si="7"/>
        <v>2177500.2168887658</v>
      </c>
    </row>
    <row r="40" spans="1:53" s="146" customFormat="1">
      <c r="A40" s="173">
        <f t="shared" si="8"/>
        <v>9</v>
      </c>
      <c r="B40" s="183" t="s">
        <v>160</v>
      </c>
      <c r="C40" s="183"/>
      <c r="D40" s="184">
        <f>+$C$43</f>
        <v>2698757.1881210757</v>
      </c>
      <c r="E40" s="184">
        <f t="shared" ref="E40:AU40" si="13">+$C$43</f>
        <v>2698757.1881210757</v>
      </c>
      <c r="F40" s="184">
        <f t="shared" si="13"/>
        <v>2698757.1881210757</v>
      </c>
      <c r="G40" s="184">
        <f t="shared" si="13"/>
        <v>2698757.1881210757</v>
      </c>
      <c r="H40" s="184">
        <f t="shared" si="13"/>
        <v>2698757.1881210757</v>
      </c>
      <c r="I40" s="184">
        <f t="shared" si="13"/>
        <v>2698757.1881210757</v>
      </c>
      <c r="J40" s="184">
        <f t="shared" si="13"/>
        <v>2698757.1881210757</v>
      </c>
      <c r="K40" s="184">
        <f t="shared" si="13"/>
        <v>2698757.1881210757</v>
      </c>
      <c r="L40" s="184">
        <f t="shared" si="13"/>
        <v>2698757.1881210757</v>
      </c>
      <c r="M40" s="184">
        <f t="shared" si="13"/>
        <v>2698757.1881210757</v>
      </c>
      <c r="N40" s="184">
        <f t="shared" si="13"/>
        <v>2698757.1881210757</v>
      </c>
      <c r="O40" s="184">
        <f t="shared" si="13"/>
        <v>2698757.1881210757</v>
      </c>
      <c r="P40" s="184">
        <f t="shared" si="13"/>
        <v>2698757.1881210757</v>
      </c>
      <c r="Q40" s="184">
        <f t="shared" si="13"/>
        <v>2698757.1881210757</v>
      </c>
      <c r="R40" s="184">
        <f t="shared" si="13"/>
        <v>2698757.1881210757</v>
      </c>
      <c r="S40" s="184">
        <f t="shared" si="13"/>
        <v>2698757.1881210757</v>
      </c>
      <c r="T40" s="184">
        <f t="shared" si="13"/>
        <v>2698757.1881210757</v>
      </c>
      <c r="U40" s="184">
        <f t="shared" si="13"/>
        <v>2698757.1881210757</v>
      </c>
      <c r="V40" s="184">
        <f t="shared" si="13"/>
        <v>2698757.1881210757</v>
      </c>
      <c r="W40" s="184">
        <f t="shared" si="13"/>
        <v>2698757.1881210757</v>
      </c>
      <c r="X40" s="184">
        <f t="shared" si="13"/>
        <v>2698757.1881210757</v>
      </c>
      <c r="Y40" s="184">
        <f t="shared" si="13"/>
        <v>2698757.1881210757</v>
      </c>
      <c r="Z40" s="184">
        <f t="shared" si="13"/>
        <v>2698757.1881210757</v>
      </c>
      <c r="AA40" s="184">
        <f t="shared" si="13"/>
        <v>2698757.1881210757</v>
      </c>
      <c r="AB40" s="184">
        <f t="shared" si="13"/>
        <v>2698757.1881210757</v>
      </c>
      <c r="AC40" s="184">
        <f t="shared" si="13"/>
        <v>2698757.1881210757</v>
      </c>
      <c r="AD40" s="184">
        <f t="shared" si="13"/>
        <v>2698757.1881210757</v>
      </c>
      <c r="AE40" s="184">
        <f t="shared" si="13"/>
        <v>2698757.1881210757</v>
      </c>
      <c r="AF40" s="184">
        <f t="shared" si="13"/>
        <v>2698757.1881210757</v>
      </c>
      <c r="AG40" s="184">
        <f t="shared" si="13"/>
        <v>2698757.1881210757</v>
      </c>
      <c r="AH40" s="184">
        <f t="shared" si="13"/>
        <v>2698757.1881210757</v>
      </c>
      <c r="AI40" s="184">
        <f t="shared" si="13"/>
        <v>2698757.1881210757</v>
      </c>
      <c r="AJ40" s="184">
        <f t="shared" si="13"/>
        <v>2698757.1881210757</v>
      </c>
      <c r="AK40" s="184">
        <f t="shared" si="13"/>
        <v>2698757.1881210757</v>
      </c>
      <c r="AL40" s="184">
        <f t="shared" si="13"/>
        <v>2698757.1881210757</v>
      </c>
      <c r="AM40" s="184">
        <f t="shared" si="13"/>
        <v>2698757.1881210757</v>
      </c>
      <c r="AN40" s="184">
        <f t="shared" si="13"/>
        <v>2698757.1881210757</v>
      </c>
      <c r="AO40" s="184">
        <f t="shared" si="13"/>
        <v>2698757.1881210757</v>
      </c>
      <c r="AP40" s="184">
        <f t="shared" si="13"/>
        <v>2698757.1881210757</v>
      </c>
      <c r="AQ40" s="184">
        <f t="shared" si="13"/>
        <v>2698757.1881210757</v>
      </c>
      <c r="AR40" s="184">
        <f t="shared" si="13"/>
        <v>2698757.1881210757</v>
      </c>
      <c r="AS40" s="184">
        <f t="shared" si="13"/>
        <v>2698757.1881210757</v>
      </c>
      <c r="AT40" s="184">
        <f t="shared" si="13"/>
        <v>2698757.1881210757</v>
      </c>
      <c r="AU40" s="184">
        <f t="shared" si="13"/>
        <v>2698757.1881210757</v>
      </c>
      <c r="AW40" s="185"/>
    </row>
    <row r="41" spans="1:53" s="191" customFormat="1">
      <c r="A41" s="187">
        <f t="shared" si="8"/>
        <v>10</v>
      </c>
      <c r="B41" s="188" t="s">
        <v>161</v>
      </c>
      <c r="C41" s="189"/>
      <c r="D41" s="189">
        <f t="shared" ref="D41:AU41" si="14">D40-D39</f>
        <v>-843042.1594570931</v>
      </c>
      <c r="E41" s="189">
        <f t="shared" si="14"/>
        <v>-749310.0902274712</v>
      </c>
      <c r="F41" s="189">
        <f t="shared" si="14"/>
        <v>-645104.7192150224</v>
      </c>
      <c r="G41" s="189">
        <f t="shared" si="14"/>
        <v>-544627.80069922796</v>
      </c>
      <c r="H41" s="189">
        <f t="shared" si="14"/>
        <v>-447600.23746824497</v>
      </c>
      <c r="I41" s="189">
        <f t="shared" si="14"/>
        <v>-353764.40132652782</v>
      </c>
      <c r="J41" s="189">
        <f t="shared" si="14"/>
        <v>-262880.55492544267</v>
      </c>
      <c r="K41" s="189">
        <f t="shared" si="14"/>
        <v>-174726.85176327126</v>
      </c>
      <c r="L41" s="189">
        <f t="shared" si="14"/>
        <v>-88097.448758080136</v>
      </c>
      <c r="M41" s="189">
        <f t="shared" si="14"/>
        <v>-1686.3140852269717</v>
      </c>
      <c r="N41" s="189">
        <f t="shared" si="14"/>
        <v>84724.820587626193</v>
      </c>
      <c r="O41" s="189">
        <f t="shared" si="14"/>
        <v>171135.95526047982</v>
      </c>
      <c r="P41" s="189">
        <f t="shared" si="14"/>
        <v>257547.08993333252</v>
      </c>
      <c r="Q41" s="189">
        <f t="shared" si="14"/>
        <v>343958.22460618569</v>
      </c>
      <c r="R41" s="189">
        <f t="shared" si="14"/>
        <v>430369.35927903885</v>
      </c>
      <c r="S41" s="189">
        <f t="shared" si="14"/>
        <v>516780.49395189248</v>
      </c>
      <c r="T41" s="189">
        <f t="shared" si="14"/>
        <v>603191.62862474541</v>
      </c>
      <c r="U41" s="189">
        <f t="shared" si="14"/>
        <v>689602.76329759858</v>
      </c>
      <c r="V41" s="189">
        <f t="shared" si="14"/>
        <v>776013.89797045197</v>
      </c>
      <c r="W41" s="189">
        <f t="shared" si="14"/>
        <v>862425.0326433049</v>
      </c>
      <c r="X41" s="189">
        <f t="shared" si="14"/>
        <v>940853.27142361109</v>
      </c>
      <c r="Y41" s="189">
        <f t="shared" si="14"/>
        <v>1003319.2965882055</v>
      </c>
      <c r="Z41" s="189">
        <f t="shared" si="14"/>
        <v>1057802.4258602525</v>
      </c>
      <c r="AA41" s="189">
        <f t="shared" si="14"/>
        <v>1112285.5551322997</v>
      </c>
      <c r="AB41" s="189">
        <f t="shared" si="14"/>
        <v>1166768.6844043464</v>
      </c>
      <c r="AC41" s="189">
        <f t="shared" si="14"/>
        <v>1221251.8136763936</v>
      </c>
      <c r="AD41" s="189">
        <f t="shared" si="14"/>
        <v>1275734.9429484408</v>
      </c>
      <c r="AE41" s="189">
        <f t="shared" si="14"/>
        <v>1330218.0722204875</v>
      </c>
      <c r="AF41" s="189">
        <f t="shared" si="14"/>
        <v>1384701.2014925347</v>
      </c>
      <c r="AG41" s="189">
        <f t="shared" si="14"/>
        <v>1439184.3307645817</v>
      </c>
      <c r="AH41" s="189">
        <f t="shared" si="14"/>
        <v>1493667.4600366289</v>
      </c>
      <c r="AI41" s="189">
        <f t="shared" si="14"/>
        <v>1548150.5893086758</v>
      </c>
      <c r="AJ41" s="189">
        <f t="shared" si="14"/>
        <v>1602633.7185807228</v>
      </c>
      <c r="AK41" s="189">
        <f t="shared" si="14"/>
        <v>1657116.8478527698</v>
      </c>
      <c r="AL41" s="189">
        <f t="shared" si="14"/>
        <v>1711599.977124817</v>
      </c>
      <c r="AM41" s="189">
        <f t="shared" si="14"/>
        <v>1766083.1063968642</v>
      </c>
      <c r="AN41" s="189">
        <f t="shared" si="14"/>
        <v>1820566.2356689111</v>
      </c>
      <c r="AO41" s="189">
        <f t="shared" si="14"/>
        <v>1875049.3649409581</v>
      </c>
      <c r="AP41" s="189">
        <f t="shared" si="14"/>
        <v>1929532.4942130051</v>
      </c>
      <c r="AQ41" s="189">
        <f t="shared" si="14"/>
        <v>1984015.623485052</v>
      </c>
      <c r="AR41" s="189">
        <f t="shared" si="14"/>
        <v>2698757.1881210757</v>
      </c>
      <c r="AS41" s="189">
        <f t="shared" si="14"/>
        <v>2698757.1881210757</v>
      </c>
      <c r="AT41" s="189">
        <f t="shared" si="14"/>
        <v>2698757.1881210757</v>
      </c>
      <c r="AU41" s="189">
        <f t="shared" si="14"/>
        <v>2698757.1881210757</v>
      </c>
      <c r="AV41" s="190">
        <f>SUM(D41:AK41)</f>
        <v>18858596.898518998</v>
      </c>
    </row>
    <row r="42" spans="1:53" s="191" customFormat="1">
      <c r="A42" s="187">
        <f t="shared" si="8"/>
        <v>11</v>
      </c>
      <c r="B42" s="188" t="s">
        <v>162</v>
      </c>
      <c r="C42" s="192">
        <f>NPV(M19,D41:AG41)</f>
        <v>-2.2170649722647149E-9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</row>
    <row r="43" spans="1:53">
      <c r="A43" s="187">
        <f t="shared" si="8"/>
        <v>12</v>
      </c>
      <c r="B43" s="167" t="s">
        <v>163</v>
      </c>
      <c r="C43" s="167">
        <f>AV43</f>
        <v>2698757.1881210757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24">
        <f>PMT(M19,30,-NPV($M$19,D39:AG39,,))</f>
        <v>2698757.1881210757</v>
      </c>
    </row>
    <row r="44" spans="1:53">
      <c r="A44" s="187">
        <f t="shared" si="8"/>
        <v>13</v>
      </c>
      <c r="B44" s="169" t="s">
        <v>164</v>
      </c>
      <c r="C44" s="167"/>
      <c r="D44" s="194">
        <f>D39</f>
        <v>3541799.3475781688</v>
      </c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W44" s="107">
        <f>SUM(D39:AK39)/34</f>
        <v>2144092.5734587521</v>
      </c>
    </row>
    <row r="45" spans="1:53">
      <c r="A45" s="187">
        <f t="shared" si="8"/>
        <v>14</v>
      </c>
      <c r="B45" s="25" t="s">
        <v>165</v>
      </c>
      <c r="C45" s="25"/>
      <c r="D45" s="195"/>
      <c r="E45" s="165"/>
    </row>
    <row r="46" spans="1:53">
      <c r="A46" s="187">
        <f t="shared" si="8"/>
        <v>15</v>
      </c>
      <c r="B46" s="196" t="s">
        <v>166</v>
      </c>
      <c r="C46" s="196"/>
      <c r="D46" s="167">
        <f>D9</f>
        <v>27500000</v>
      </c>
      <c r="E46" s="167">
        <f>D46+$D$22</f>
        <v>27500000</v>
      </c>
      <c r="F46" s="167">
        <f>E46+$D$22</f>
        <v>27500000</v>
      </c>
      <c r="G46" s="167">
        <f t="shared" ref="G46:AU46" si="15">F46+$D$22</f>
        <v>27500000</v>
      </c>
      <c r="H46" s="167">
        <f t="shared" si="15"/>
        <v>27500000</v>
      </c>
      <c r="I46" s="167">
        <f t="shared" si="15"/>
        <v>27500000</v>
      </c>
      <c r="J46" s="167">
        <f t="shared" si="15"/>
        <v>27500000</v>
      </c>
      <c r="K46" s="167">
        <f t="shared" si="15"/>
        <v>27500000</v>
      </c>
      <c r="L46" s="167">
        <f t="shared" si="15"/>
        <v>27500000</v>
      </c>
      <c r="M46" s="167">
        <f t="shared" si="15"/>
        <v>27500000</v>
      </c>
      <c r="N46" s="167">
        <f t="shared" si="15"/>
        <v>27500000</v>
      </c>
      <c r="O46" s="167">
        <f t="shared" si="15"/>
        <v>27500000</v>
      </c>
      <c r="P46" s="167">
        <f t="shared" si="15"/>
        <v>27500000</v>
      </c>
      <c r="Q46" s="167">
        <f t="shared" si="15"/>
        <v>27500000</v>
      </c>
      <c r="R46" s="167">
        <f t="shared" si="15"/>
        <v>27500000</v>
      </c>
      <c r="S46" s="167">
        <f t="shared" si="15"/>
        <v>27500000</v>
      </c>
      <c r="T46" s="167">
        <f t="shared" si="15"/>
        <v>27500000</v>
      </c>
      <c r="U46" s="167">
        <f t="shared" si="15"/>
        <v>27500000</v>
      </c>
      <c r="V46" s="167">
        <f t="shared" si="15"/>
        <v>27500000</v>
      </c>
      <c r="W46" s="167">
        <f t="shared" si="15"/>
        <v>27500000</v>
      </c>
      <c r="X46" s="167">
        <f t="shared" si="15"/>
        <v>27500000</v>
      </c>
      <c r="Y46" s="167">
        <f t="shared" si="15"/>
        <v>27500000</v>
      </c>
      <c r="Z46" s="167">
        <f t="shared" si="15"/>
        <v>27500000</v>
      </c>
      <c r="AA46" s="167">
        <f t="shared" si="15"/>
        <v>27500000</v>
      </c>
      <c r="AB46" s="167">
        <f t="shared" si="15"/>
        <v>27500000</v>
      </c>
      <c r="AC46" s="167">
        <f t="shared" si="15"/>
        <v>27500000</v>
      </c>
      <c r="AD46" s="167">
        <f t="shared" si="15"/>
        <v>27500000</v>
      </c>
      <c r="AE46" s="167">
        <f t="shared" si="15"/>
        <v>27500000</v>
      </c>
      <c r="AF46" s="167">
        <f t="shared" si="15"/>
        <v>27500000</v>
      </c>
      <c r="AG46" s="167">
        <f t="shared" si="15"/>
        <v>27500000</v>
      </c>
      <c r="AH46" s="167">
        <f t="shared" si="15"/>
        <v>27500000</v>
      </c>
      <c r="AI46" s="167">
        <f t="shared" si="15"/>
        <v>27500000</v>
      </c>
      <c r="AJ46" s="167">
        <f t="shared" si="15"/>
        <v>27500000</v>
      </c>
      <c r="AK46" s="167">
        <f t="shared" si="15"/>
        <v>27500000</v>
      </c>
      <c r="AL46" s="167">
        <f t="shared" si="15"/>
        <v>27500000</v>
      </c>
      <c r="AM46" s="167">
        <f t="shared" si="15"/>
        <v>27500000</v>
      </c>
      <c r="AN46" s="167">
        <f t="shared" si="15"/>
        <v>27500000</v>
      </c>
      <c r="AO46" s="167">
        <f t="shared" si="15"/>
        <v>27500000</v>
      </c>
      <c r="AP46" s="167">
        <f t="shared" si="15"/>
        <v>27500000</v>
      </c>
      <c r="AQ46" s="167">
        <f t="shared" si="15"/>
        <v>27500000</v>
      </c>
      <c r="AR46" s="167">
        <f t="shared" si="15"/>
        <v>27500000</v>
      </c>
      <c r="AS46" s="167">
        <f t="shared" si="15"/>
        <v>27500000</v>
      </c>
      <c r="AT46" s="167">
        <f t="shared" si="15"/>
        <v>27500000</v>
      </c>
      <c r="AU46" s="167">
        <f t="shared" si="15"/>
        <v>27500000</v>
      </c>
      <c r="AY46" s="18">
        <f>SUM(D46:M46)/10</f>
        <v>27500000</v>
      </c>
    </row>
    <row r="47" spans="1:53">
      <c r="A47" s="187">
        <f t="shared" si="8"/>
        <v>16</v>
      </c>
      <c r="B47" s="197" t="s">
        <v>167</v>
      </c>
      <c r="C47" s="19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</row>
    <row r="48" spans="1:53">
      <c r="A48" s="187">
        <f t="shared" si="8"/>
        <v>17</v>
      </c>
      <c r="B48" s="199" t="s">
        <v>168</v>
      </c>
      <c r="C48" s="199"/>
      <c r="D48" s="71">
        <v>0</v>
      </c>
      <c r="E48" s="71">
        <f>(D49)</f>
        <v>687500</v>
      </c>
      <c r="F48" s="71">
        <f t="shared" ref="F48:AU48" si="16">(E49)</f>
        <v>1375000</v>
      </c>
      <c r="G48" s="71">
        <f t="shared" si="16"/>
        <v>2062500</v>
      </c>
      <c r="H48" s="71">
        <f t="shared" si="16"/>
        <v>2750000</v>
      </c>
      <c r="I48" s="71">
        <f t="shared" si="16"/>
        <v>3437500</v>
      </c>
      <c r="J48" s="71">
        <f t="shared" si="16"/>
        <v>4125000</v>
      </c>
      <c r="K48" s="71">
        <f t="shared" si="16"/>
        <v>4812500</v>
      </c>
      <c r="L48" s="71">
        <f t="shared" si="16"/>
        <v>5500000</v>
      </c>
      <c r="M48" s="71">
        <f t="shared" si="16"/>
        <v>6187500</v>
      </c>
      <c r="N48" s="71">
        <f t="shared" si="16"/>
        <v>6875000</v>
      </c>
      <c r="O48" s="71">
        <f t="shared" si="16"/>
        <v>7562500</v>
      </c>
      <c r="P48" s="71">
        <f t="shared" si="16"/>
        <v>8250000</v>
      </c>
      <c r="Q48" s="71">
        <f t="shared" si="16"/>
        <v>8937500</v>
      </c>
      <c r="R48" s="71">
        <f t="shared" si="16"/>
        <v>9625000</v>
      </c>
      <c r="S48" s="71">
        <f t="shared" si="16"/>
        <v>10312500</v>
      </c>
      <c r="T48" s="71">
        <f t="shared" si="16"/>
        <v>11000000</v>
      </c>
      <c r="U48" s="71">
        <f t="shared" si="16"/>
        <v>11687500</v>
      </c>
      <c r="V48" s="71">
        <f t="shared" si="16"/>
        <v>12375000</v>
      </c>
      <c r="W48" s="71">
        <f t="shared" si="16"/>
        <v>13062500</v>
      </c>
      <c r="X48" s="71">
        <f t="shared" si="16"/>
        <v>13750000</v>
      </c>
      <c r="Y48" s="71">
        <f t="shared" si="16"/>
        <v>14437500</v>
      </c>
      <c r="Z48" s="71">
        <f t="shared" si="16"/>
        <v>15125000</v>
      </c>
      <c r="AA48" s="71">
        <f t="shared" si="16"/>
        <v>15812500</v>
      </c>
      <c r="AB48" s="71">
        <f t="shared" si="16"/>
        <v>16500000</v>
      </c>
      <c r="AC48" s="71">
        <f t="shared" si="16"/>
        <v>17187500</v>
      </c>
      <c r="AD48" s="71">
        <f t="shared" si="16"/>
        <v>17875000</v>
      </c>
      <c r="AE48" s="71">
        <f t="shared" si="16"/>
        <v>18562500</v>
      </c>
      <c r="AF48" s="71">
        <f t="shared" si="16"/>
        <v>19250000</v>
      </c>
      <c r="AG48" s="71">
        <f t="shared" si="16"/>
        <v>19937500</v>
      </c>
      <c r="AH48" s="71">
        <f t="shared" si="16"/>
        <v>20625000</v>
      </c>
      <c r="AI48" s="71">
        <f t="shared" si="16"/>
        <v>21312500</v>
      </c>
      <c r="AJ48" s="71">
        <f t="shared" si="16"/>
        <v>22000000</v>
      </c>
      <c r="AK48" s="71">
        <f t="shared" si="16"/>
        <v>22687500</v>
      </c>
      <c r="AL48" s="71">
        <f t="shared" si="16"/>
        <v>23375000</v>
      </c>
      <c r="AM48" s="71">
        <f t="shared" si="16"/>
        <v>24062500</v>
      </c>
      <c r="AN48" s="71">
        <f t="shared" si="16"/>
        <v>24750000</v>
      </c>
      <c r="AO48" s="71">
        <f t="shared" si="16"/>
        <v>25437500</v>
      </c>
      <c r="AP48" s="71">
        <f t="shared" si="16"/>
        <v>26125000</v>
      </c>
      <c r="AQ48" s="71">
        <f t="shared" si="16"/>
        <v>26812500</v>
      </c>
      <c r="AR48" s="71">
        <f t="shared" si="16"/>
        <v>27500000</v>
      </c>
      <c r="AS48" s="71">
        <f t="shared" si="16"/>
        <v>27500000</v>
      </c>
      <c r="AT48" s="71">
        <f t="shared" si="16"/>
        <v>27500000</v>
      </c>
      <c r="AU48" s="71">
        <f t="shared" si="16"/>
        <v>27500000</v>
      </c>
      <c r="AY48" s="18">
        <f>SUM(D48:M48)/10</f>
        <v>3093750</v>
      </c>
    </row>
    <row r="49" spans="1:51">
      <c r="A49" s="187">
        <f t="shared" si="8"/>
        <v>18</v>
      </c>
      <c r="B49" s="200" t="s">
        <v>169</v>
      </c>
      <c r="C49" s="200"/>
      <c r="D49" s="184">
        <f t="shared" ref="D49:AU49" si="17">(D35+D48)</f>
        <v>687500</v>
      </c>
      <c r="E49" s="78">
        <f t="shared" si="17"/>
        <v>1375000</v>
      </c>
      <c r="F49" s="78">
        <f t="shared" si="17"/>
        <v>2062500</v>
      </c>
      <c r="G49" s="78">
        <f t="shared" si="17"/>
        <v>2750000</v>
      </c>
      <c r="H49" s="78">
        <f t="shared" si="17"/>
        <v>3437500</v>
      </c>
      <c r="I49" s="78">
        <f t="shared" si="17"/>
        <v>4125000</v>
      </c>
      <c r="J49" s="78">
        <f t="shared" si="17"/>
        <v>4812500</v>
      </c>
      <c r="K49" s="78">
        <f t="shared" si="17"/>
        <v>5500000</v>
      </c>
      <c r="L49" s="78">
        <f t="shared" si="17"/>
        <v>6187500</v>
      </c>
      <c r="M49" s="78">
        <f t="shared" si="17"/>
        <v>6875000</v>
      </c>
      <c r="N49" s="78">
        <f t="shared" si="17"/>
        <v>7562500</v>
      </c>
      <c r="O49" s="78">
        <f t="shared" si="17"/>
        <v>8250000</v>
      </c>
      <c r="P49" s="78">
        <f t="shared" si="17"/>
        <v>8937500</v>
      </c>
      <c r="Q49" s="78">
        <f t="shared" si="17"/>
        <v>9625000</v>
      </c>
      <c r="R49" s="78">
        <f t="shared" si="17"/>
        <v>10312500</v>
      </c>
      <c r="S49" s="78">
        <f t="shared" si="17"/>
        <v>11000000</v>
      </c>
      <c r="T49" s="78">
        <f t="shared" si="17"/>
        <v>11687500</v>
      </c>
      <c r="U49" s="78">
        <f t="shared" si="17"/>
        <v>12375000</v>
      </c>
      <c r="V49" s="78">
        <f t="shared" si="17"/>
        <v>13062500</v>
      </c>
      <c r="W49" s="78">
        <f t="shared" si="17"/>
        <v>13750000</v>
      </c>
      <c r="X49" s="78">
        <f t="shared" si="17"/>
        <v>14437500</v>
      </c>
      <c r="Y49" s="78">
        <f t="shared" si="17"/>
        <v>15125000</v>
      </c>
      <c r="Z49" s="78">
        <f t="shared" si="17"/>
        <v>15812500</v>
      </c>
      <c r="AA49" s="78">
        <f t="shared" si="17"/>
        <v>16500000</v>
      </c>
      <c r="AB49" s="78">
        <f t="shared" si="17"/>
        <v>17187500</v>
      </c>
      <c r="AC49" s="78">
        <f t="shared" si="17"/>
        <v>17875000</v>
      </c>
      <c r="AD49" s="78">
        <f t="shared" si="17"/>
        <v>18562500</v>
      </c>
      <c r="AE49" s="78">
        <f t="shared" si="17"/>
        <v>19250000</v>
      </c>
      <c r="AF49" s="78">
        <f t="shared" si="17"/>
        <v>19937500</v>
      </c>
      <c r="AG49" s="78">
        <f t="shared" si="17"/>
        <v>20625000</v>
      </c>
      <c r="AH49" s="78">
        <f t="shared" si="17"/>
        <v>21312500</v>
      </c>
      <c r="AI49" s="78">
        <f t="shared" si="17"/>
        <v>22000000</v>
      </c>
      <c r="AJ49" s="78">
        <f t="shared" si="17"/>
        <v>22687500</v>
      </c>
      <c r="AK49" s="78">
        <f t="shared" si="17"/>
        <v>23375000</v>
      </c>
      <c r="AL49" s="78">
        <f t="shared" si="17"/>
        <v>24062500</v>
      </c>
      <c r="AM49" s="78">
        <f t="shared" si="17"/>
        <v>24750000</v>
      </c>
      <c r="AN49" s="78">
        <f t="shared" si="17"/>
        <v>25437500</v>
      </c>
      <c r="AO49" s="78">
        <f t="shared" si="17"/>
        <v>26125000</v>
      </c>
      <c r="AP49" s="78">
        <f t="shared" si="17"/>
        <v>26812500</v>
      </c>
      <c r="AQ49" s="78">
        <f t="shared" si="17"/>
        <v>27500000</v>
      </c>
      <c r="AR49" s="78">
        <f t="shared" si="17"/>
        <v>27500000</v>
      </c>
      <c r="AS49" s="78">
        <f t="shared" si="17"/>
        <v>27500000</v>
      </c>
      <c r="AT49" s="78">
        <f t="shared" si="17"/>
        <v>27500000</v>
      </c>
      <c r="AU49" s="78">
        <f t="shared" si="17"/>
        <v>27500000</v>
      </c>
      <c r="AY49" s="18">
        <f>SUM(D49:M49)/10</f>
        <v>3781250</v>
      </c>
    </row>
    <row r="50" spans="1:51">
      <c r="A50" s="187">
        <f t="shared" si="8"/>
        <v>19</v>
      </c>
      <c r="B50" s="169" t="s">
        <v>170</v>
      </c>
      <c r="C50" s="169"/>
      <c r="D50" s="122">
        <f t="shared" ref="D50:AU50" si="18">(D48+D49)/2</f>
        <v>343750</v>
      </c>
      <c r="E50" s="167">
        <f t="shared" si="18"/>
        <v>1031250</v>
      </c>
      <c r="F50" s="167">
        <f t="shared" si="18"/>
        <v>1718750</v>
      </c>
      <c r="G50" s="167">
        <f t="shared" si="18"/>
        <v>2406250</v>
      </c>
      <c r="H50" s="167">
        <f t="shared" si="18"/>
        <v>3093750</v>
      </c>
      <c r="I50" s="167">
        <f t="shared" si="18"/>
        <v>3781250</v>
      </c>
      <c r="J50" s="167">
        <f t="shared" si="18"/>
        <v>4468750</v>
      </c>
      <c r="K50" s="167">
        <f t="shared" si="18"/>
        <v>5156250</v>
      </c>
      <c r="L50" s="167">
        <f t="shared" si="18"/>
        <v>5843750</v>
      </c>
      <c r="M50" s="167">
        <f t="shared" si="18"/>
        <v>6531250</v>
      </c>
      <c r="N50" s="167">
        <f t="shared" si="18"/>
        <v>7218750</v>
      </c>
      <c r="O50" s="167">
        <f t="shared" si="18"/>
        <v>7906250</v>
      </c>
      <c r="P50" s="167">
        <f t="shared" si="18"/>
        <v>8593750</v>
      </c>
      <c r="Q50" s="167">
        <f t="shared" si="18"/>
        <v>9281250</v>
      </c>
      <c r="R50" s="167">
        <f t="shared" si="18"/>
        <v>9968750</v>
      </c>
      <c r="S50" s="167">
        <f t="shared" si="18"/>
        <v>10656250</v>
      </c>
      <c r="T50" s="167">
        <f t="shared" si="18"/>
        <v>11343750</v>
      </c>
      <c r="U50" s="167">
        <f t="shared" si="18"/>
        <v>12031250</v>
      </c>
      <c r="V50" s="167">
        <f t="shared" si="18"/>
        <v>12718750</v>
      </c>
      <c r="W50" s="167">
        <f t="shared" si="18"/>
        <v>13406250</v>
      </c>
      <c r="X50" s="167">
        <f t="shared" si="18"/>
        <v>14093750</v>
      </c>
      <c r="Y50" s="167">
        <f t="shared" si="18"/>
        <v>14781250</v>
      </c>
      <c r="Z50" s="167">
        <f t="shared" si="18"/>
        <v>15468750</v>
      </c>
      <c r="AA50" s="167">
        <f t="shared" si="18"/>
        <v>16156250</v>
      </c>
      <c r="AB50" s="167">
        <f t="shared" si="18"/>
        <v>16843750</v>
      </c>
      <c r="AC50" s="167">
        <f t="shared" si="18"/>
        <v>17531250</v>
      </c>
      <c r="AD50" s="167">
        <f t="shared" si="18"/>
        <v>18218750</v>
      </c>
      <c r="AE50" s="167">
        <f t="shared" si="18"/>
        <v>18906250</v>
      </c>
      <c r="AF50" s="167">
        <f t="shared" si="18"/>
        <v>19593750</v>
      </c>
      <c r="AG50" s="167">
        <f t="shared" si="18"/>
        <v>20281250</v>
      </c>
      <c r="AH50" s="167">
        <f t="shared" si="18"/>
        <v>20968750</v>
      </c>
      <c r="AI50" s="167">
        <f t="shared" si="18"/>
        <v>21656250</v>
      </c>
      <c r="AJ50" s="167">
        <f t="shared" si="18"/>
        <v>22343750</v>
      </c>
      <c r="AK50" s="167">
        <f t="shared" si="18"/>
        <v>23031250</v>
      </c>
      <c r="AL50" s="167">
        <f t="shared" si="18"/>
        <v>23718750</v>
      </c>
      <c r="AM50" s="167">
        <f t="shared" si="18"/>
        <v>24406250</v>
      </c>
      <c r="AN50" s="167">
        <f t="shared" si="18"/>
        <v>25093750</v>
      </c>
      <c r="AO50" s="167">
        <f t="shared" si="18"/>
        <v>25781250</v>
      </c>
      <c r="AP50" s="167">
        <f t="shared" si="18"/>
        <v>26468750</v>
      </c>
      <c r="AQ50" s="167">
        <f t="shared" si="18"/>
        <v>27156250</v>
      </c>
      <c r="AR50" s="167">
        <f t="shared" si="18"/>
        <v>27500000</v>
      </c>
      <c r="AS50" s="167">
        <f t="shared" si="18"/>
        <v>27500000</v>
      </c>
      <c r="AT50" s="167">
        <f t="shared" si="18"/>
        <v>27500000</v>
      </c>
      <c r="AU50" s="167">
        <f t="shared" si="18"/>
        <v>27500000</v>
      </c>
      <c r="AY50" s="18">
        <f>SUM(D50:M50)/10</f>
        <v>3437500</v>
      </c>
    </row>
    <row r="51" spans="1:51">
      <c r="A51" s="187">
        <f t="shared" si="8"/>
        <v>20</v>
      </c>
      <c r="B51" s="201" t="s">
        <v>171</v>
      </c>
      <c r="C51" s="201"/>
      <c r="D51" s="181">
        <f t="shared" ref="D51:AU51" si="19">(D46-D50)</f>
        <v>27156250</v>
      </c>
      <c r="E51" s="83">
        <f t="shared" si="19"/>
        <v>26468750</v>
      </c>
      <c r="F51" s="83">
        <f t="shared" si="19"/>
        <v>25781250</v>
      </c>
      <c r="G51" s="83">
        <f t="shared" si="19"/>
        <v>25093750</v>
      </c>
      <c r="H51" s="83">
        <f t="shared" si="19"/>
        <v>24406250</v>
      </c>
      <c r="I51" s="83">
        <f t="shared" si="19"/>
        <v>23718750</v>
      </c>
      <c r="J51" s="83">
        <f t="shared" si="19"/>
        <v>23031250</v>
      </c>
      <c r="K51" s="83">
        <f t="shared" si="19"/>
        <v>22343750</v>
      </c>
      <c r="L51" s="83">
        <f t="shared" si="19"/>
        <v>21656250</v>
      </c>
      <c r="M51" s="83">
        <f t="shared" si="19"/>
        <v>20968750</v>
      </c>
      <c r="N51" s="83">
        <f t="shared" si="19"/>
        <v>20281250</v>
      </c>
      <c r="O51" s="83">
        <f t="shared" si="19"/>
        <v>19593750</v>
      </c>
      <c r="P51" s="83">
        <f t="shared" si="19"/>
        <v>18906250</v>
      </c>
      <c r="Q51" s="83">
        <f t="shared" si="19"/>
        <v>18218750</v>
      </c>
      <c r="R51" s="83">
        <f t="shared" si="19"/>
        <v>17531250</v>
      </c>
      <c r="S51" s="83">
        <f t="shared" si="19"/>
        <v>16843750</v>
      </c>
      <c r="T51" s="83">
        <f t="shared" si="19"/>
        <v>16156250</v>
      </c>
      <c r="U51" s="83">
        <f t="shared" si="19"/>
        <v>15468750</v>
      </c>
      <c r="V51" s="83">
        <f t="shared" si="19"/>
        <v>14781250</v>
      </c>
      <c r="W51" s="83">
        <f t="shared" si="19"/>
        <v>14093750</v>
      </c>
      <c r="X51" s="83">
        <f t="shared" si="19"/>
        <v>13406250</v>
      </c>
      <c r="Y51" s="83">
        <f t="shared" si="19"/>
        <v>12718750</v>
      </c>
      <c r="Z51" s="83">
        <f t="shared" si="19"/>
        <v>12031250</v>
      </c>
      <c r="AA51" s="83">
        <f t="shared" si="19"/>
        <v>11343750</v>
      </c>
      <c r="AB51" s="83">
        <f t="shared" si="19"/>
        <v>10656250</v>
      </c>
      <c r="AC51" s="83">
        <f t="shared" si="19"/>
        <v>9968750</v>
      </c>
      <c r="AD51" s="83">
        <f t="shared" si="19"/>
        <v>9281250</v>
      </c>
      <c r="AE51" s="83">
        <f t="shared" si="19"/>
        <v>8593750</v>
      </c>
      <c r="AF51" s="83">
        <f t="shared" si="19"/>
        <v>7906250</v>
      </c>
      <c r="AG51" s="83">
        <f t="shared" si="19"/>
        <v>7218750</v>
      </c>
      <c r="AH51" s="83">
        <f t="shared" si="19"/>
        <v>6531250</v>
      </c>
      <c r="AI51" s="83">
        <f t="shared" si="19"/>
        <v>5843750</v>
      </c>
      <c r="AJ51" s="83">
        <f t="shared" si="19"/>
        <v>5156250</v>
      </c>
      <c r="AK51" s="83">
        <f t="shared" si="19"/>
        <v>4468750</v>
      </c>
      <c r="AL51" s="83">
        <f t="shared" si="19"/>
        <v>3781250</v>
      </c>
      <c r="AM51" s="83">
        <f t="shared" si="19"/>
        <v>3093750</v>
      </c>
      <c r="AN51" s="83">
        <f t="shared" si="19"/>
        <v>2406250</v>
      </c>
      <c r="AO51" s="83">
        <f t="shared" si="19"/>
        <v>1718750</v>
      </c>
      <c r="AP51" s="83">
        <f t="shared" si="19"/>
        <v>1031250</v>
      </c>
      <c r="AQ51" s="83">
        <f t="shared" si="19"/>
        <v>343750</v>
      </c>
      <c r="AR51" s="83">
        <f t="shared" si="19"/>
        <v>0</v>
      </c>
      <c r="AS51" s="83">
        <f t="shared" si="19"/>
        <v>0</v>
      </c>
      <c r="AT51" s="83">
        <f t="shared" si="19"/>
        <v>0</v>
      </c>
      <c r="AU51" s="83">
        <f t="shared" si="19"/>
        <v>0</v>
      </c>
      <c r="AY51" s="18">
        <f>SUM(D51:M51)/10</f>
        <v>24062500</v>
      </c>
    </row>
    <row r="52" spans="1:51">
      <c r="A52" s="187">
        <f t="shared" si="8"/>
        <v>21</v>
      </c>
      <c r="B52" s="200" t="s">
        <v>172</v>
      </c>
      <c r="C52" s="200"/>
      <c r="D52" s="184">
        <f>($D$12)</f>
        <v>0</v>
      </c>
      <c r="E52" s="78">
        <f t="shared" ref="E52:AU52" si="20">D52*(1+$D$13)</f>
        <v>0</v>
      </c>
      <c r="F52" s="78">
        <f t="shared" si="20"/>
        <v>0</v>
      </c>
      <c r="G52" s="78">
        <f t="shared" si="20"/>
        <v>0</v>
      </c>
      <c r="H52" s="78">
        <f t="shared" si="20"/>
        <v>0</v>
      </c>
      <c r="I52" s="78">
        <f t="shared" si="20"/>
        <v>0</v>
      </c>
      <c r="J52" s="78">
        <f t="shared" si="20"/>
        <v>0</v>
      </c>
      <c r="K52" s="78">
        <f t="shared" si="20"/>
        <v>0</v>
      </c>
      <c r="L52" s="78">
        <f t="shared" si="20"/>
        <v>0</v>
      </c>
      <c r="M52" s="78">
        <f t="shared" si="20"/>
        <v>0</v>
      </c>
      <c r="N52" s="78">
        <f t="shared" si="20"/>
        <v>0</v>
      </c>
      <c r="O52" s="78">
        <f t="shared" si="20"/>
        <v>0</v>
      </c>
      <c r="P52" s="78">
        <f t="shared" si="20"/>
        <v>0</v>
      </c>
      <c r="Q52" s="78">
        <f t="shared" si="20"/>
        <v>0</v>
      </c>
      <c r="R52" s="78">
        <f t="shared" si="20"/>
        <v>0</v>
      </c>
      <c r="S52" s="78">
        <f t="shared" si="20"/>
        <v>0</v>
      </c>
      <c r="T52" s="78">
        <f t="shared" si="20"/>
        <v>0</v>
      </c>
      <c r="U52" s="78">
        <f t="shared" si="20"/>
        <v>0</v>
      </c>
      <c r="V52" s="78">
        <f t="shared" si="20"/>
        <v>0</v>
      </c>
      <c r="W52" s="78">
        <f t="shared" si="20"/>
        <v>0</v>
      </c>
      <c r="X52" s="78">
        <f t="shared" si="20"/>
        <v>0</v>
      </c>
      <c r="Y52" s="78">
        <f t="shared" si="20"/>
        <v>0</v>
      </c>
      <c r="Z52" s="78">
        <f t="shared" si="20"/>
        <v>0</v>
      </c>
      <c r="AA52" s="78">
        <f t="shared" si="20"/>
        <v>0</v>
      </c>
      <c r="AB52" s="78">
        <f t="shared" si="20"/>
        <v>0</v>
      </c>
      <c r="AC52" s="78">
        <f t="shared" si="20"/>
        <v>0</v>
      </c>
      <c r="AD52" s="78">
        <f t="shared" si="20"/>
        <v>0</v>
      </c>
      <c r="AE52" s="78">
        <f t="shared" si="20"/>
        <v>0</v>
      </c>
      <c r="AF52" s="78">
        <f t="shared" si="20"/>
        <v>0</v>
      </c>
      <c r="AG52" s="78">
        <f t="shared" si="20"/>
        <v>0</v>
      </c>
      <c r="AH52" s="78">
        <f t="shared" si="20"/>
        <v>0</v>
      </c>
      <c r="AI52" s="78">
        <f t="shared" si="20"/>
        <v>0</v>
      </c>
      <c r="AJ52" s="78">
        <f t="shared" si="20"/>
        <v>0</v>
      </c>
      <c r="AK52" s="78">
        <f t="shared" si="20"/>
        <v>0</v>
      </c>
      <c r="AL52" s="78">
        <f t="shared" si="20"/>
        <v>0</v>
      </c>
      <c r="AM52" s="78">
        <f t="shared" si="20"/>
        <v>0</v>
      </c>
      <c r="AN52" s="78">
        <f t="shared" si="20"/>
        <v>0</v>
      </c>
      <c r="AO52" s="78">
        <f t="shared" si="20"/>
        <v>0</v>
      </c>
      <c r="AP52" s="78">
        <f t="shared" si="20"/>
        <v>0</v>
      </c>
      <c r="AQ52" s="78">
        <f t="shared" si="20"/>
        <v>0</v>
      </c>
      <c r="AR52" s="78">
        <f t="shared" si="20"/>
        <v>0</v>
      </c>
      <c r="AS52" s="78">
        <f t="shared" si="20"/>
        <v>0</v>
      </c>
      <c r="AT52" s="78">
        <f t="shared" si="20"/>
        <v>0</v>
      </c>
      <c r="AU52" s="78">
        <f t="shared" si="20"/>
        <v>0</v>
      </c>
      <c r="AY52" s="18">
        <f>SUM(D52:M52)/10</f>
        <v>0</v>
      </c>
    </row>
    <row r="53" spans="1:51">
      <c r="A53" s="187">
        <f t="shared" si="8"/>
        <v>22</v>
      </c>
      <c r="B53" s="202" t="s">
        <v>173</v>
      </c>
      <c r="C53" s="202"/>
      <c r="D53" s="181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</row>
    <row r="54" spans="1:51">
      <c r="A54" s="187">
        <f t="shared" si="8"/>
        <v>23</v>
      </c>
      <c r="B54" s="199" t="s">
        <v>168</v>
      </c>
      <c r="C54" s="199"/>
      <c r="D54" s="175">
        <v>0</v>
      </c>
      <c r="E54" s="71">
        <f>(D55)</f>
        <v>84975</v>
      </c>
      <c r="F54" s="71">
        <f t="shared" ref="F54:AU54" si="21">(E55)</f>
        <v>405772.62</v>
      </c>
      <c r="G54" s="71">
        <f t="shared" si="21"/>
        <v>689725.08000000007</v>
      </c>
      <c r="H54" s="71">
        <f t="shared" si="21"/>
        <v>939687.54</v>
      </c>
      <c r="I54" s="71">
        <f t="shared" si="21"/>
        <v>1158107.28</v>
      </c>
      <c r="J54" s="71">
        <f t="shared" si="21"/>
        <v>1347431.58</v>
      </c>
      <c r="K54" s="71">
        <f t="shared" si="21"/>
        <v>1509767.82</v>
      </c>
      <c r="L54" s="71">
        <f t="shared" si="21"/>
        <v>1647223.3800000001</v>
      </c>
      <c r="M54" s="71">
        <f t="shared" si="21"/>
        <v>1780600.1400000001</v>
      </c>
      <c r="N54" s="71">
        <f t="shared" si="21"/>
        <v>1913908.9200000002</v>
      </c>
      <c r="O54" s="71">
        <f t="shared" si="21"/>
        <v>2047285.6800000002</v>
      </c>
      <c r="P54" s="71">
        <f t="shared" si="21"/>
        <v>2180594.46</v>
      </c>
      <c r="Q54" s="71">
        <f t="shared" si="21"/>
        <v>2313971.2199999997</v>
      </c>
      <c r="R54" s="71">
        <f t="shared" si="21"/>
        <v>2447279.9999999995</v>
      </c>
      <c r="S54" s="71">
        <f t="shared" si="21"/>
        <v>2580656.7599999998</v>
      </c>
      <c r="T54" s="71">
        <f t="shared" si="21"/>
        <v>2713965.5399999996</v>
      </c>
      <c r="U54" s="71">
        <f t="shared" si="21"/>
        <v>2847342.3</v>
      </c>
      <c r="V54" s="71">
        <f t="shared" si="21"/>
        <v>2980651.0799999996</v>
      </c>
      <c r="W54" s="71">
        <f t="shared" si="21"/>
        <v>3114027.84</v>
      </c>
      <c r="X54" s="71">
        <f t="shared" si="21"/>
        <v>3247336.6199999996</v>
      </c>
      <c r="Y54" s="71">
        <f t="shared" si="21"/>
        <v>3229049.9999999995</v>
      </c>
      <c r="Z54" s="71">
        <f t="shared" si="21"/>
        <v>3059099.9999999995</v>
      </c>
      <c r="AA54" s="71">
        <f t="shared" si="21"/>
        <v>2889149.9999999995</v>
      </c>
      <c r="AB54" s="71">
        <f t="shared" si="21"/>
        <v>2719199.9999999995</v>
      </c>
      <c r="AC54" s="71">
        <f t="shared" si="21"/>
        <v>2549249.9999999995</v>
      </c>
      <c r="AD54" s="71">
        <f t="shared" si="21"/>
        <v>2379299.9999999995</v>
      </c>
      <c r="AE54" s="71">
        <f t="shared" si="21"/>
        <v>2209349.9999999995</v>
      </c>
      <c r="AF54" s="71">
        <f t="shared" si="21"/>
        <v>2039399.9999999995</v>
      </c>
      <c r="AG54" s="71">
        <f t="shared" si="21"/>
        <v>1869449.9999999995</v>
      </c>
      <c r="AH54" s="71">
        <f t="shared" si="21"/>
        <v>1699499.9999999995</v>
      </c>
      <c r="AI54" s="71">
        <f t="shared" si="21"/>
        <v>1529549.9999999995</v>
      </c>
      <c r="AJ54" s="71">
        <f t="shared" si="21"/>
        <v>1359599.9999999995</v>
      </c>
      <c r="AK54" s="71">
        <f t="shared" si="21"/>
        <v>1189649.9999999995</v>
      </c>
      <c r="AL54" s="71">
        <f t="shared" si="21"/>
        <v>1019699.9999999995</v>
      </c>
      <c r="AM54" s="71">
        <f t="shared" si="21"/>
        <v>849749.99999999953</v>
      </c>
      <c r="AN54" s="71">
        <f t="shared" si="21"/>
        <v>679799.99999999953</v>
      </c>
      <c r="AO54" s="71">
        <f t="shared" si="21"/>
        <v>509849.99999999953</v>
      </c>
      <c r="AP54" s="71">
        <f t="shared" si="21"/>
        <v>339899.99999999953</v>
      </c>
      <c r="AQ54" s="71">
        <f t="shared" si="21"/>
        <v>169949.99999999953</v>
      </c>
      <c r="AR54" s="71">
        <f t="shared" si="21"/>
        <v>-4.6566128730773926E-10</v>
      </c>
      <c r="AS54" s="71">
        <f t="shared" si="21"/>
        <v>-4.6566128730773926E-10</v>
      </c>
      <c r="AT54" s="71">
        <f t="shared" si="21"/>
        <v>-4.6566128730773926E-10</v>
      </c>
      <c r="AU54" s="71">
        <f t="shared" si="21"/>
        <v>-4.6566128730773926E-10</v>
      </c>
      <c r="AY54" s="18">
        <f>SUM(D54:M54)/10</f>
        <v>956329.04400000011</v>
      </c>
    </row>
    <row r="55" spans="1:51">
      <c r="A55" s="187">
        <f t="shared" si="8"/>
        <v>24</v>
      </c>
      <c r="B55" s="200" t="s">
        <v>169</v>
      </c>
      <c r="C55" s="200"/>
      <c r="D55" s="184">
        <f t="shared" ref="D55:AU55" si="22">(D68+D54)</f>
        <v>84975</v>
      </c>
      <c r="E55" s="78">
        <f t="shared" si="22"/>
        <v>405772.62</v>
      </c>
      <c r="F55" s="78">
        <f t="shared" si="22"/>
        <v>689725.08000000007</v>
      </c>
      <c r="G55" s="78">
        <f t="shared" si="22"/>
        <v>939687.54</v>
      </c>
      <c r="H55" s="78">
        <f t="shared" si="22"/>
        <v>1158107.28</v>
      </c>
      <c r="I55" s="78">
        <f t="shared" si="22"/>
        <v>1347431.58</v>
      </c>
      <c r="J55" s="78">
        <f t="shared" si="22"/>
        <v>1509767.82</v>
      </c>
      <c r="K55" s="78">
        <f t="shared" si="22"/>
        <v>1647223.3800000001</v>
      </c>
      <c r="L55" s="78">
        <f t="shared" si="22"/>
        <v>1780600.1400000001</v>
      </c>
      <c r="M55" s="78">
        <f t="shared" si="22"/>
        <v>1913908.9200000002</v>
      </c>
      <c r="N55" s="78">
        <f t="shared" si="22"/>
        <v>2047285.6800000002</v>
      </c>
      <c r="O55" s="78">
        <f t="shared" si="22"/>
        <v>2180594.46</v>
      </c>
      <c r="P55" s="78">
        <f t="shared" si="22"/>
        <v>2313971.2199999997</v>
      </c>
      <c r="Q55" s="78">
        <f t="shared" si="22"/>
        <v>2447279.9999999995</v>
      </c>
      <c r="R55" s="78">
        <f t="shared" si="22"/>
        <v>2580656.7599999998</v>
      </c>
      <c r="S55" s="78">
        <f t="shared" si="22"/>
        <v>2713965.5399999996</v>
      </c>
      <c r="T55" s="78">
        <f t="shared" si="22"/>
        <v>2847342.3</v>
      </c>
      <c r="U55" s="78">
        <f t="shared" si="22"/>
        <v>2980651.0799999996</v>
      </c>
      <c r="V55" s="78">
        <f t="shared" si="22"/>
        <v>3114027.84</v>
      </c>
      <c r="W55" s="78">
        <f t="shared" si="22"/>
        <v>3247336.6199999996</v>
      </c>
      <c r="X55" s="78">
        <f t="shared" si="22"/>
        <v>3229049.9999999995</v>
      </c>
      <c r="Y55" s="78">
        <f t="shared" si="22"/>
        <v>3059099.9999999995</v>
      </c>
      <c r="Z55" s="78">
        <f t="shared" si="22"/>
        <v>2889149.9999999995</v>
      </c>
      <c r="AA55" s="78">
        <f t="shared" si="22"/>
        <v>2719199.9999999995</v>
      </c>
      <c r="AB55" s="78">
        <f t="shared" si="22"/>
        <v>2549249.9999999995</v>
      </c>
      <c r="AC55" s="78">
        <f t="shared" si="22"/>
        <v>2379299.9999999995</v>
      </c>
      <c r="AD55" s="78">
        <f t="shared" si="22"/>
        <v>2209349.9999999995</v>
      </c>
      <c r="AE55" s="78">
        <f t="shared" si="22"/>
        <v>2039399.9999999995</v>
      </c>
      <c r="AF55" s="78">
        <f t="shared" si="22"/>
        <v>1869449.9999999995</v>
      </c>
      <c r="AG55" s="78">
        <f t="shared" si="22"/>
        <v>1699499.9999999995</v>
      </c>
      <c r="AH55" s="78">
        <f t="shared" si="22"/>
        <v>1529549.9999999995</v>
      </c>
      <c r="AI55" s="78">
        <f t="shared" si="22"/>
        <v>1359599.9999999995</v>
      </c>
      <c r="AJ55" s="78">
        <f t="shared" si="22"/>
        <v>1189649.9999999995</v>
      </c>
      <c r="AK55" s="78">
        <f t="shared" si="22"/>
        <v>1019699.9999999995</v>
      </c>
      <c r="AL55" s="78">
        <f t="shared" si="22"/>
        <v>849749.99999999953</v>
      </c>
      <c r="AM55" s="78">
        <f t="shared" si="22"/>
        <v>679799.99999999953</v>
      </c>
      <c r="AN55" s="78">
        <f t="shared" si="22"/>
        <v>509849.99999999953</v>
      </c>
      <c r="AO55" s="78">
        <f t="shared" si="22"/>
        <v>339899.99999999953</v>
      </c>
      <c r="AP55" s="78">
        <f t="shared" si="22"/>
        <v>169949.99999999953</v>
      </c>
      <c r="AQ55" s="78">
        <f t="shared" si="22"/>
        <v>-4.6566128730773926E-10</v>
      </c>
      <c r="AR55" s="78">
        <f t="shared" si="22"/>
        <v>-4.6566128730773926E-10</v>
      </c>
      <c r="AS55" s="78">
        <f t="shared" si="22"/>
        <v>-4.6566128730773926E-10</v>
      </c>
      <c r="AT55" s="78">
        <f t="shared" si="22"/>
        <v>-4.6566128730773926E-10</v>
      </c>
      <c r="AU55" s="78">
        <f t="shared" si="22"/>
        <v>-4.6566128730773926E-10</v>
      </c>
      <c r="AY55" s="18">
        <f>SUM(D55:M55)/10</f>
        <v>1147719.9360000002</v>
      </c>
    </row>
    <row r="56" spans="1:51">
      <c r="A56" s="187">
        <f t="shared" si="8"/>
        <v>25</v>
      </c>
      <c r="B56" s="169" t="s">
        <v>174</v>
      </c>
      <c r="C56" s="169"/>
      <c r="D56" s="122">
        <f t="shared" ref="D56:AU56" si="23">(D54+D55)/2</f>
        <v>42487.5</v>
      </c>
      <c r="E56" s="167">
        <f t="shared" si="23"/>
        <v>245373.81</v>
      </c>
      <c r="F56" s="167">
        <f t="shared" si="23"/>
        <v>547748.85000000009</v>
      </c>
      <c r="G56" s="167">
        <f t="shared" si="23"/>
        <v>814706.31</v>
      </c>
      <c r="H56" s="167">
        <f t="shared" si="23"/>
        <v>1048897.4100000001</v>
      </c>
      <c r="I56" s="167">
        <f t="shared" si="23"/>
        <v>1252769.4300000002</v>
      </c>
      <c r="J56" s="167">
        <f t="shared" si="23"/>
        <v>1428599.7000000002</v>
      </c>
      <c r="K56" s="167">
        <f t="shared" si="23"/>
        <v>1578495.6</v>
      </c>
      <c r="L56" s="167">
        <f t="shared" si="23"/>
        <v>1713911.7600000002</v>
      </c>
      <c r="M56" s="167">
        <f t="shared" si="23"/>
        <v>1847254.5300000003</v>
      </c>
      <c r="N56" s="167">
        <f t="shared" si="23"/>
        <v>1980597.3000000003</v>
      </c>
      <c r="O56" s="167">
        <f t="shared" si="23"/>
        <v>2113940.0700000003</v>
      </c>
      <c r="P56" s="167">
        <f t="shared" si="23"/>
        <v>2247282.84</v>
      </c>
      <c r="Q56" s="167">
        <f t="shared" si="23"/>
        <v>2380625.6099999994</v>
      </c>
      <c r="R56" s="167">
        <f t="shared" si="23"/>
        <v>2513968.38</v>
      </c>
      <c r="S56" s="167">
        <f t="shared" si="23"/>
        <v>2647311.1499999994</v>
      </c>
      <c r="T56" s="167">
        <f t="shared" si="23"/>
        <v>2780653.92</v>
      </c>
      <c r="U56" s="167">
        <f t="shared" si="23"/>
        <v>2913996.6899999995</v>
      </c>
      <c r="V56" s="167">
        <f t="shared" si="23"/>
        <v>3047339.46</v>
      </c>
      <c r="W56" s="167">
        <f t="shared" si="23"/>
        <v>3180682.2299999995</v>
      </c>
      <c r="X56" s="167">
        <f t="shared" si="23"/>
        <v>3238193.3099999996</v>
      </c>
      <c r="Y56" s="167">
        <f t="shared" si="23"/>
        <v>3144074.9999999995</v>
      </c>
      <c r="Z56" s="167">
        <f t="shared" si="23"/>
        <v>2974124.9999999995</v>
      </c>
      <c r="AA56" s="167">
        <f t="shared" si="23"/>
        <v>2804174.9999999995</v>
      </c>
      <c r="AB56" s="167">
        <f t="shared" si="23"/>
        <v>2634224.9999999995</v>
      </c>
      <c r="AC56" s="167">
        <f t="shared" si="23"/>
        <v>2464274.9999999995</v>
      </c>
      <c r="AD56" s="167">
        <f t="shared" si="23"/>
        <v>2294324.9999999995</v>
      </c>
      <c r="AE56" s="167">
        <f t="shared" si="23"/>
        <v>2124374.9999999995</v>
      </c>
      <c r="AF56" s="167">
        <f t="shared" si="23"/>
        <v>1954424.9999999995</v>
      </c>
      <c r="AG56" s="167">
        <f t="shared" si="23"/>
        <v>1784474.9999999995</v>
      </c>
      <c r="AH56" s="167">
        <f t="shared" si="23"/>
        <v>1614524.9999999995</v>
      </c>
      <c r="AI56" s="167">
        <f t="shared" si="23"/>
        <v>1444574.9999999995</v>
      </c>
      <c r="AJ56" s="167">
        <f t="shared" si="23"/>
        <v>1274624.9999999995</v>
      </c>
      <c r="AK56" s="167">
        <f t="shared" si="23"/>
        <v>1104674.9999999995</v>
      </c>
      <c r="AL56" s="167">
        <f t="shared" si="23"/>
        <v>934724.99999999953</v>
      </c>
      <c r="AM56" s="167">
        <f t="shared" si="23"/>
        <v>764774.99999999953</v>
      </c>
      <c r="AN56" s="167">
        <f t="shared" si="23"/>
        <v>594824.99999999953</v>
      </c>
      <c r="AO56" s="167">
        <f t="shared" si="23"/>
        <v>424874.99999999953</v>
      </c>
      <c r="AP56" s="167">
        <f t="shared" si="23"/>
        <v>254924.99999999953</v>
      </c>
      <c r="AQ56" s="167">
        <f t="shared" si="23"/>
        <v>84974.999999999534</v>
      </c>
      <c r="AR56" s="167">
        <f t="shared" si="23"/>
        <v>-4.6566128730773926E-10</v>
      </c>
      <c r="AS56" s="167">
        <f t="shared" si="23"/>
        <v>-4.6566128730773926E-10</v>
      </c>
      <c r="AT56" s="167">
        <f t="shared" si="23"/>
        <v>-4.6566128730773926E-10</v>
      </c>
      <c r="AU56" s="167">
        <f t="shared" si="23"/>
        <v>-4.6566128730773926E-10</v>
      </c>
      <c r="AY56" s="18">
        <f>SUM(D56:M56)/10</f>
        <v>1052024.4900000002</v>
      </c>
    </row>
    <row r="57" spans="1:51" ht="9.75" customHeight="1">
      <c r="A57" s="187">
        <f t="shared" si="8"/>
        <v>26</v>
      </c>
      <c r="B57" s="196" t="s">
        <v>165</v>
      </c>
      <c r="C57" s="196"/>
      <c r="D57" s="122">
        <f>(D51-D56)+(D52/2)</f>
        <v>27113762.5</v>
      </c>
      <c r="E57" s="167">
        <f t="shared" ref="E57:AU57" si="24">(E51+E52-E56)</f>
        <v>26223376.190000001</v>
      </c>
      <c r="F57" s="167">
        <f t="shared" si="24"/>
        <v>25233501.149999999</v>
      </c>
      <c r="G57" s="167">
        <f t="shared" si="24"/>
        <v>24279043.690000001</v>
      </c>
      <c r="H57" s="167">
        <f t="shared" si="24"/>
        <v>23357352.59</v>
      </c>
      <c r="I57" s="167">
        <f t="shared" si="24"/>
        <v>22465980.57</v>
      </c>
      <c r="J57" s="167">
        <f t="shared" si="24"/>
        <v>21602650.300000001</v>
      </c>
      <c r="K57" s="167">
        <f t="shared" si="24"/>
        <v>20765254.399999999</v>
      </c>
      <c r="L57" s="167">
        <f t="shared" si="24"/>
        <v>19942338.239999998</v>
      </c>
      <c r="M57" s="167">
        <f t="shared" si="24"/>
        <v>19121495.469999999</v>
      </c>
      <c r="N57" s="167">
        <f t="shared" si="24"/>
        <v>18300652.699999999</v>
      </c>
      <c r="O57" s="167">
        <f t="shared" si="24"/>
        <v>17479809.93</v>
      </c>
      <c r="P57" s="167">
        <f t="shared" si="24"/>
        <v>16658967.16</v>
      </c>
      <c r="Q57" s="167">
        <f t="shared" si="24"/>
        <v>15838124.390000001</v>
      </c>
      <c r="R57" s="167">
        <f t="shared" si="24"/>
        <v>15017281.620000001</v>
      </c>
      <c r="S57" s="167">
        <f t="shared" si="24"/>
        <v>14196438.850000001</v>
      </c>
      <c r="T57" s="167">
        <f t="shared" si="24"/>
        <v>13375596.08</v>
      </c>
      <c r="U57" s="167">
        <f t="shared" si="24"/>
        <v>12554753.310000001</v>
      </c>
      <c r="V57" s="167">
        <f t="shared" si="24"/>
        <v>11733910.539999999</v>
      </c>
      <c r="W57" s="167">
        <f t="shared" si="24"/>
        <v>10913067.77</v>
      </c>
      <c r="X57" s="167">
        <f t="shared" si="24"/>
        <v>10168056.690000001</v>
      </c>
      <c r="Y57" s="167">
        <f t="shared" si="24"/>
        <v>9574675</v>
      </c>
      <c r="Z57" s="167">
        <f t="shared" si="24"/>
        <v>9057125</v>
      </c>
      <c r="AA57" s="167">
        <f t="shared" si="24"/>
        <v>8539575</v>
      </c>
      <c r="AB57" s="167">
        <f t="shared" si="24"/>
        <v>8022025</v>
      </c>
      <c r="AC57" s="167">
        <f t="shared" si="24"/>
        <v>7504475</v>
      </c>
      <c r="AD57" s="167">
        <f t="shared" si="24"/>
        <v>6986925</v>
      </c>
      <c r="AE57" s="167">
        <f t="shared" si="24"/>
        <v>6469375</v>
      </c>
      <c r="AF57" s="167">
        <f t="shared" si="24"/>
        <v>5951825</v>
      </c>
      <c r="AG57" s="167">
        <f t="shared" si="24"/>
        <v>5434275</v>
      </c>
      <c r="AH57" s="167">
        <f t="shared" si="24"/>
        <v>4916725</v>
      </c>
      <c r="AI57" s="167">
        <f t="shared" si="24"/>
        <v>4399175</v>
      </c>
      <c r="AJ57" s="167">
        <f t="shared" si="24"/>
        <v>3881625.0000000005</v>
      </c>
      <c r="AK57" s="167">
        <f t="shared" si="24"/>
        <v>3364075.0000000005</v>
      </c>
      <c r="AL57" s="167">
        <f t="shared" si="24"/>
        <v>2846525.0000000005</v>
      </c>
      <c r="AM57" s="167">
        <f t="shared" si="24"/>
        <v>2328975.0000000005</v>
      </c>
      <c r="AN57" s="167">
        <f t="shared" si="24"/>
        <v>1811425.0000000005</v>
      </c>
      <c r="AO57" s="167">
        <f t="shared" si="24"/>
        <v>1293875.0000000005</v>
      </c>
      <c r="AP57" s="167">
        <f t="shared" si="24"/>
        <v>776325.00000000047</v>
      </c>
      <c r="AQ57" s="167">
        <f t="shared" si="24"/>
        <v>258775.00000000047</v>
      </c>
      <c r="AR57" s="167">
        <f t="shared" si="24"/>
        <v>4.6566128730773926E-10</v>
      </c>
      <c r="AS57" s="167">
        <f t="shared" si="24"/>
        <v>4.6566128730773926E-10</v>
      </c>
      <c r="AT57" s="167">
        <f t="shared" si="24"/>
        <v>4.6566128730773926E-10</v>
      </c>
      <c r="AU57" s="167">
        <f t="shared" si="24"/>
        <v>4.6566128730773926E-10</v>
      </c>
      <c r="AY57" s="18">
        <f>SUM(D57:M57)/10</f>
        <v>23010475.510000002</v>
      </c>
    </row>
    <row r="58" spans="1:51">
      <c r="A58" s="187">
        <f t="shared" si="8"/>
        <v>27</v>
      </c>
      <c r="B58" s="197" t="s">
        <v>175</v>
      </c>
      <c r="C58" s="197"/>
      <c r="D58" s="203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</row>
    <row r="59" spans="1:51">
      <c r="A59" s="187">
        <f t="shared" si="8"/>
        <v>28</v>
      </c>
      <c r="B59" s="71" t="str">
        <f>"     Equity Return @ "&amp;TEXT(M15,"0.00%")</f>
        <v xml:space="preserve">     Equity Return @ 5.13%</v>
      </c>
      <c r="C59" s="71"/>
      <c r="D59" s="175">
        <f t="shared" ref="D59:AU59" si="25">$M$15*D57</f>
        <v>1390544.8253372514</v>
      </c>
      <c r="E59" s="71">
        <f t="shared" si="25"/>
        <v>1344880.8539160357</v>
      </c>
      <c r="F59" s="71">
        <f t="shared" si="25"/>
        <v>1294114.5460455399</v>
      </c>
      <c r="G59" s="71">
        <f t="shared" si="25"/>
        <v>1245164.6490326286</v>
      </c>
      <c r="H59" s="71">
        <f t="shared" si="25"/>
        <v>1197895.193542473</v>
      </c>
      <c r="I59" s="71">
        <f t="shared" si="25"/>
        <v>1152180.6694198467</v>
      </c>
      <c r="J59" s="71">
        <f t="shared" si="25"/>
        <v>1107904.2824925247</v>
      </c>
      <c r="K59" s="71">
        <f t="shared" si="25"/>
        <v>1064957.9545712841</v>
      </c>
      <c r="L59" s="71">
        <f t="shared" si="25"/>
        <v>1022754.2284018011</v>
      </c>
      <c r="M59" s="71">
        <f t="shared" si="25"/>
        <v>980656.83722494042</v>
      </c>
      <c r="N59" s="71">
        <f t="shared" si="25"/>
        <v>938559.44604807976</v>
      </c>
      <c r="O59" s="71">
        <f t="shared" si="25"/>
        <v>896462.05487121909</v>
      </c>
      <c r="P59" s="71">
        <f t="shared" si="25"/>
        <v>854364.66369435843</v>
      </c>
      <c r="Q59" s="71">
        <f t="shared" si="25"/>
        <v>812267.27251749777</v>
      </c>
      <c r="R59" s="71">
        <f t="shared" si="25"/>
        <v>770169.88134063722</v>
      </c>
      <c r="S59" s="71">
        <f t="shared" si="25"/>
        <v>728072.49016377656</v>
      </c>
      <c r="T59" s="71">
        <f t="shared" si="25"/>
        <v>685975.09898691578</v>
      </c>
      <c r="U59" s="71">
        <f t="shared" si="25"/>
        <v>643877.70781005512</v>
      </c>
      <c r="V59" s="71">
        <f t="shared" si="25"/>
        <v>601780.31663319445</v>
      </c>
      <c r="W59" s="71">
        <f t="shared" si="25"/>
        <v>559682.92545633379</v>
      </c>
      <c r="X59" s="71">
        <f t="shared" si="25"/>
        <v>521474.60589489649</v>
      </c>
      <c r="Y59" s="71">
        <f t="shared" si="25"/>
        <v>491042.68636770523</v>
      </c>
      <c r="Z59" s="71">
        <f t="shared" si="25"/>
        <v>464499.8384559374</v>
      </c>
      <c r="AA59" s="71">
        <f t="shared" si="25"/>
        <v>437956.99054416956</v>
      </c>
      <c r="AB59" s="71">
        <f t="shared" si="25"/>
        <v>411414.14263240172</v>
      </c>
      <c r="AC59" s="71">
        <f t="shared" si="25"/>
        <v>384871.29472063383</v>
      </c>
      <c r="AD59" s="71">
        <f t="shared" si="25"/>
        <v>358328.44680886599</v>
      </c>
      <c r="AE59" s="71">
        <f t="shared" si="25"/>
        <v>331785.59889709816</v>
      </c>
      <c r="AF59" s="71">
        <f t="shared" si="25"/>
        <v>305242.75098533032</v>
      </c>
      <c r="AG59" s="71">
        <f t="shared" si="25"/>
        <v>278699.90307356243</v>
      </c>
      <c r="AH59" s="71">
        <f t="shared" si="25"/>
        <v>252157.05516179459</v>
      </c>
      <c r="AI59" s="71">
        <f t="shared" si="25"/>
        <v>225614.20725002675</v>
      </c>
      <c r="AJ59" s="71">
        <f t="shared" si="25"/>
        <v>199071.35933825892</v>
      </c>
      <c r="AK59" s="71">
        <f t="shared" si="25"/>
        <v>172528.51142649105</v>
      </c>
      <c r="AL59" s="71">
        <f t="shared" si="25"/>
        <v>145985.66351472322</v>
      </c>
      <c r="AM59" s="71">
        <f t="shared" si="25"/>
        <v>119442.81560295535</v>
      </c>
      <c r="AN59" s="71">
        <f t="shared" si="25"/>
        <v>92899.967691187499</v>
      </c>
      <c r="AO59" s="71">
        <f t="shared" si="25"/>
        <v>66357.119779419649</v>
      </c>
      <c r="AP59" s="71">
        <f t="shared" si="25"/>
        <v>39814.271867651798</v>
      </c>
      <c r="AQ59" s="71">
        <f t="shared" si="25"/>
        <v>13271.423955883949</v>
      </c>
      <c r="AR59" s="71">
        <f t="shared" si="25"/>
        <v>2.3881705588652993E-11</v>
      </c>
      <c r="AS59" s="71">
        <f t="shared" si="25"/>
        <v>2.3881705588652993E-11</v>
      </c>
      <c r="AT59" s="71">
        <f t="shared" si="25"/>
        <v>2.3881705588652993E-11</v>
      </c>
      <c r="AU59" s="71">
        <f t="shared" si="25"/>
        <v>2.3881705588652993E-11</v>
      </c>
      <c r="AY59" s="18">
        <f>SUM(D59:M59)/10</f>
        <v>1180105.4039984324</v>
      </c>
    </row>
    <row r="60" spans="1:51">
      <c r="A60" s="187">
        <f t="shared" si="8"/>
        <v>29</v>
      </c>
      <c r="B60" s="78" t="str">
        <f>"     Debt Return @ "&amp;TEXT(M16,"0.00%")</f>
        <v xml:space="preserve">     Debt Return @ 2.51%</v>
      </c>
      <c r="C60" s="78"/>
      <c r="D60" s="184">
        <f>$M$16*D57</f>
        <v>681745.97066594742</v>
      </c>
      <c r="E60" s="78">
        <f t="shared" ref="E60:AU60" si="26">$M$16*E57</f>
        <v>659358.17851874465</v>
      </c>
      <c r="F60" s="78">
        <f t="shared" si="26"/>
        <v>634468.85082094558</v>
      </c>
      <c r="G60" s="78">
        <f t="shared" si="26"/>
        <v>610470.05952346139</v>
      </c>
      <c r="H60" s="78">
        <f t="shared" si="26"/>
        <v>587295.14259248716</v>
      </c>
      <c r="I60" s="78">
        <f t="shared" si="26"/>
        <v>564882.56584297237</v>
      </c>
      <c r="J60" s="78">
        <f t="shared" si="26"/>
        <v>543175.0682971616</v>
      </c>
      <c r="K60" s="78">
        <f t="shared" si="26"/>
        <v>522119.66218459478</v>
      </c>
      <c r="L60" s="78">
        <f t="shared" si="26"/>
        <v>501428.33333357697</v>
      </c>
      <c r="M60" s="78">
        <f t="shared" si="26"/>
        <v>480789.13761156035</v>
      </c>
      <c r="N60" s="78">
        <f t="shared" si="26"/>
        <v>460149.94188954373</v>
      </c>
      <c r="O60" s="78">
        <f t="shared" si="26"/>
        <v>439510.7461675271</v>
      </c>
      <c r="P60" s="78">
        <f t="shared" si="26"/>
        <v>418871.55044551048</v>
      </c>
      <c r="Q60" s="78">
        <f t="shared" si="26"/>
        <v>398232.35472349386</v>
      </c>
      <c r="R60" s="78">
        <f t="shared" si="26"/>
        <v>377593.15900147724</v>
      </c>
      <c r="S60" s="78">
        <f t="shared" si="26"/>
        <v>356953.96327946062</v>
      </c>
      <c r="T60" s="78">
        <f t="shared" si="26"/>
        <v>336314.76755744399</v>
      </c>
      <c r="U60" s="78">
        <f t="shared" si="26"/>
        <v>315675.57183542737</v>
      </c>
      <c r="V60" s="78">
        <f t="shared" si="26"/>
        <v>295036.37611341069</v>
      </c>
      <c r="W60" s="78">
        <f t="shared" si="26"/>
        <v>274397.18039139407</v>
      </c>
      <c r="X60" s="78">
        <f t="shared" si="26"/>
        <v>255664.68976448514</v>
      </c>
      <c r="Y60" s="78">
        <f t="shared" si="26"/>
        <v>240744.75468633245</v>
      </c>
      <c r="Z60" s="78">
        <f t="shared" si="26"/>
        <v>227731.52470328743</v>
      </c>
      <c r="AA60" s="78">
        <f t="shared" si="26"/>
        <v>214718.29472024244</v>
      </c>
      <c r="AB60" s="78">
        <f t="shared" si="26"/>
        <v>201705.06473719745</v>
      </c>
      <c r="AC60" s="78">
        <f t="shared" si="26"/>
        <v>188691.83475415246</v>
      </c>
      <c r="AD60" s="78">
        <f t="shared" si="26"/>
        <v>175678.60477110746</v>
      </c>
      <c r="AE60" s="78">
        <f t="shared" si="26"/>
        <v>162665.37478806247</v>
      </c>
      <c r="AF60" s="78">
        <f t="shared" si="26"/>
        <v>149652.14480501745</v>
      </c>
      <c r="AG60" s="78">
        <f t="shared" si="26"/>
        <v>136638.91482197246</v>
      </c>
      <c r="AH60" s="78">
        <f t="shared" si="26"/>
        <v>123625.68483892747</v>
      </c>
      <c r="AI60" s="78">
        <f t="shared" si="26"/>
        <v>110612.45485588248</v>
      </c>
      <c r="AJ60" s="78">
        <f t="shared" si="26"/>
        <v>97599.224872837483</v>
      </c>
      <c r="AK60" s="78">
        <f t="shared" si="26"/>
        <v>84585.994889792491</v>
      </c>
      <c r="AL60" s="78">
        <f t="shared" si="26"/>
        <v>71572.764906747499</v>
      </c>
      <c r="AM60" s="78">
        <f t="shared" si="26"/>
        <v>58559.5349237025</v>
      </c>
      <c r="AN60" s="78">
        <f t="shared" si="26"/>
        <v>45546.304940657501</v>
      </c>
      <c r="AO60" s="78">
        <f t="shared" si="26"/>
        <v>32533.074957612505</v>
      </c>
      <c r="AP60" s="78">
        <f t="shared" si="26"/>
        <v>19519.844974567506</v>
      </c>
      <c r="AQ60" s="78">
        <f t="shared" si="26"/>
        <v>6506.6149915225105</v>
      </c>
      <c r="AR60" s="78">
        <f t="shared" si="26"/>
        <v>1.1708544925005126E-11</v>
      </c>
      <c r="AS60" s="78">
        <f t="shared" si="26"/>
        <v>1.1708544925005126E-11</v>
      </c>
      <c r="AT60" s="78">
        <f t="shared" si="26"/>
        <v>1.1708544925005126E-11</v>
      </c>
      <c r="AU60" s="78">
        <f t="shared" si="26"/>
        <v>1.1708544925005126E-11</v>
      </c>
      <c r="AY60" s="18">
        <f>SUM(D60:M60)/10</f>
        <v>578573.29693914531</v>
      </c>
    </row>
    <row r="61" spans="1:51">
      <c r="A61" s="187">
        <f t="shared" si="8"/>
        <v>30</v>
      </c>
      <c r="B61" s="167" t="str">
        <f>"     Total Return @ "&amp;TEXT(M17,"0.00%")</f>
        <v xml:space="preserve">     Total Return @ 7.64%</v>
      </c>
      <c r="C61" s="167"/>
      <c r="D61" s="122">
        <f t="shared" ref="D61:AU61" si="27">D59+D60</f>
        <v>2072290.7960031987</v>
      </c>
      <c r="E61" s="167">
        <f t="shared" si="27"/>
        <v>2004239.0324347804</v>
      </c>
      <c r="F61" s="167">
        <f t="shared" si="27"/>
        <v>1928583.3968664855</v>
      </c>
      <c r="G61" s="167">
        <f t="shared" si="27"/>
        <v>1855634.70855609</v>
      </c>
      <c r="H61" s="167">
        <f t="shared" si="27"/>
        <v>1785190.3361349602</v>
      </c>
      <c r="I61" s="167">
        <f t="shared" si="27"/>
        <v>1717063.2352628191</v>
      </c>
      <c r="J61" s="167">
        <f t="shared" si="27"/>
        <v>1651079.3507896862</v>
      </c>
      <c r="K61" s="167">
        <f t="shared" si="27"/>
        <v>1587077.616755879</v>
      </c>
      <c r="L61" s="167">
        <f t="shared" si="27"/>
        <v>1524182.5617353781</v>
      </c>
      <c r="M61" s="167">
        <f t="shared" si="27"/>
        <v>1461445.9748365008</v>
      </c>
      <c r="N61" s="167">
        <f t="shared" si="27"/>
        <v>1398709.3879376235</v>
      </c>
      <c r="O61" s="167">
        <f t="shared" si="27"/>
        <v>1335972.8010387463</v>
      </c>
      <c r="P61" s="167">
        <f t="shared" si="27"/>
        <v>1273236.214139869</v>
      </c>
      <c r="Q61" s="167">
        <f t="shared" si="27"/>
        <v>1210499.6272409917</v>
      </c>
      <c r="R61" s="167">
        <f t="shared" si="27"/>
        <v>1147763.0403421144</v>
      </c>
      <c r="S61" s="167">
        <f t="shared" si="27"/>
        <v>1085026.4534432371</v>
      </c>
      <c r="T61" s="167">
        <f t="shared" si="27"/>
        <v>1022289.8665443598</v>
      </c>
      <c r="U61" s="167">
        <f t="shared" si="27"/>
        <v>959553.27964548254</v>
      </c>
      <c r="V61" s="167">
        <f t="shared" si="27"/>
        <v>896816.69274660514</v>
      </c>
      <c r="W61" s="167">
        <f t="shared" si="27"/>
        <v>834080.10584772786</v>
      </c>
      <c r="X61" s="167">
        <f t="shared" si="27"/>
        <v>777139.29565938166</v>
      </c>
      <c r="Y61" s="167">
        <f t="shared" si="27"/>
        <v>731787.44105403766</v>
      </c>
      <c r="Z61" s="167">
        <f t="shared" si="27"/>
        <v>692231.36315922486</v>
      </c>
      <c r="AA61" s="167">
        <f t="shared" si="27"/>
        <v>652675.28526441194</v>
      </c>
      <c r="AB61" s="167">
        <f t="shared" si="27"/>
        <v>613119.20736959914</v>
      </c>
      <c r="AC61" s="167">
        <f t="shared" si="27"/>
        <v>573563.12947478634</v>
      </c>
      <c r="AD61" s="167">
        <f t="shared" si="27"/>
        <v>534007.05157997343</v>
      </c>
      <c r="AE61" s="167">
        <f t="shared" si="27"/>
        <v>494450.97368516063</v>
      </c>
      <c r="AF61" s="167">
        <f t="shared" si="27"/>
        <v>454894.89579034777</v>
      </c>
      <c r="AG61" s="167">
        <f t="shared" si="27"/>
        <v>415338.81789553491</v>
      </c>
      <c r="AH61" s="167">
        <f t="shared" si="27"/>
        <v>375782.74000072206</v>
      </c>
      <c r="AI61" s="167">
        <f t="shared" si="27"/>
        <v>336226.6621059092</v>
      </c>
      <c r="AJ61" s="167">
        <f t="shared" si="27"/>
        <v>296670.5842110964</v>
      </c>
      <c r="AK61" s="167">
        <f t="shared" si="27"/>
        <v>257114.50631628354</v>
      </c>
      <c r="AL61" s="167">
        <f t="shared" si="27"/>
        <v>217558.42842147071</v>
      </c>
      <c r="AM61" s="167">
        <f t="shared" si="27"/>
        <v>178002.35052665786</v>
      </c>
      <c r="AN61" s="167">
        <f t="shared" si="27"/>
        <v>138446.272631845</v>
      </c>
      <c r="AO61" s="167">
        <f t="shared" si="27"/>
        <v>98890.194737032158</v>
      </c>
      <c r="AP61" s="167">
        <f t="shared" si="27"/>
        <v>59334.1168422193</v>
      </c>
      <c r="AQ61" s="167">
        <f t="shared" si="27"/>
        <v>19778.038947406458</v>
      </c>
      <c r="AR61" s="167">
        <f t="shared" si="27"/>
        <v>3.5590250513658118E-11</v>
      </c>
      <c r="AS61" s="167">
        <f t="shared" si="27"/>
        <v>3.5590250513658118E-11</v>
      </c>
      <c r="AT61" s="167">
        <f t="shared" si="27"/>
        <v>3.5590250513658118E-11</v>
      </c>
      <c r="AU61" s="167">
        <f t="shared" si="27"/>
        <v>3.5590250513658118E-11</v>
      </c>
      <c r="AY61" s="18">
        <f>SUM(D61:M61)/10</f>
        <v>1758678.700937578</v>
      </c>
    </row>
    <row r="62" spans="1:51">
      <c r="A62" s="187">
        <f t="shared" si="8"/>
        <v>31</v>
      </c>
      <c r="B62" s="197" t="s">
        <v>176</v>
      </c>
      <c r="C62" s="197"/>
      <c r="D62" s="204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</row>
    <row r="63" spans="1:51" s="208" customFormat="1">
      <c r="A63" s="187">
        <f t="shared" si="8"/>
        <v>32</v>
      </c>
      <c r="B63" s="205" t="s">
        <v>177</v>
      </c>
      <c r="C63" s="206" t="s">
        <v>178</v>
      </c>
      <c r="D63" s="138">
        <f>L101</f>
        <v>3.7499999999999999E-2</v>
      </c>
      <c r="E63" s="207">
        <f>L102</f>
        <v>7.2190000000000004E-2</v>
      </c>
      <c r="F63" s="207">
        <f>L103</f>
        <v>6.6769999999999996E-2</v>
      </c>
      <c r="G63" s="207">
        <f>L104</f>
        <v>6.1769999999999999E-2</v>
      </c>
      <c r="H63" s="207">
        <f>L105</f>
        <v>5.713E-2</v>
      </c>
      <c r="I63" s="207">
        <f>L106</f>
        <v>5.2850000000000001E-2</v>
      </c>
      <c r="J63" s="207">
        <f>L107</f>
        <v>4.888E-2</v>
      </c>
      <c r="K63" s="207">
        <f>L108</f>
        <v>4.5220000000000003E-2</v>
      </c>
      <c r="L63" s="207">
        <f>L109</f>
        <v>4.462E-2</v>
      </c>
      <c r="M63" s="207">
        <f>L110</f>
        <v>4.4609999999999997E-2</v>
      </c>
      <c r="N63" s="207">
        <f>L111</f>
        <v>4.462E-2</v>
      </c>
      <c r="O63" s="207">
        <f>L112</f>
        <v>4.4609999999999997E-2</v>
      </c>
      <c r="P63" s="207">
        <f>L113</f>
        <v>4.462E-2</v>
      </c>
      <c r="Q63" s="207">
        <f>L114</f>
        <v>4.4609999999999997E-2</v>
      </c>
      <c r="R63" s="207">
        <f>L115</f>
        <v>4.462E-2</v>
      </c>
      <c r="S63" s="207">
        <f>L116</f>
        <v>4.4609999999999997E-2</v>
      </c>
      <c r="T63" s="207">
        <f>L117</f>
        <v>4.462E-2</v>
      </c>
      <c r="U63" s="207">
        <f>L118</f>
        <v>4.4609999999999997E-2</v>
      </c>
      <c r="V63" s="207">
        <f>L119</f>
        <v>4.462E-2</v>
      </c>
      <c r="W63" s="207">
        <f>L120</f>
        <v>4.4609999999999997E-2</v>
      </c>
      <c r="X63" s="207">
        <f>L121</f>
        <v>2.231E-2</v>
      </c>
      <c r="Y63" s="207">
        <f>L122</f>
        <v>0</v>
      </c>
      <c r="Z63" s="207">
        <f>L123</f>
        <v>0</v>
      </c>
      <c r="AA63" s="207">
        <f>L124</f>
        <v>0</v>
      </c>
      <c r="AB63" s="207">
        <f>L125</f>
        <v>0</v>
      </c>
      <c r="AC63" s="207">
        <f>L126</f>
        <v>0</v>
      </c>
      <c r="AD63" s="207">
        <f>L127</f>
        <v>0</v>
      </c>
      <c r="AE63" s="207">
        <f>L128</f>
        <v>0</v>
      </c>
      <c r="AF63" s="207">
        <f>L129</f>
        <v>0</v>
      </c>
      <c r="AG63" s="207">
        <f>L130</f>
        <v>0</v>
      </c>
      <c r="AH63" s="207">
        <f>L131</f>
        <v>0</v>
      </c>
      <c r="AI63" s="207">
        <f>L132</f>
        <v>0</v>
      </c>
      <c r="AJ63" s="207">
        <f>L133</f>
        <v>0</v>
      </c>
      <c r="AK63" s="207">
        <f>L134</f>
        <v>0</v>
      </c>
      <c r="AL63" s="207">
        <f t="shared" ref="AL63:AU63" si="28">M134</f>
        <v>0</v>
      </c>
      <c r="AM63" s="207">
        <f t="shared" si="28"/>
        <v>0</v>
      </c>
      <c r="AN63" s="207">
        <f t="shared" si="28"/>
        <v>0</v>
      </c>
      <c r="AO63" s="207">
        <f t="shared" si="28"/>
        <v>0</v>
      </c>
      <c r="AP63" s="207">
        <f t="shared" si="28"/>
        <v>0</v>
      </c>
      <c r="AQ63" s="207">
        <f t="shared" si="28"/>
        <v>0</v>
      </c>
      <c r="AR63" s="207">
        <f t="shared" si="28"/>
        <v>0</v>
      </c>
      <c r="AS63" s="207">
        <f t="shared" si="28"/>
        <v>0</v>
      </c>
      <c r="AT63" s="207">
        <f t="shared" si="28"/>
        <v>0</v>
      </c>
      <c r="AU63" s="207">
        <f t="shared" si="28"/>
        <v>0</v>
      </c>
      <c r="AV63" s="208">
        <f>SUM(D63:AK63)</f>
        <v>1.0000000000000002</v>
      </c>
    </row>
    <row r="64" spans="1:51">
      <c r="A64" s="187">
        <f t="shared" si="8"/>
        <v>33</v>
      </c>
      <c r="B64" s="199" t="s">
        <v>179</v>
      </c>
      <c r="C64" s="209">
        <f>($D$5+$D$8)</f>
        <v>27500000</v>
      </c>
      <c r="D64" s="175">
        <f>(($C$64)*D63)</f>
        <v>1031250</v>
      </c>
      <c r="E64" s="71">
        <f t="shared" ref="E64:AU64" si="29">(($C$64)*E63)</f>
        <v>1985225</v>
      </c>
      <c r="F64" s="71">
        <f t="shared" si="29"/>
        <v>1836175</v>
      </c>
      <c r="G64" s="71">
        <f t="shared" si="29"/>
        <v>1698675</v>
      </c>
      <c r="H64" s="71">
        <f t="shared" si="29"/>
        <v>1571075</v>
      </c>
      <c r="I64" s="71">
        <f t="shared" si="29"/>
        <v>1453375</v>
      </c>
      <c r="J64" s="71">
        <f t="shared" si="29"/>
        <v>1344200</v>
      </c>
      <c r="K64" s="71">
        <f t="shared" si="29"/>
        <v>1243550</v>
      </c>
      <c r="L64" s="71">
        <f t="shared" si="29"/>
        <v>1227050</v>
      </c>
      <c r="M64" s="71">
        <f t="shared" si="29"/>
        <v>1226775</v>
      </c>
      <c r="N64" s="71">
        <f t="shared" si="29"/>
        <v>1227050</v>
      </c>
      <c r="O64" s="71">
        <f t="shared" si="29"/>
        <v>1226775</v>
      </c>
      <c r="P64" s="71">
        <f t="shared" si="29"/>
        <v>1227050</v>
      </c>
      <c r="Q64" s="71">
        <f t="shared" si="29"/>
        <v>1226775</v>
      </c>
      <c r="R64" s="71">
        <f t="shared" si="29"/>
        <v>1227050</v>
      </c>
      <c r="S64" s="71">
        <f t="shared" si="29"/>
        <v>1226775</v>
      </c>
      <c r="T64" s="71">
        <f t="shared" si="29"/>
        <v>1227050</v>
      </c>
      <c r="U64" s="71">
        <f t="shared" si="29"/>
        <v>1226775</v>
      </c>
      <c r="V64" s="71">
        <f t="shared" si="29"/>
        <v>1227050</v>
      </c>
      <c r="W64" s="71">
        <f t="shared" si="29"/>
        <v>1226775</v>
      </c>
      <c r="X64" s="71">
        <f t="shared" si="29"/>
        <v>613525</v>
      </c>
      <c r="Y64" s="71">
        <f t="shared" si="29"/>
        <v>0</v>
      </c>
      <c r="Z64" s="71">
        <f t="shared" si="29"/>
        <v>0</v>
      </c>
      <c r="AA64" s="71">
        <f t="shared" si="29"/>
        <v>0</v>
      </c>
      <c r="AB64" s="71">
        <f t="shared" si="29"/>
        <v>0</v>
      </c>
      <c r="AC64" s="71">
        <f t="shared" si="29"/>
        <v>0</v>
      </c>
      <c r="AD64" s="71">
        <f t="shared" si="29"/>
        <v>0</v>
      </c>
      <c r="AE64" s="71">
        <f t="shared" si="29"/>
        <v>0</v>
      </c>
      <c r="AF64" s="71">
        <f t="shared" si="29"/>
        <v>0</v>
      </c>
      <c r="AG64" s="71">
        <f t="shared" si="29"/>
        <v>0</v>
      </c>
      <c r="AH64" s="71">
        <f t="shared" si="29"/>
        <v>0</v>
      </c>
      <c r="AI64" s="71">
        <f t="shared" si="29"/>
        <v>0</v>
      </c>
      <c r="AJ64" s="71">
        <f t="shared" si="29"/>
        <v>0</v>
      </c>
      <c r="AK64" s="71">
        <f t="shared" si="29"/>
        <v>0</v>
      </c>
      <c r="AL64" s="71">
        <f t="shared" si="29"/>
        <v>0</v>
      </c>
      <c r="AM64" s="71">
        <f t="shared" si="29"/>
        <v>0</v>
      </c>
      <c r="AN64" s="71">
        <f t="shared" si="29"/>
        <v>0</v>
      </c>
      <c r="AO64" s="71">
        <f t="shared" si="29"/>
        <v>0</v>
      </c>
      <c r="AP64" s="71">
        <f t="shared" si="29"/>
        <v>0</v>
      </c>
      <c r="AQ64" s="71">
        <f t="shared" si="29"/>
        <v>0</v>
      </c>
      <c r="AR64" s="71">
        <f t="shared" si="29"/>
        <v>0</v>
      </c>
      <c r="AS64" s="71">
        <f t="shared" si="29"/>
        <v>0</v>
      </c>
      <c r="AT64" s="71">
        <f t="shared" si="29"/>
        <v>0</v>
      </c>
      <c r="AU64" s="71">
        <f t="shared" si="29"/>
        <v>0</v>
      </c>
      <c r="AV64" s="18">
        <f>SUM(D64:AK64)</f>
        <v>27500000</v>
      </c>
      <c r="AY64" s="18">
        <f>SUM(D64:M64)/10</f>
        <v>1461735</v>
      </c>
    </row>
    <row r="65" spans="1:51">
      <c r="A65" s="187">
        <f t="shared" si="8"/>
        <v>34</v>
      </c>
      <c r="B65" s="200" t="s">
        <v>180</v>
      </c>
      <c r="C65" s="210">
        <f>+D5</f>
        <v>27500000</v>
      </c>
      <c r="D65" s="184">
        <f t="shared" ref="D65:AU65" si="30">(D35)</f>
        <v>687500</v>
      </c>
      <c r="E65" s="78">
        <f t="shared" si="30"/>
        <v>687500</v>
      </c>
      <c r="F65" s="78">
        <f t="shared" si="30"/>
        <v>687500</v>
      </c>
      <c r="G65" s="78">
        <f t="shared" si="30"/>
        <v>687500</v>
      </c>
      <c r="H65" s="78">
        <f t="shared" si="30"/>
        <v>687500</v>
      </c>
      <c r="I65" s="78">
        <f t="shared" si="30"/>
        <v>687500</v>
      </c>
      <c r="J65" s="78">
        <f t="shared" si="30"/>
        <v>687500</v>
      </c>
      <c r="K65" s="78">
        <f t="shared" si="30"/>
        <v>687500</v>
      </c>
      <c r="L65" s="78">
        <f t="shared" si="30"/>
        <v>687500</v>
      </c>
      <c r="M65" s="78">
        <f t="shared" si="30"/>
        <v>687500</v>
      </c>
      <c r="N65" s="78">
        <f t="shared" si="30"/>
        <v>687500</v>
      </c>
      <c r="O65" s="78">
        <f t="shared" si="30"/>
        <v>687500</v>
      </c>
      <c r="P65" s="78">
        <f t="shared" si="30"/>
        <v>687500</v>
      </c>
      <c r="Q65" s="78">
        <f t="shared" si="30"/>
        <v>687500</v>
      </c>
      <c r="R65" s="78">
        <f t="shared" si="30"/>
        <v>687500</v>
      </c>
      <c r="S65" s="78">
        <f t="shared" si="30"/>
        <v>687500</v>
      </c>
      <c r="T65" s="78">
        <f t="shared" si="30"/>
        <v>687500</v>
      </c>
      <c r="U65" s="78">
        <f t="shared" si="30"/>
        <v>687500</v>
      </c>
      <c r="V65" s="78">
        <f t="shared" si="30"/>
        <v>687500</v>
      </c>
      <c r="W65" s="78">
        <f t="shared" si="30"/>
        <v>687500</v>
      </c>
      <c r="X65" s="78">
        <f t="shared" si="30"/>
        <v>687500</v>
      </c>
      <c r="Y65" s="78">
        <f t="shared" si="30"/>
        <v>687500</v>
      </c>
      <c r="Z65" s="78">
        <f t="shared" si="30"/>
        <v>687500</v>
      </c>
      <c r="AA65" s="78">
        <f t="shared" si="30"/>
        <v>687500</v>
      </c>
      <c r="AB65" s="78">
        <f t="shared" si="30"/>
        <v>687500</v>
      </c>
      <c r="AC65" s="78">
        <f t="shared" si="30"/>
        <v>687500</v>
      </c>
      <c r="AD65" s="78">
        <f t="shared" si="30"/>
        <v>687500</v>
      </c>
      <c r="AE65" s="78">
        <f t="shared" si="30"/>
        <v>687500</v>
      </c>
      <c r="AF65" s="78">
        <f t="shared" si="30"/>
        <v>687500</v>
      </c>
      <c r="AG65" s="78">
        <f t="shared" si="30"/>
        <v>687500</v>
      </c>
      <c r="AH65" s="78">
        <f t="shared" si="30"/>
        <v>687500</v>
      </c>
      <c r="AI65" s="78">
        <f t="shared" si="30"/>
        <v>687500</v>
      </c>
      <c r="AJ65" s="78">
        <f t="shared" si="30"/>
        <v>687500</v>
      </c>
      <c r="AK65" s="78">
        <f t="shared" si="30"/>
        <v>687500</v>
      </c>
      <c r="AL65" s="78">
        <f t="shared" si="30"/>
        <v>687500</v>
      </c>
      <c r="AM65" s="78">
        <f t="shared" si="30"/>
        <v>687500</v>
      </c>
      <c r="AN65" s="78">
        <f t="shared" si="30"/>
        <v>687500</v>
      </c>
      <c r="AO65" s="78">
        <f t="shared" si="30"/>
        <v>687500</v>
      </c>
      <c r="AP65" s="78">
        <f t="shared" si="30"/>
        <v>687500</v>
      </c>
      <c r="AQ65" s="78">
        <f t="shared" si="30"/>
        <v>687500</v>
      </c>
      <c r="AR65" s="78">
        <f t="shared" si="30"/>
        <v>0</v>
      </c>
      <c r="AS65" s="78">
        <f t="shared" si="30"/>
        <v>0</v>
      </c>
      <c r="AT65" s="78">
        <f t="shared" si="30"/>
        <v>0</v>
      </c>
      <c r="AU65" s="78">
        <f t="shared" si="30"/>
        <v>0</v>
      </c>
      <c r="AV65" s="18">
        <f>SUM(D65:AK65)</f>
        <v>23375000</v>
      </c>
      <c r="AY65" s="18">
        <f>SUM(D65:M65)/10</f>
        <v>687500</v>
      </c>
    </row>
    <row r="66" spans="1:51">
      <c r="A66" s="187">
        <f t="shared" si="8"/>
        <v>35</v>
      </c>
      <c r="B66" s="169" t="s">
        <v>181</v>
      </c>
      <c r="C66" s="169"/>
      <c r="D66" s="122">
        <f t="shared" ref="D66:AU66" si="31">(D64-D65)</f>
        <v>343750</v>
      </c>
      <c r="E66" s="167">
        <f t="shared" si="31"/>
        <v>1297725</v>
      </c>
      <c r="F66" s="167">
        <f t="shared" si="31"/>
        <v>1148675</v>
      </c>
      <c r="G66" s="167">
        <f t="shared" si="31"/>
        <v>1011175</v>
      </c>
      <c r="H66" s="167">
        <f t="shared" si="31"/>
        <v>883575</v>
      </c>
      <c r="I66" s="167">
        <f t="shared" si="31"/>
        <v>765875</v>
      </c>
      <c r="J66" s="167">
        <f t="shared" si="31"/>
        <v>656700</v>
      </c>
      <c r="K66" s="167">
        <f t="shared" si="31"/>
        <v>556050</v>
      </c>
      <c r="L66" s="167">
        <f t="shared" si="31"/>
        <v>539550</v>
      </c>
      <c r="M66" s="167">
        <f t="shared" si="31"/>
        <v>539275</v>
      </c>
      <c r="N66" s="167">
        <f t="shared" si="31"/>
        <v>539550</v>
      </c>
      <c r="O66" s="167">
        <f t="shared" si="31"/>
        <v>539275</v>
      </c>
      <c r="P66" s="167">
        <f t="shared" si="31"/>
        <v>539550</v>
      </c>
      <c r="Q66" s="167">
        <f t="shared" si="31"/>
        <v>539275</v>
      </c>
      <c r="R66" s="167">
        <f t="shared" si="31"/>
        <v>539550</v>
      </c>
      <c r="S66" s="167">
        <f t="shared" si="31"/>
        <v>539275</v>
      </c>
      <c r="T66" s="167">
        <f t="shared" si="31"/>
        <v>539550</v>
      </c>
      <c r="U66" s="167">
        <f t="shared" si="31"/>
        <v>539275</v>
      </c>
      <c r="V66" s="167">
        <f t="shared" si="31"/>
        <v>539550</v>
      </c>
      <c r="W66" s="167">
        <f t="shared" si="31"/>
        <v>539275</v>
      </c>
      <c r="X66" s="167">
        <f t="shared" si="31"/>
        <v>-73975</v>
      </c>
      <c r="Y66" s="167">
        <f t="shared" si="31"/>
        <v>-687500</v>
      </c>
      <c r="Z66" s="167">
        <f t="shared" si="31"/>
        <v>-687500</v>
      </c>
      <c r="AA66" s="167">
        <f t="shared" si="31"/>
        <v>-687500</v>
      </c>
      <c r="AB66" s="167">
        <f t="shared" si="31"/>
        <v>-687500</v>
      </c>
      <c r="AC66" s="167">
        <f t="shared" si="31"/>
        <v>-687500</v>
      </c>
      <c r="AD66" s="167">
        <f t="shared" si="31"/>
        <v>-687500</v>
      </c>
      <c r="AE66" s="167">
        <f t="shared" si="31"/>
        <v>-687500</v>
      </c>
      <c r="AF66" s="167">
        <f t="shared" si="31"/>
        <v>-687500</v>
      </c>
      <c r="AG66" s="167">
        <f t="shared" si="31"/>
        <v>-687500</v>
      </c>
      <c r="AH66" s="167">
        <f t="shared" si="31"/>
        <v>-687500</v>
      </c>
      <c r="AI66" s="167">
        <f t="shared" si="31"/>
        <v>-687500</v>
      </c>
      <c r="AJ66" s="167">
        <f t="shared" si="31"/>
        <v>-687500</v>
      </c>
      <c r="AK66" s="167">
        <f t="shared" si="31"/>
        <v>-687500</v>
      </c>
      <c r="AL66" s="167">
        <f t="shared" si="31"/>
        <v>-687500</v>
      </c>
      <c r="AM66" s="167">
        <f t="shared" si="31"/>
        <v>-687500</v>
      </c>
      <c r="AN66" s="167">
        <f t="shared" si="31"/>
        <v>-687500</v>
      </c>
      <c r="AO66" s="167">
        <f t="shared" si="31"/>
        <v>-687500</v>
      </c>
      <c r="AP66" s="167">
        <f t="shared" si="31"/>
        <v>-687500</v>
      </c>
      <c r="AQ66" s="167">
        <f t="shared" si="31"/>
        <v>-687500</v>
      </c>
      <c r="AR66" s="167">
        <f t="shared" si="31"/>
        <v>0</v>
      </c>
      <c r="AS66" s="167">
        <f t="shared" si="31"/>
        <v>0</v>
      </c>
      <c r="AT66" s="167">
        <f t="shared" si="31"/>
        <v>0</v>
      </c>
      <c r="AU66" s="167">
        <f t="shared" si="31"/>
        <v>0</v>
      </c>
      <c r="AY66" s="18">
        <f>SUM(D66:M66)/10</f>
        <v>774235</v>
      </c>
    </row>
    <row r="67" spans="1:51">
      <c r="A67" s="187">
        <f t="shared" si="8"/>
        <v>36</v>
      </c>
      <c r="B67" s="169" t="s">
        <v>182</v>
      </c>
      <c r="C67" s="169"/>
      <c r="D67" s="167">
        <f>-C14</f>
        <v>0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</row>
    <row r="68" spans="1:51">
      <c r="A68" s="187">
        <f t="shared" si="8"/>
        <v>37</v>
      </c>
      <c r="B68" s="168" t="str">
        <f>"Deferred Tax @ "&amp;TEXT(H7,"0.00%")</f>
        <v>Deferred Tax @ 24.72%</v>
      </c>
      <c r="C68" s="168"/>
      <c r="D68" s="167">
        <f>((D66+D67)*$H$7)</f>
        <v>84975</v>
      </c>
      <c r="E68" s="167">
        <f t="shared" ref="E68:AU68" si="32">(E66*$H$7)</f>
        <v>320797.62</v>
      </c>
      <c r="F68" s="167">
        <f t="shared" si="32"/>
        <v>283952.46000000002</v>
      </c>
      <c r="G68" s="167">
        <f t="shared" si="32"/>
        <v>249962.46</v>
      </c>
      <c r="H68" s="167">
        <f t="shared" si="32"/>
        <v>218419.74</v>
      </c>
      <c r="I68" s="167">
        <f t="shared" si="32"/>
        <v>189324.3</v>
      </c>
      <c r="J68" s="167">
        <f t="shared" si="32"/>
        <v>162336.24</v>
      </c>
      <c r="K68" s="167">
        <f t="shared" si="32"/>
        <v>137455.56</v>
      </c>
      <c r="L68" s="167">
        <f t="shared" si="32"/>
        <v>133376.76</v>
      </c>
      <c r="M68" s="167">
        <f t="shared" si="32"/>
        <v>133308.78</v>
      </c>
      <c r="N68" s="167">
        <f t="shared" si="32"/>
        <v>133376.76</v>
      </c>
      <c r="O68" s="167">
        <f t="shared" si="32"/>
        <v>133308.78</v>
      </c>
      <c r="P68" s="167">
        <f t="shared" si="32"/>
        <v>133376.76</v>
      </c>
      <c r="Q68" s="167">
        <f t="shared" si="32"/>
        <v>133308.78</v>
      </c>
      <c r="R68" s="167">
        <f t="shared" si="32"/>
        <v>133376.76</v>
      </c>
      <c r="S68" s="167">
        <f t="shared" si="32"/>
        <v>133308.78</v>
      </c>
      <c r="T68" s="167">
        <f t="shared" si="32"/>
        <v>133376.76</v>
      </c>
      <c r="U68" s="167">
        <f t="shared" si="32"/>
        <v>133308.78</v>
      </c>
      <c r="V68" s="167">
        <f t="shared" si="32"/>
        <v>133376.76</v>
      </c>
      <c r="W68" s="167">
        <f t="shared" si="32"/>
        <v>133308.78</v>
      </c>
      <c r="X68" s="167">
        <f t="shared" si="32"/>
        <v>-18286.62</v>
      </c>
      <c r="Y68" s="167">
        <f t="shared" si="32"/>
        <v>-169950</v>
      </c>
      <c r="Z68" s="167">
        <f t="shared" si="32"/>
        <v>-169950</v>
      </c>
      <c r="AA68" s="167">
        <f t="shared" si="32"/>
        <v>-169950</v>
      </c>
      <c r="AB68" s="167">
        <f t="shared" si="32"/>
        <v>-169950</v>
      </c>
      <c r="AC68" s="167">
        <f t="shared" si="32"/>
        <v>-169950</v>
      </c>
      <c r="AD68" s="167">
        <f t="shared" si="32"/>
        <v>-169950</v>
      </c>
      <c r="AE68" s="167">
        <f t="shared" si="32"/>
        <v>-169950</v>
      </c>
      <c r="AF68" s="167">
        <f t="shared" si="32"/>
        <v>-169950</v>
      </c>
      <c r="AG68" s="167">
        <f t="shared" si="32"/>
        <v>-169950</v>
      </c>
      <c r="AH68" s="167">
        <f t="shared" si="32"/>
        <v>-169950</v>
      </c>
      <c r="AI68" s="167">
        <f t="shared" si="32"/>
        <v>-169950</v>
      </c>
      <c r="AJ68" s="167">
        <f t="shared" si="32"/>
        <v>-169950</v>
      </c>
      <c r="AK68" s="167">
        <f t="shared" si="32"/>
        <v>-169950</v>
      </c>
      <c r="AL68" s="167">
        <f t="shared" si="32"/>
        <v>-169950</v>
      </c>
      <c r="AM68" s="167">
        <f t="shared" si="32"/>
        <v>-169950</v>
      </c>
      <c r="AN68" s="167">
        <f t="shared" si="32"/>
        <v>-169950</v>
      </c>
      <c r="AO68" s="167">
        <f t="shared" si="32"/>
        <v>-169950</v>
      </c>
      <c r="AP68" s="167">
        <f t="shared" si="32"/>
        <v>-169950</v>
      </c>
      <c r="AQ68" s="167">
        <f t="shared" si="32"/>
        <v>-169950</v>
      </c>
      <c r="AR68" s="167">
        <f t="shared" si="32"/>
        <v>0</v>
      </c>
      <c r="AS68" s="167">
        <f t="shared" si="32"/>
        <v>0</v>
      </c>
      <c r="AT68" s="167">
        <f t="shared" si="32"/>
        <v>0</v>
      </c>
      <c r="AU68" s="167">
        <f t="shared" si="32"/>
        <v>0</v>
      </c>
      <c r="AY68" s="18">
        <f>SUM(D68:M68)/10</f>
        <v>191390.89200000002</v>
      </c>
    </row>
    <row r="69" spans="1:51">
      <c r="B69" s="90" t="s">
        <v>183</v>
      </c>
      <c r="C69" s="90"/>
      <c r="D69" s="211">
        <f t="shared" ref="D69:AU69" si="33">D57*$L15</f>
        <v>14117206.348601537</v>
      </c>
      <c r="E69" s="211">
        <f t="shared" si="33"/>
        <v>13653612.730112039</v>
      </c>
      <c r="F69" s="211">
        <f t="shared" si="33"/>
        <v>13138218.741579084</v>
      </c>
      <c r="G69" s="211">
        <f t="shared" si="33"/>
        <v>12641265.472412473</v>
      </c>
      <c r="H69" s="211">
        <f t="shared" si="33"/>
        <v>12161372.523273837</v>
      </c>
      <c r="I69" s="211">
        <f t="shared" si="33"/>
        <v>11697265.679389305</v>
      </c>
      <c r="J69" s="211">
        <f t="shared" si="33"/>
        <v>11247759.213122077</v>
      </c>
      <c r="K69" s="211">
        <f t="shared" si="33"/>
        <v>10811755.883972429</v>
      </c>
      <c r="L69" s="211">
        <f t="shared" si="33"/>
        <v>10383291.658901533</v>
      </c>
      <c r="M69" s="211">
        <f t="shared" si="33"/>
        <v>9955906.9769029468</v>
      </c>
      <c r="N69" s="211">
        <f t="shared" si="33"/>
        <v>9528522.2949043624</v>
      </c>
      <c r="O69" s="211">
        <f t="shared" si="33"/>
        <v>9101137.612905778</v>
      </c>
      <c r="P69" s="211">
        <f t="shared" si="33"/>
        <v>8673752.9309071917</v>
      </c>
      <c r="Q69" s="211">
        <f t="shared" si="33"/>
        <v>8246368.2489086073</v>
      </c>
      <c r="R69" s="211">
        <f t="shared" si="33"/>
        <v>7818983.5669100219</v>
      </c>
      <c r="S69" s="211">
        <f t="shared" si="33"/>
        <v>7391598.8849114366</v>
      </c>
      <c r="T69" s="211">
        <f t="shared" si="33"/>
        <v>6964214.2029128503</v>
      </c>
      <c r="U69" s="211">
        <f t="shared" si="33"/>
        <v>6536829.520914265</v>
      </c>
      <c r="V69" s="211">
        <f t="shared" si="33"/>
        <v>6109444.8389156787</v>
      </c>
      <c r="W69" s="211">
        <f t="shared" si="33"/>
        <v>5682060.1569170933</v>
      </c>
      <c r="X69" s="211">
        <f t="shared" si="33"/>
        <v>5294158.4354811823</v>
      </c>
      <c r="Y69" s="211">
        <f t="shared" si="33"/>
        <v>4985204.9377432</v>
      </c>
      <c r="Z69" s="211">
        <f t="shared" si="33"/>
        <v>4715734.400567892</v>
      </c>
      <c r="AA69" s="211">
        <f t="shared" si="33"/>
        <v>4446263.863392584</v>
      </c>
      <c r="AB69" s="211">
        <f t="shared" si="33"/>
        <v>4176793.326217276</v>
      </c>
      <c r="AC69" s="211">
        <f t="shared" si="33"/>
        <v>3907322.7890419676</v>
      </c>
      <c r="AD69" s="211">
        <f t="shared" si="33"/>
        <v>3637852.2518666596</v>
      </c>
      <c r="AE69" s="211">
        <f t="shared" si="33"/>
        <v>3368381.7146913516</v>
      </c>
      <c r="AF69" s="211">
        <f t="shared" si="33"/>
        <v>3098911.1775160437</v>
      </c>
      <c r="AG69" s="211">
        <f t="shared" si="33"/>
        <v>2829440.6403407352</v>
      </c>
      <c r="AH69" s="211">
        <f t="shared" si="33"/>
        <v>2559970.1031654272</v>
      </c>
      <c r="AI69" s="211">
        <f t="shared" si="33"/>
        <v>2290499.5659901192</v>
      </c>
      <c r="AJ69" s="211">
        <f t="shared" si="33"/>
        <v>2021029.0288148113</v>
      </c>
      <c r="AK69" s="211">
        <f t="shared" si="33"/>
        <v>1751558.491639503</v>
      </c>
      <c r="AL69" s="211">
        <f t="shared" si="33"/>
        <v>1482087.9544641948</v>
      </c>
      <c r="AM69" s="211">
        <f t="shared" si="33"/>
        <v>1212617.4172888868</v>
      </c>
      <c r="AN69" s="211">
        <f t="shared" si="33"/>
        <v>943146.88011357863</v>
      </c>
      <c r="AO69" s="211">
        <f t="shared" si="33"/>
        <v>673676.34293827054</v>
      </c>
      <c r="AP69" s="211">
        <f t="shared" si="33"/>
        <v>404205.80576296244</v>
      </c>
      <c r="AQ69" s="211">
        <f t="shared" si="33"/>
        <v>134735.26858765431</v>
      </c>
      <c r="AR69" s="211">
        <f t="shared" si="33"/>
        <v>2.4245386384419281E-10</v>
      </c>
      <c r="AS69" s="211">
        <f t="shared" si="33"/>
        <v>2.4245386384419281E-10</v>
      </c>
      <c r="AT69" s="211">
        <f t="shared" si="33"/>
        <v>2.4245386384419281E-10</v>
      </c>
      <c r="AU69" s="211">
        <f t="shared" si="33"/>
        <v>2.4245386384419281E-10</v>
      </c>
    </row>
    <row r="70" spans="1:51">
      <c r="B70" s="90"/>
      <c r="C70" s="90"/>
      <c r="D70" s="212"/>
      <c r="E70" s="212"/>
    </row>
    <row r="71" spans="1:51">
      <c r="B71" s="29" t="s">
        <v>184</v>
      </c>
      <c r="C71" s="90"/>
      <c r="D71" s="166">
        <v>1</v>
      </c>
      <c r="E71" s="166">
        <f>D71+1</f>
        <v>2</v>
      </c>
      <c r="F71" s="166">
        <f t="shared" ref="F71:AU71" si="34">E71+1</f>
        <v>3</v>
      </c>
      <c r="G71" s="166">
        <f t="shared" si="34"/>
        <v>4</v>
      </c>
      <c r="H71" s="166">
        <f t="shared" si="34"/>
        <v>5</v>
      </c>
      <c r="I71" s="166">
        <f t="shared" si="34"/>
        <v>6</v>
      </c>
      <c r="J71" s="166">
        <f t="shared" si="34"/>
        <v>7</v>
      </c>
      <c r="K71" s="166">
        <f t="shared" si="34"/>
        <v>8</v>
      </c>
      <c r="L71" s="166">
        <f t="shared" si="34"/>
        <v>9</v>
      </c>
      <c r="M71" s="166">
        <f t="shared" si="34"/>
        <v>10</v>
      </c>
      <c r="N71" s="166">
        <f t="shared" si="34"/>
        <v>11</v>
      </c>
      <c r="O71" s="166">
        <f t="shared" si="34"/>
        <v>12</v>
      </c>
      <c r="P71" s="166">
        <f t="shared" si="34"/>
        <v>13</v>
      </c>
      <c r="Q71" s="166">
        <f t="shared" si="34"/>
        <v>14</v>
      </c>
      <c r="R71" s="166">
        <f t="shared" si="34"/>
        <v>15</v>
      </c>
      <c r="S71" s="166">
        <f t="shared" si="34"/>
        <v>16</v>
      </c>
      <c r="T71" s="166">
        <f t="shared" si="34"/>
        <v>17</v>
      </c>
      <c r="U71" s="166">
        <f t="shared" si="34"/>
        <v>18</v>
      </c>
      <c r="V71" s="166">
        <f t="shared" si="34"/>
        <v>19</v>
      </c>
      <c r="W71" s="166">
        <f t="shared" si="34"/>
        <v>20</v>
      </c>
      <c r="X71" s="166">
        <f t="shared" si="34"/>
        <v>21</v>
      </c>
      <c r="Y71" s="166">
        <f t="shared" si="34"/>
        <v>22</v>
      </c>
      <c r="Z71" s="166">
        <f t="shared" si="34"/>
        <v>23</v>
      </c>
      <c r="AA71" s="166">
        <f t="shared" si="34"/>
        <v>24</v>
      </c>
      <c r="AB71" s="166">
        <f t="shared" si="34"/>
        <v>25</v>
      </c>
      <c r="AC71" s="166">
        <f t="shared" si="34"/>
        <v>26</v>
      </c>
      <c r="AD71" s="166">
        <f t="shared" si="34"/>
        <v>27</v>
      </c>
      <c r="AE71" s="166">
        <f t="shared" si="34"/>
        <v>28</v>
      </c>
      <c r="AF71" s="166">
        <f t="shared" si="34"/>
        <v>29</v>
      </c>
      <c r="AG71" s="166">
        <f t="shared" si="34"/>
        <v>30</v>
      </c>
      <c r="AH71" s="166">
        <f t="shared" si="34"/>
        <v>31</v>
      </c>
      <c r="AI71" s="166">
        <f t="shared" si="34"/>
        <v>32</v>
      </c>
      <c r="AJ71" s="166">
        <f t="shared" si="34"/>
        <v>33</v>
      </c>
      <c r="AK71" s="166">
        <f t="shared" si="34"/>
        <v>34</v>
      </c>
      <c r="AL71" s="166">
        <f t="shared" si="34"/>
        <v>35</v>
      </c>
      <c r="AM71" s="166">
        <f t="shared" si="34"/>
        <v>36</v>
      </c>
      <c r="AN71" s="166">
        <f t="shared" si="34"/>
        <v>37</v>
      </c>
      <c r="AO71" s="166">
        <f t="shared" si="34"/>
        <v>38</v>
      </c>
      <c r="AP71" s="166">
        <f t="shared" si="34"/>
        <v>39</v>
      </c>
      <c r="AQ71" s="166">
        <f t="shared" si="34"/>
        <v>40</v>
      </c>
      <c r="AR71" s="166">
        <f t="shared" si="34"/>
        <v>41</v>
      </c>
      <c r="AS71" s="166">
        <f t="shared" si="34"/>
        <v>42</v>
      </c>
      <c r="AT71" s="166">
        <f t="shared" si="34"/>
        <v>43</v>
      </c>
      <c r="AU71" s="166">
        <f t="shared" si="34"/>
        <v>44</v>
      </c>
    </row>
    <row r="72" spans="1:51">
      <c r="B72" s="29" t="s">
        <v>185</v>
      </c>
      <c r="C72" s="90"/>
      <c r="D72" s="212"/>
      <c r="E72" s="212"/>
    </row>
    <row r="73" spans="1:51">
      <c r="B73" s="90" t="s">
        <v>186</v>
      </c>
      <c r="C73" s="90"/>
      <c r="D73" s="213">
        <f t="shared" ref="D73:AU73" si="35">D46</f>
        <v>27500000</v>
      </c>
      <c r="E73" s="214">
        <f t="shared" si="35"/>
        <v>27500000</v>
      </c>
      <c r="F73" s="214">
        <f t="shared" si="35"/>
        <v>27500000</v>
      </c>
      <c r="G73" s="214">
        <f t="shared" si="35"/>
        <v>27500000</v>
      </c>
      <c r="H73" s="214">
        <f t="shared" si="35"/>
        <v>27500000</v>
      </c>
      <c r="I73" s="214">
        <f t="shared" si="35"/>
        <v>27500000</v>
      </c>
      <c r="J73" s="214">
        <f t="shared" si="35"/>
        <v>27500000</v>
      </c>
      <c r="K73" s="214">
        <f t="shared" si="35"/>
        <v>27500000</v>
      </c>
      <c r="L73" s="214">
        <f t="shared" si="35"/>
        <v>27500000</v>
      </c>
      <c r="M73" s="214">
        <f t="shared" si="35"/>
        <v>27500000</v>
      </c>
      <c r="N73" s="214">
        <f t="shared" si="35"/>
        <v>27500000</v>
      </c>
      <c r="O73" s="214">
        <f t="shared" si="35"/>
        <v>27500000</v>
      </c>
      <c r="P73" s="214">
        <f t="shared" si="35"/>
        <v>27500000</v>
      </c>
      <c r="Q73" s="214">
        <f t="shared" si="35"/>
        <v>27500000</v>
      </c>
      <c r="R73" s="214">
        <f t="shared" si="35"/>
        <v>27500000</v>
      </c>
      <c r="S73" s="214">
        <f t="shared" si="35"/>
        <v>27500000</v>
      </c>
      <c r="T73" s="214">
        <f t="shared" si="35"/>
        <v>27500000</v>
      </c>
      <c r="U73" s="214">
        <f t="shared" si="35"/>
        <v>27500000</v>
      </c>
      <c r="V73" s="214">
        <f t="shared" si="35"/>
        <v>27500000</v>
      </c>
      <c r="W73" s="214">
        <f t="shared" si="35"/>
        <v>27500000</v>
      </c>
      <c r="X73" s="214">
        <f t="shared" si="35"/>
        <v>27500000</v>
      </c>
      <c r="Y73" s="214">
        <f t="shared" si="35"/>
        <v>27500000</v>
      </c>
      <c r="Z73" s="214">
        <f t="shared" si="35"/>
        <v>27500000</v>
      </c>
      <c r="AA73" s="214">
        <f t="shared" si="35"/>
        <v>27500000</v>
      </c>
      <c r="AB73" s="214">
        <f t="shared" si="35"/>
        <v>27500000</v>
      </c>
      <c r="AC73" s="214">
        <f t="shared" si="35"/>
        <v>27500000</v>
      </c>
      <c r="AD73" s="214">
        <f t="shared" si="35"/>
        <v>27500000</v>
      </c>
      <c r="AE73" s="214">
        <f t="shared" si="35"/>
        <v>27500000</v>
      </c>
      <c r="AF73" s="214">
        <f t="shared" si="35"/>
        <v>27500000</v>
      </c>
      <c r="AG73" s="214">
        <f t="shared" si="35"/>
        <v>27500000</v>
      </c>
      <c r="AH73" s="214">
        <f t="shared" si="35"/>
        <v>27500000</v>
      </c>
      <c r="AI73" s="214">
        <f t="shared" si="35"/>
        <v>27500000</v>
      </c>
      <c r="AJ73" s="214">
        <f t="shared" si="35"/>
        <v>27500000</v>
      </c>
      <c r="AK73" s="214">
        <f t="shared" si="35"/>
        <v>27500000</v>
      </c>
      <c r="AL73" s="214">
        <f t="shared" si="35"/>
        <v>27500000</v>
      </c>
      <c r="AM73" s="214">
        <f t="shared" si="35"/>
        <v>27500000</v>
      </c>
      <c r="AN73" s="214">
        <f t="shared" si="35"/>
        <v>27500000</v>
      </c>
      <c r="AO73" s="214">
        <f t="shared" si="35"/>
        <v>27500000</v>
      </c>
      <c r="AP73" s="214">
        <f t="shared" si="35"/>
        <v>27500000</v>
      </c>
      <c r="AQ73" s="214">
        <f t="shared" si="35"/>
        <v>27500000</v>
      </c>
      <c r="AR73" s="214">
        <f t="shared" si="35"/>
        <v>27500000</v>
      </c>
      <c r="AS73" s="214">
        <f t="shared" si="35"/>
        <v>27500000</v>
      </c>
      <c r="AT73" s="214">
        <f t="shared" si="35"/>
        <v>27500000</v>
      </c>
      <c r="AU73" s="214">
        <f t="shared" si="35"/>
        <v>27500000</v>
      </c>
    </row>
    <row r="74" spans="1:51">
      <c r="B74" s="90" t="s">
        <v>187</v>
      </c>
      <c r="C74" s="90"/>
      <c r="D74" s="215">
        <f t="shared" ref="D74:AU75" si="36">D50</f>
        <v>343750</v>
      </c>
      <c r="E74" s="215">
        <f t="shared" si="36"/>
        <v>1031250</v>
      </c>
      <c r="F74" s="215">
        <f t="shared" si="36"/>
        <v>1718750</v>
      </c>
      <c r="G74" s="215">
        <f t="shared" si="36"/>
        <v>2406250</v>
      </c>
      <c r="H74" s="215">
        <f t="shared" si="36"/>
        <v>3093750</v>
      </c>
      <c r="I74" s="215">
        <f t="shared" si="36"/>
        <v>3781250</v>
      </c>
      <c r="J74" s="215">
        <f t="shared" si="36"/>
        <v>4468750</v>
      </c>
      <c r="K74" s="215">
        <f t="shared" si="36"/>
        <v>5156250</v>
      </c>
      <c r="L74" s="215">
        <f t="shared" si="36"/>
        <v>5843750</v>
      </c>
      <c r="M74" s="215">
        <f t="shared" si="36"/>
        <v>6531250</v>
      </c>
      <c r="N74" s="215">
        <f t="shared" si="36"/>
        <v>7218750</v>
      </c>
      <c r="O74" s="215">
        <f t="shared" si="36"/>
        <v>7906250</v>
      </c>
      <c r="P74" s="215">
        <f t="shared" si="36"/>
        <v>8593750</v>
      </c>
      <c r="Q74" s="215">
        <f t="shared" si="36"/>
        <v>9281250</v>
      </c>
      <c r="R74" s="215">
        <f t="shared" si="36"/>
        <v>9968750</v>
      </c>
      <c r="S74" s="215">
        <f t="shared" si="36"/>
        <v>10656250</v>
      </c>
      <c r="T74" s="215">
        <f t="shared" si="36"/>
        <v>11343750</v>
      </c>
      <c r="U74" s="215">
        <f t="shared" si="36"/>
        <v>12031250</v>
      </c>
      <c r="V74" s="215">
        <f t="shared" si="36"/>
        <v>12718750</v>
      </c>
      <c r="W74" s="215">
        <f t="shared" si="36"/>
        <v>13406250</v>
      </c>
      <c r="X74" s="215">
        <f t="shared" si="36"/>
        <v>14093750</v>
      </c>
      <c r="Y74" s="215">
        <f t="shared" si="36"/>
        <v>14781250</v>
      </c>
      <c r="Z74" s="215">
        <f t="shared" si="36"/>
        <v>15468750</v>
      </c>
      <c r="AA74" s="215">
        <f t="shared" si="36"/>
        <v>16156250</v>
      </c>
      <c r="AB74" s="215">
        <f t="shared" si="36"/>
        <v>16843750</v>
      </c>
      <c r="AC74" s="215">
        <f t="shared" si="36"/>
        <v>17531250</v>
      </c>
      <c r="AD74" s="215">
        <f t="shared" si="36"/>
        <v>18218750</v>
      </c>
      <c r="AE74" s="215">
        <f t="shared" si="36"/>
        <v>18906250</v>
      </c>
      <c r="AF74" s="215">
        <f t="shared" si="36"/>
        <v>19593750</v>
      </c>
      <c r="AG74" s="215">
        <f t="shared" si="36"/>
        <v>20281250</v>
      </c>
      <c r="AH74" s="215">
        <f t="shared" si="36"/>
        <v>20968750</v>
      </c>
      <c r="AI74" s="215">
        <f t="shared" si="36"/>
        <v>21656250</v>
      </c>
      <c r="AJ74" s="215">
        <f t="shared" si="36"/>
        <v>22343750</v>
      </c>
      <c r="AK74" s="215">
        <f t="shared" si="36"/>
        <v>23031250</v>
      </c>
      <c r="AL74" s="215">
        <f t="shared" si="36"/>
        <v>23718750</v>
      </c>
      <c r="AM74" s="215">
        <f t="shared" si="36"/>
        <v>24406250</v>
      </c>
      <c r="AN74" s="215">
        <f t="shared" si="36"/>
        <v>25093750</v>
      </c>
      <c r="AO74" s="215">
        <f t="shared" si="36"/>
        <v>25781250</v>
      </c>
      <c r="AP74" s="215">
        <f t="shared" si="36"/>
        <v>26468750</v>
      </c>
      <c r="AQ74" s="215">
        <f t="shared" si="36"/>
        <v>27156250</v>
      </c>
      <c r="AR74" s="215">
        <f t="shared" si="36"/>
        <v>27500000</v>
      </c>
      <c r="AS74" s="215">
        <f t="shared" si="36"/>
        <v>27500000</v>
      </c>
      <c r="AT74" s="215">
        <f t="shared" si="36"/>
        <v>27500000</v>
      </c>
      <c r="AU74" s="215">
        <f t="shared" si="36"/>
        <v>27500000</v>
      </c>
    </row>
    <row r="75" spans="1:51">
      <c r="B75" s="90" t="s">
        <v>188</v>
      </c>
      <c r="C75" s="90"/>
      <c r="D75" s="216">
        <f>D73-D74</f>
        <v>27156250</v>
      </c>
      <c r="E75" s="216">
        <f t="shared" si="36"/>
        <v>26468750</v>
      </c>
      <c r="F75" s="216">
        <f t="shared" si="36"/>
        <v>25781250</v>
      </c>
      <c r="G75" s="216">
        <f t="shared" si="36"/>
        <v>25093750</v>
      </c>
      <c r="H75" s="216">
        <f t="shared" si="36"/>
        <v>24406250</v>
      </c>
      <c r="I75" s="216">
        <f t="shared" si="36"/>
        <v>23718750</v>
      </c>
      <c r="J75" s="216">
        <f t="shared" si="36"/>
        <v>23031250</v>
      </c>
      <c r="K75" s="216">
        <f t="shared" si="36"/>
        <v>22343750</v>
      </c>
      <c r="L75" s="216">
        <f t="shared" si="36"/>
        <v>21656250</v>
      </c>
      <c r="M75" s="216">
        <f t="shared" si="36"/>
        <v>20968750</v>
      </c>
      <c r="N75" s="216">
        <f t="shared" si="36"/>
        <v>20281250</v>
      </c>
      <c r="O75" s="216">
        <f t="shared" si="36"/>
        <v>19593750</v>
      </c>
      <c r="P75" s="216">
        <f t="shared" si="36"/>
        <v>18906250</v>
      </c>
      <c r="Q75" s="216">
        <f t="shared" si="36"/>
        <v>18218750</v>
      </c>
      <c r="R75" s="216">
        <f t="shared" si="36"/>
        <v>17531250</v>
      </c>
      <c r="S75" s="216">
        <f t="shared" si="36"/>
        <v>16843750</v>
      </c>
      <c r="T75" s="216">
        <f t="shared" si="36"/>
        <v>16156250</v>
      </c>
      <c r="U75" s="216">
        <f t="shared" si="36"/>
        <v>15468750</v>
      </c>
      <c r="V75" s="216">
        <f t="shared" si="36"/>
        <v>14781250</v>
      </c>
      <c r="W75" s="216">
        <f t="shared" si="36"/>
        <v>14093750</v>
      </c>
      <c r="X75" s="216">
        <f t="shared" si="36"/>
        <v>13406250</v>
      </c>
      <c r="Y75" s="216">
        <f t="shared" si="36"/>
        <v>12718750</v>
      </c>
      <c r="Z75" s="216">
        <f t="shared" si="36"/>
        <v>12031250</v>
      </c>
      <c r="AA75" s="216">
        <f t="shared" si="36"/>
        <v>11343750</v>
      </c>
      <c r="AB75" s="216">
        <f t="shared" si="36"/>
        <v>10656250</v>
      </c>
      <c r="AC75" s="216">
        <f t="shared" si="36"/>
        <v>9968750</v>
      </c>
      <c r="AD75" s="216">
        <f t="shared" si="36"/>
        <v>9281250</v>
      </c>
      <c r="AE75" s="216">
        <f t="shared" si="36"/>
        <v>8593750</v>
      </c>
      <c r="AF75" s="216">
        <f t="shared" si="36"/>
        <v>7906250</v>
      </c>
      <c r="AG75" s="216">
        <f t="shared" si="36"/>
        <v>7218750</v>
      </c>
      <c r="AH75" s="216">
        <f t="shared" si="36"/>
        <v>6531250</v>
      </c>
      <c r="AI75" s="216">
        <f t="shared" si="36"/>
        <v>5843750</v>
      </c>
      <c r="AJ75" s="216">
        <f t="shared" si="36"/>
        <v>5156250</v>
      </c>
      <c r="AK75" s="216">
        <f t="shared" si="36"/>
        <v>4468750</v>
      </c>
      <c r="AL75" s="216">
        <f t="shared" si="36"/>
        <v>3781250</v>
      </c>
      <c r="AM75" s="216">
        <f t="shared" si="36"/>
        <v>3093750</v>
      </c>
      <c r="AN75" s="216">
        <f t="shared" si="36"/>
        <v>2406250</v>
      </c>
      <c r="AO75" s="216">
        <f t="shared" si="36"/>
        <v>1718750</v>
      </c>
      <c r="AP75" s="216">
        <f t="shared" si="36"/>
        <v>1031250</v>
      </c>
      <c r="AQ75" s="216">
        <f t="shared" si="36"/>
        <v>343750</v>
      </c>
      <c r="AR75" s="216">
        <f t="shared" si="36"/>
        <v>0</v>
      </c>
      <c r="AS75" s="216">
        <f t="shared" si="36"/>
        <v>0</v>
      </c>
      <c r="AT75" s="216">
        <f t="shared" si="36"/>
        <v>0</v>
      </c>
      <c r="AU75" s="216">
        <f t="shared" si="36"/>
        <v>0</v>
      </c>
    </row>
    <row r="76" spans="1:51">
      <c r="B76" s="90" t="s">
        <v>189</v>
      </c>
      <c r="C76" s="90"/>
      <c r="D76" s="211">
        <f>SUM($C52:D52)</f>
        <v>0</v>
      </c>
      <c r="E76" s="211">
        <f>+E52</f>
        <v>0</v>
      </c>
      <c r="F76" s="211">
        <f t="shared" ref="F76:AG76" si="37">+F52</f>
        <v>0</v>
      </c>
      <c r="G76" s="211">
        <f t="shared" si="37"/>
        <v>0</v>
      </c>
      <c r="H76" s="211">
        <f t="shared" si="37"/>
        <v>0</v>
      </c>
      <c r="I76" s="211">
        <f t="shared" si="37"/>
        <v>0</v>
      </c>
      <c r="J76" s="211">
        <f t="shared" si="37"/>
        <v>0</v>
      </c>
      <c r="K76" s="211">
        <f t="shared" si="37"/>
        <v>0</v>
      </c>
      <c r="L76" s="211">
        <f t="shared" si="37"/>
        <v>0</v>
      </c>
      <c r="M76" s="211">
        <f t="shared" si="37"/>
        <v>0</v>
      </c>
      <c r="N76" s="211">
        <f t="shared" si="37"/>
        <v>0</v>
      </c>
      <c r="O76" s="211">
        <f t="shared" si="37"/>
        <v>0</v>
      </c>
      <c r="P76" s="211">
        <f t="shared" si="37"/>
        <v>0</v>
      </c>
      <c r="Q76" s="211">
        <f t="shared" si="37"/>
        <v>0</v>
      </c>
      <c r="R76" s="211">
        <f t="shared" si="37"/>
        <v>0</v>
      </c>
      <c r="S76" s="211">
        <f t="shared" si="37"/>
        <v>0</v>
      </c>
      <c r="T76" s="211">
        <f t="shared" si="37"/>
        <v>0</v>
      </c>
      <c r="U76" s="211">
        <f t="shared" si="37"/>
        <v>0</v>
      </c>
      <c r="V76" s="211">
        <f t="shared" si="37"/>
        <v>0</v>
      </c>
      <c r="W76" s="211">
        <f t="shared" si="37"/>
        <v>0</v>
      </c>
      <c r="X76" s="211">
        <f t="shared" si="37"/>
        <v>0</v>
      </c>
      <c r="Y76" s="211">
        <f t="shared" si="37"/>
        <v>0</v>
      </c>
      <c r="Z76" s="211">
        <f t="shared" si="37"/>
        <v>0</v>
      </c>
      <c r="AA76" s="211">
        <f t="shared" si="37"/>
        <v>0</v>
      </c>
      <c r="AB76" s="211">
        <f t="shared" si="37"/>
        <v>0</v>
      </c>
      <c r="AC76" s="211">
        <f t="shared" si="37"/>
        <v>0</v>
      </c>
      <c r="AD76" s="211">
        <f t="shared" si="37"/>
        <v>0</v>
      </c>
      <c r="AE76" s="211">
        <f t="shared" si="37"/>
        <v>0</v>
      </c>
      <c r="AF76" s="211">
        <f t="shared" si="37"/>
        <v>0</v>
      </c>
      <c r="AG76" s="211">
        <f t="shared" si="37"/>
        <v>0</v>
      </c>
      <c r="AH76" s="211" t="e">
        <f>-SUM(#REF!)</f>
        <v>#REF!</v>
      </c>
      <c r="AI76" s="211" t="e">
        <f>-SUM(#REF!)</f>
        <v>#REF!</v>
      </c>
      <c r="AJ76" s="211" t="e">
        <f>-SUM(#REF!)</f>
        <v>#REF!</v>
      </c>
      <c r="AK76" s="211" t="e">
        <f>-SUM(#REF!)</f>
        <v>#REF!</v>
      </c>
      <c r="AL76" s="211" t="e">
        <f>-SUM(#REF!)</f>
        <v>#REF!</v>
      </c>
      <c r="AM76" s="211" t="e">
        <f>-SUM(#REF!)</f>
        <v>#REF!</v>
      </c>
      <c r="AN76" s="211" t="e">
        <f>-SUM(#REF!)</f>
        <v>#REF!</v>
      </c>
      <c r="AO76" s="211" t="e">
        <f>-SUM(#REF!)</f>
        <v>#REF!</v>
      </c>
      <c r="AP76" s="211" t="e">
        <f>-SUM(#REF!)</f>
        <v>#REF!</v>
      </c>
      <c r="AQ76" s="211" t="e">
        <f>-SUM(#REF!)</f>
        <v>#REF!</v>
      </c>
      <c r="AR76" s="211" t="e">
        <f>-SUM(#REF!)</f>
        <v>#REF!</v>
      </c>
      <c r="AS76" s="211" t="e">
        <f>-SUM(#REF!)</f>
        <v>#REF!</v>
      </c>
      <c r="AT76" s="211" t="e">
        <f>-SUM(#REF!)</f>
        <v>#REF!</v>
      </c>
      <c r="AU76" s="211" t="e">
        <f>-SUM(#REF!)</f>
        <v>#REF!</v>
      </c>
    </row>
    <row r="77" spans="1:51">
      <c r="B77" s="90" t="s">
        <v>190</v>
      </c>
      <c r="C77" s="90"/>
      <c r="D77" s="214">
        <f t="shared" ref="D77:AU77" si="38">SUM(D75:D76)</f>
        <v>27156250</v>
      </c>
      <c r="E77" s="214">
        <f t="shared" si="38"/>
        <v>26468750</v>
      </c>
      <c r="F77" s="214">
        <f t="shared" si="38"/>
        <v>25781250</v>
      </c>
      <c r="G77" s="214">
        <f t="shared" si="38"/>
        <v>25093750</v>
      </c>
      <c r="H77" s="214">
        <f t="shared" si="38"/>
        <v>24406250</v>
      </c>
      <c r="I77" s="214">
        <f t="shared" si="38"/>
        <v>23718750</v>
      </c>
      <c r="J77" s="214">
        <f t="shared" si="38"/>
        <v>23031250</v>
      </c>
      <c r="K77" s="214">
        <f t="shared" si="38"/>
        <v>22343750</v>
      </c>
      <c r="L77" s="214">
        <f t="shared" si="38"/>
        <v>21656250</v>
      </c>
      <c r="M77" s="214">
        <f t="shared" si="38"/>
        <v>20968750</v>
      </c>
      <c r="N77" s="214">
        <f t="shared" si="38"/>
        <v>20281250</v>
      </c>
      <c r="O77" s="214">
        <f t="shared" si="38"/>
        <v>19593750</v>
      </c>
      <c r="P77" s="214">
        <f t="shared" si="38"/>
        <v>18906250</v>
      </c>
      <c r="Q77" s="214">
        <f t="shared" si="38"/>
        <v>18218750</v>
      </c>
      <c r="R77" s="214">
        <f t="shared" si="38"/>
        <v>17531250</v>
      </c>
      <c r="S77" s="214">
        <f t="shared" si="38"/>
        <v>16843750</v>
      </c>
      <c r="T77" s="214">
        <f t="shared" si="38"/>
        <v>16156250</v>
      </c>
      <c r="U77" s="214">
        <f t="shared" si="38"/>
        <v>15468750</v>
      </c>
      <c r="V77" s="214">
        <f t="shared" si="38"/>
        <v>14781250</v>
      </c>
      <c r="W77" s="214">
        <f t="shared" si="38"/>
        <v>14093750</v>
      </c>
      <c r="X77" s="214">
        <f t="shared" si="38"/>
        <v>13406250</v>
      </c>
      <c r="Y77" s="214">
        <f t="shared" si="38"/>
        <v>12718750</v>
      </c>
      <c r="Z77" s="214">
        <f t="shared" si="38"/>
        <v>12031250</v>
      </c>
      <c r="AA77" s="214">
        <f t="shared" si="38"/>
        <v>11343750</v>
      </c>
      <c r="AB77" s="214">
        <f t="shared" si="38"/>
        <v>10656250</v>
      </c>
      <c r="AC77" s="214">
        <f t="shared" si="38"/>
        <v>9968750</v>
      </c>
      <c r="AD77" s="214">
        <f t="shared" si="38"/>
        <v>9281250</v>
      </c>
      <c r="AE77" s="214">
        <f t="shared" si="38"/>
        <v>8593750</v>
      </c>
      <c r="AF77" s="214">
        <f t="shared" si="38"/>
        <v>7906250</v>
      </c>
      <c r="AG77" s="214">
        <f t="shared" si="38"/>
        <v>7218750</v>
      </c>
      <c r="AH77" s="214" t="e">
        <f t="shared" si="38"/>
        <v>#REF!</v>
      </c>
      <c r="AI77" s="214" t="e">
        <f t="shared" si="38"/>
        <v>#REF!</v>
      </c>
      <c r="AJ77" s="214" t="e">
        <f t="shared" si="38"/>
        <v>#REF!</v>
      </c>
      <c r="AK77" s="214" t="e">
        <f t="shared" si="38"/>
        <v>#REF!</v>
      </c>
      <c r="AL77" s="214" t="e">
        <f t="shared" si="38"/>
        <v>#REF!</v>
      </c>
      <c r="AM77" s="214" t="e">
        <f t="shared" si="38"/>
        <v>#REF!</v>
      </c>
      <c r="AN77" s="214" t="e">
        <f t="shared" si="38"/>
        <v>#REF!</v>
      </c>
      <c r="AO77" s="214" t="e">
        <f t="shared" si="38"/>
        <v>#REF!</v>
      </c>
      <c r="AP77" s="214" t="e">
        <f t="shared" si="38"/>
        <v>#REF!</v>
      </c>
      <c r="AQ77" s="214" t="e">
        <f t="shared" si="38"/>
        <v>#REF!</v>
      </c>
      <c r="AR77" s="214" t="e">
        <f t="shared" si="38"/>
        <v>#REF!</v>
      </c>
      <c r="AS77" s="214" t="e">
        <f t="shared" si="38"/>
        <v>#REF!</v>
      </c>
      <c r="AT77" s="214" t="e">
        <f t="shared" si="38"/>
        <v>#REF!</v>
      </c>
      <c r="AU77" s="214" t="e">
        <f t="shared" si="38"/>
        <v>#REF!</v>
      </c>
    </row>
    <row r="78" spans="1:51">
      <c r="B78" s="90" t="s">
        <v>191</v>
      </c>
      <c r="C78" s="90"/>
      <c r="D78" s="211">
        <f t="shared" ref="D78:AU78" si="39">D56</f>
        <v>42487.5</v>
      </c>
      <c r="E78" s="211">
        <f t="shared" si="39"/>
        <v>245373.81</v>
      </c>
      <c r="F78" s="211">
        <f t="shared" si="39"/>
        <v>547748.85000000009</v>
      </c>
      <c r="G78" s="211">
        <f t="shared" si="39"/>
        <v>814706.31</v>
      </c>
      <c r="H78" s="211">
        <f t="shared" si="39"/>
        <v>1048897.4100000001</v>
      </c>
      <c r="I78" s="211">
        <f t="shared" si="39"/>
        <v>1252769.4300000002</v>
      </c>
      <c r="J78" s="211">
        <f t="shared" si="39"/>
        <v>1428599.7000000002</v>
      </c>
      <c r="K78" s="211">
        <f t="shared" si="39"/>
        <v>1578495.6</v>
      </c>
      <c r="L78" s="211">
        <f t="shared" si="39"/>
        <v>1713911.7600000002</v>
      </c>
      <c r="M78" s="211">
        <f t="shared" si="39"/>
        <v>1847254.5300000003</v>
      </c>
      <c r="N78" s="211">
        <f t="shared" si="39"/>
        <v>1980597.3000000003</v>
      </c>
      <c r="O78" s="211">
        <f t="shared" si="39"/>
        <v>2113940.0700000003</v>
      </c>
      <c r="P78" s="211">
        <f t="shared" si="39"/>
        <v>2247282.84</v>
      </c>
      <c r="Q78" s="211">
        <f t="shared" si="39"/>
        <v>2380625.6099999994</v>
      </c>
      <c r="R78" s="211">
        <f t="shared" si="39"/>
        <v>2513968.38</v>
      </c>
      <c r="S78" s="211">
        <f t="shared" si="39"/>
        <v>2647311.1499999994</v>
      </c>
      <c r="T78" s="211">
        <f t="shared" si="39"/>
        <v>2780653.92</v>
      </c>
      <c r="U78" s="211">
        <f t="shared" si="39"/>
        <v>2913996.6899999995</v>
      </c>
      <c r="V78" s="211">
        <f t="shared" si="39"/>
        <v>3047339.46</v>
      </c>
      <c r="W78" s="211">
        <f t="shared" si="39"/>
        <v>3180682.2299999995</v>
      </c>
      <c r="X78" s="211">
        <f t="shared" si="39"/>
        <v>3238193.3099999996</v>
      </c>
      <c r="Y78" s="211">
        <f t="shared" si="39"/>
        <v>3144074.9999999995</v>
      </c>
      <c r="Z78" s="211">
        <f t="shared" si="39"/>
        <v>2974124.9999999995</v>
      </c>
      <c r="AA78" s="211">
        <f t="shared" si="39"/>
        <v>2804174.9999999995</v>
      </c>
      <c r="AB78" s="211">
        <f t="shared" si="39"/>
        <v>2634224.9999999995</v>
      </c>
      <c r="AC78" s="211">
        <f t="shared" si="39"/>
        <v>2464274.9999999995</v>
      </c>
      <c r="AD78" s="211">
        <f t="shared" si="39"/>
        <v>2294324.9999999995</v>
      </c>
      <c r="AE78" s="211">
        <f t="shared" si="39"/>
        <v>2124374.9999999995</v>
      </c>
      <c r="AF78" s="211">
        <f t="shared" si="39"/>
        <v>1954424.9999999995</v>
      </c>
      <c r="AG78" s="211">
        <f t="shared" si="39"/>
        <v>1784474.9999999995</v>
      </c>
      <c r="AH78" s="211">
        <f t="shared" si="39"/>
        <v>1614524.9999999995</v>
      </c>
      <c r="AI78" s="211">
        <f t="shared" si="39"/>
        <v>1444574.9999999995</v>
      </c>
      <c r="AJ78" s="211">
        <f t="shared" si="39"/>
        <v>1274624.9999999995</v>
      </c>
      <c r="AK78" s="211">
        <f t="shared" si="39"/>
        <v>1104674.9999999995</v>
      </c>
      <c r="AL78" s="211">
        <f t="shared" si="39"/>
        <v>934724.99999999953</v>
      </c>
      <c r="AM78" s="211">
        <f t="shared" si="39"/>
        <v>764774.99999999953</v>
      </c>
      <c r="AN78" s="211">
        <f t="shared" si="39"/>
        <v>594824.99999999953</v>
      </c>
      <c r="AO78" s="211">
        <f t="shared" si="39"/>
        <v>424874.99999999953</v>
      </c>
      <c r="AP78" s="211">
        <f t="shared" si="39"/>
        <v>254924.99999999953</v>
      </c>
      <c r="AQ78" s="211">
        <f t="shared" si="39"/>
        <v>84974.999999999534</v>
      </c>
      <c r="AR78" s="211">
        <f t="shared" si="39"/>
        <v>-4.6566128730773926E-10</v>
      </c>
      <c r="AS78" s="211">
        <f t="shared" si="39"/>
        <v>-4.6566128730773926E-10</v>
      </c>
      <c r="AT78" s="211">
        <f t="shared" si="39"/>
        <v>-4.6566128730773926E-10</v>
      </c>
      <c r="AU78" s="211">
        <f t="shared" si="39"/>
        <v>-4.6566128730773926E-10</v>
      </c>
    </row>
    <row r="79" spans="1:51">
      <c r="A79" s="18"/>
      <c r="B79" s="90" t="s">
        <v>192</v>
      </c>
      <c r="C79" s="90"/>
      <c r="D79" s="214">
        <f t="shared" ref="D79:AU79" si="40">D77-D78</f>
        <v>27113762.5</v>
      </c>
      <c r="E79" s="214">
        <f t="shared" si="40"/>
        <v>26223376.190000001</v>
      </c>
      <c r="F79" s="214">
        <f t="shared" si="40"/>
        <v>25233501.149999999</v>
      </c>
      <c r="G79" s="214">
        <f t="shared" si="40"/>
        <v>24279043.690000001</v>
      </c>
      <c r="H79" s="214">
        <f t="shared" si="40"/>
        <v>23357352.59</v>
      </c>
      <c r="I79" s="214">
        <f t="shared" si="40"/>
        <v>22465980.57</v>
      </c>
      <c r="J79" s="214">
        <f t="shared" si="40"/>
        <v>21602650.300000001</v>
      </c>
      <c r="K79" s="214">
        <f t="shared" si="40"/>
        <v>20765254.399999999</v>
      </c>
      <c r="L79" s="214">
        <f t="shared" si="40"/>
        <v>19942338.239999998</v>
      </c>
      <c r="M79" s="214">
        <f t="shared" si="40"/>
        <v>19121495.469999999</v>
      </c>
      <c r="N79" s="214">
        <f t="shared" si="40"/>
        <v>18300652.699999999</v>
      </c>
      <c r="O79" s="214">
        <f t="shared" si="40"/>
        <v>17479809.93</v>
      </c>
      <c r="P79" s="214">
        <f t="shared" si="40"/>
        <v>16658967.16</v>
      </c>
      <c r="Q79" s="214">
        <f t="shared" si="40"/>
        <v>15838124.390000001</v>
      </c>
      <c r="R79" s="214">
        <f t="shared" si="40"/>
        <v>15017281.620000001</v>
      </c>
      <c r="S79" s="214">
        <f t="shared" si="40"/>
        <v>14196438.850000001</v>
      </c>
      <c r="T79" s="214">
        <f t="shared" si="40"/>
        <v>13375596.08</v>
      </c>
      <c r="U79" s="214">
        <f t="shared" si="40"/>
        <v>12554753.310000001</v>
      </c>
      <c r="V79" s="214">
        <f t="shared" si="40"/>
        <v>11733910.539999999</v>
      </c>
      <c r="W79" s="214">
        <f t="shared" si="40"/>
        <v>10913067.77</v>
      </c>
      <c r="X79" s="214">
        <f t="shared" si="40"/>
        <v>10168056.690000001</v>
      </c>
      <c r="Y79" s="214">
        <f t="shared" si="40"/>
        <v>9574675</v>
      </c>
      <c r="Z79" s="214">
        <f t="shared" si="40"/>
        <v>9057125</v>
      </c>
      <c r="AA79" s="214">
        <f t="shared" si="40"/>
        <v>8539575</v>
      </c>
      <c r="AB79" s="214">
        <f t="shared" si="40"/>
        <v>8022025</v>
      </c>
      <c r="AC79" s="214">
        <f t="shared" si="40"/>
        <v>7504475</v>
      </c>
      <c r="AD79" s="214">
        <f t="shared" si="40"/>
        <v>6986925</v>
      </c>
      <c r="AE79" s="214">
        <f t="shared" si="40"/>
        <v>6469375</v>
      </c>
      <c r="AF79" s="214">
        <f t="shared" si="40"/>
        <v>5951825</v>
      </c>
      <c r="AG79" s="214">
        <f t="shared" si="40"/>
        <v>5434275</v>
      </c>
      <c r="AH79" s="214" t="e">
        <f t="shared" si="40"/>
        <v>#REF!</v>
      </c>
      <c r="AI79" s="214" t="e">
        <f t="shared" si="40"/>
        <v>#REF!</v>
      </c>
      <c r="AJ79" s="214" t="e">
        <f t="shared" si="40"/>
        <v>#REF!</v>
      </c>
      <c r="AK79" s="214" t="e">
        <f t="shared" si="40"/>
        <v>#REF!</v>
      </c>
      <c r="AL79" s="214" t="e">
        <f t="shared" si="40"/>
        <v>#REF!</v>
      </c>
      <c r="AM79" s="214" t="e">
        <f t="shared" si="40"/>
        <v>#REF!</v>
      </c>
      <c r="AN79" s="214" t="e">
        <f t="shared" si="40"/>
        <v>#REF!</v>
      </c>
      <c r="AO79" s="214" t="e">
        <f t="shared" si="40"/>
        <v>#REF!</v>
      </c>
      <c r="AP79" s="214" t="e">
        <f t="shared" si="40"/>
        <v>#REF!</v>
      </c>
      <c r="AQ79" s="214" t="e">
        <f t="shared" si="40"/>
        <v>#REF!</v>
      </c>
      <c r="AR79" s="214" t="e">
        <f t="shared" si="40"/>
        <v>#REF!</v>
      </c>
      <c r="AS79" s="214" t="e">
        <f t="shared" si="40"/>
        <v>#REF!</v>
      </c>
      <c r="AT79" s="214" t="e">
        <f t="shared" si="40"/>
        <v>#REF!</v>
      </c>
      <c r="AU79" s="214" t="e">
        <f t="shared" si="40"/>
        <v>#REF!</v>
      </c>
    </row>
    <row r="80" spans="1:51">
      <c r="A80" s="18"/>
      <c r="B80" s="90" t="s">
        <v>193</v>
      </c>
      <c r="C80" s="90"/>
      <c r="D80" s="217">
        <f>L15</f>
        <v>0.52066570799982248</v>
      </c>
      <c r="E80" s="217">
        <f>D80</f>
        <v>0.52066570799982248</v>
      </c>
      <c r="F80" s="217">
        <f t="shared" ref="F80:AU80" si="41">E80</f>
        <v>0.52066570799982248</v>
      </c>
      <c r="G80" s="217">
        <f t="shared" si="41"/>
        <v>0.52066570799982248</v>
      </c>
      <c r="H80" s="217">
        <f t="shared" si="41"/>
        <v>0.52066570799982248</v>
      </c>
      <c r="I80" s="217">
        <f t="shared" si="41"/>
        <v>0.52066570799982248</v>
      </c>
      <c r="J80" s="217">
        <f t="shared" si="41"/>
        <v>0.52066570799982248</v>
      </c>
      <c r="K80" s="217">
        <f t="shared" si="41"/>
        <v>0.52066570799982248</v>
      </c>
      <c r="L80" s="217">
        <f t="shared" si="41"/>
        <v>0.52066570799982248</v>
      </c>
      <c r="M80" s="217">
        <f t="shared" si="41"/>
        <v>0.52066570799982248</v>
      </c>
      <c r="N80" s="217">
        <f t="shared" si="41"/>
        <v>0.52066570799982248</v>
      </c>
      <c r="O80" s="217">
        <f t="shared" si="41"/>
        <v>0.52066570799982248</v>
      </c>
      <c r="P80" s="217">
        <f t="shared" si="41"/>
        <v>0.52066570799982248</v>
      </c>
      <c r="Q80" s="217">
        <f t="shared" si="41"/>
        <v>0.52066570799982248</v>
      </c>
      <c r="R80" s="217">
        <f t="shared" si="41"/>
        <v>0.52066570799982248</v>
      </c>
      <c r="S80" s="217">
        <f t="shared" si="41"/>
        <v>0.52066570799982248</v>
      </c>
      <c r="T80" s="217">
        <f t="shared" si="41"/>
        <v>0.52066570799982248</v>
      </c>
      <c r="U80" s="217">
        <f t="shared" si="41"/>
        <v>0.52066570799982248</v>
      </c>
      <c r="V80" s="217">
        <f t="shared" si="41"/>
        <v>0.52066570799982248</v>
      </c>
      <c r="W80" s="217">
        <f t="shared" si="41"/>
        <v>0.52066570799982248</v>
      </c>
      <c r="X80" s="217">
        <f t="shared" si="41"/>
        <v>0.52066570799982248</v>
      </c>
      <c r="Y80" s="217">
        <f t="shared" si="41"/>
        <v>0.52066570799982248</v>
      </c>
      <c r="Z80" s="217">
        <f t="shared" si="41"/>
        <v>0.52066570799982248</v>
      </c>
      <c r="AA80" s="217">
        <f t="shared" si="41"/>
        <v>0.52066570799982248</v>
      </c>
      <c r="AB80" s="217">
        <f t="shared" si="41"/>
        <v>0.52066570799982248</v>
      </c>
      <c r="AC80" s="217">
        <f t="shared" si="41"/>
        <v>0.52066570799982248</v>
      </c>
      <c r="AD80" s="217">
        <f t="shared" si="41"/>
        <v>0.52066570799982248</v>
      </c>
      <c r="AE80" s="217">
        <f t="shared" si="41"/>
        <v>0.52066570799982248</v>
      </c>
      <c r="AF80" s="217">
        <f t="shared" si="41"/>
        <v>0.52066570799982248</v>
      </c>
      <c r="AG80" s="217">
        <f t="shared" si="41"/>
        <v>0.52066570799982248</v>
      </c>
      <c r="AH80" s="217">
        <f t="shared" si="41"/>
        <v>0.52066570799982248</v>
      </c>
      <c r="AI80" s="217">
        <f t="shared" si="41"/>
        <v>0.52066570799982248</v>
      </c>
      <c r="AJ80" s="217">
        <f t="shared" si="41"/>
        <v>0.52066570799982248</v>
      </c>
      <c r="AK80" s="217">
        <f t="shared" si="41"/>
        <v>0.52066570799982248</v>
      </c>
      <c r="AL80" s="217">
        <f t="shared" si="41"/>
        <v>0.52066570799982248</v>
      </c>
      <c r="AM80" s="217">
        <f t="shared" si="41"/>
        <v>0.52066570799982248</v>
      </c>
      <c r="AN80" s="217">
        <f t="shared" si="41"/>
        <v>0.52066570799982248</v>
      </c>
      <c r="AO80" s="217">
        <f t="shared" si="41"/>
        <v>0.52066570799982248</v>
      </c>
      <c r="AP80" s="217">
        <f t="shared" si="41"/>
        <v>0.52066570799982248</v>
      </c>
      <c r="AQ80" s="217">
        <f t="shared" si="41"/>
        <v>0.52066570799982248</v>
      </c>
      <c r="AR80" s="217">
        <f t="shared" si="41"/>
        <v>0.52066570799982248</v>
      </c>
      <c r="AS80" s="217">
        <f t="shared" si="41"/>
        <v>0.52066570799982248</v>
      </c>
      <c r="AT80" s="217">
        <f t="shared" si="41"/>
        <v>0.52066570799982248</v>
      </c>
      <c r="AU80" s="217">
        <f t="shared" si="41"/>
        <v>0.52066570799982248</v>
      </c>
    </row>
    <row r="81" spans="1:51">
      <c r="A81" s="18"/>
      <c r="B81" s="90" t="s">
        <v>194</v>
      </c>
      <c r="C81" s="90"/>
      <c r="D81" s="214">
        <f t="shared" ref="D81:AU81" si="42">D79*D80</f>
        <v>14117206.348601537</v>
      </c>
      <c r="E81" s="214">
        <f t="shared" si="42"/>
        <v>13653612.730112039</v>
      </c>
      <c r="F81" s="214">
        <f t="shared" si="42"/>
        <v>13138218.741579084</v>
      </c>
      <c r="G81" s="214">
        <f t="shared" si="42"/>
        <v>12641265.472412473</v>
      </c>
      <c r="H81" s="214">
        <f t="shared" si="42"/>
        <v>12161372.523273837</v>
      </c>
      <c r="I81" s="214">
        <f t="shared" si="42"/>
        <v>11697265.679389305</v>
      </c>
      <c r="J81" s="214">
        <f t="shared" si="42"/>
        <v>11247759.213122077</v>
      </c>
      <c r="K81" s="214">
        <f t="shared" si="42"/>
        <v>10811755.883972429</v>
      </c>
      <c r="L81" s="214">
        <f t="shared" si="42"/>
        <v>10383291.658901533</v>
      </c>
      <c r="M81" s="214">
        <f t="shared" si="42"/>
        <v>9955906.9769029468</v>
      </c>
      <c r="N81" s="214">
        <f t="shared" si="42"/>
        <v>9528522.2949043624</v>
      </c>
      <c r="O81" s="214">
        <f t="shared" si="42"/>
        <v>9101137.612905778</v>
      </c>
      <c r="P81" s="214">
        <f t="shared" si="42"/>
        <v>8673752.9309071917</v>
      </c>
      <c r="Q81" s="214">
        <f t="shared" si="42"/>
        <v>8246368.2489086073</v>
      </c>
      <c r="R81" s="214">
        <f t="shared" si="42"/>
        <v>7818983.5669100219</v>
      </c>
      <c r="S81" s="214">
        <f t="shared" si="42"/>
        <v>7391598.8849114366</v>
      </c>
      <c r="T81" s="214">
        <f t="shared" si="42"/>
        <v>6964214.2029128503</v>
      </c>
      <c r="U81" s="214">
        <f t="shared" si="42"/>
        <v>6536829.520914265</v>
      </c>
      <c r="V81" s="214">
        <f t="shared" si="42"/>
        <v>6109444.8389156787</v>
      </c>
      <c r="W81" s="214">
        <f t="shared" si="42"/>
        <v>5682060.1569170933</v>
      </c>
      <c r="X81" s="214">
        <f t="shared" si="42"/>
        <v>5294158.4354811823</v>
      </c>
      <c r="Y81" s="214">
        <f t="shared" si="42"/>
        <v>4985204.9377432</v>
      </c>
      <c r="Z81" s="214">
        <f t="shared" si="42"/>
        <v>4715734.400567892</v>
      </c>
      <c r="AA81" s="214">
        <f t="shared" si="42"/>
        <v>4446263.863392584</v>
      </c>
      <c r="AB81" s="214">
        <f t="shared" si="42"/>
        <v>4176793.326217276</v>
      </c>
      <c r="AC81" s="214">
        <f t="shared" si="42"/>
        <v>3907322.7890419676</v>
      </c>
      <c r="AD81" s="214">
        <f t="shared" si="42"/>
        <v>3637852.2518666596</v>
      </c>
      <c r="AE81" s="214">
        <f t="shared" si="42"/>
        <v>3368381.7146913516</v>
      </c>
      <c r="AF81" s="214">
        <f t="shared" si="42"/>
        <v>3098911.1775160437</v>
      </c>
      <c r="AG81" s="214">
        <f t="shared" si="42"/>
        <v>2829440.6403407352</v>
      </c>
      <c r="AH81" s="214" t="e">
        <f t="shared" si="42"/>
        <v>#REF!</v>
      </c>
      <c r="AI81" s="214" t="e">
        <f t="shared" si="42"/>
        <v>#REF!</v>
      </c>
      <c r="AJ81" s="214" t="e">
        <f t="shared" si="42"/>
        <v>#REF!</v>
      </c>
      <c r="AK81" s="214" t="e">
        <f t="shared" si="42"/>
        <v>#REF!</v>
      </c>
      <c r="AL81" s="214" t="e">
        <f t="shared" si="42"/>
        <v>#REF!</v>
      </c>
      <c r="AM81" s="214" t="e">
        <f t="shared" si="42"/>
        <v>#REF!</v>
      </c>
      <c r="AN81" s="214" t="e">
        <f t="shared" si="42"/>
        <v>#REF!</v>
      </c>
      <c r="AO81" s="214" t="e">
        <f t="shared" si="42"/>
        <v>#REF!</v>
      </c>
      <c r="AP81" s="214" t="e">
        <f t="shared" si="42"/>
        <v>#REF!</v>
      </c>
      <c r="AQ81" s="214" t="e">
        <f t="shared" si="42"/>
        <v>#REF!</v>
      </c>
      <c r="AR81" s="214" t="e">
        <f t="shared" si="42"/>
        <v>#REF!</v>
      </c>
      <c r="AS81" s="214" t="e">
        <f t="shared" si="42"/>
        <v>#REF!</v>
      </c>
      <c r="AT81" s="214" t="e">
        <f t="shared" si="42"/>
        <v>#REF!</v>
      </c>
      <c r="AU81" s="214" t="e">
        <f t="shared" si="42"/>
        <v>#REF!</v>
      </c>
    </row>
    <row r="82" spans="1:51">
      <c r="A82" s="18"/>
      <c r="B82" s="90"/>
      <c r="C82" s="90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</row>
    <row r="83" spans="1:51">
      <c r="A83" s="18"/>
      <c r="B83" s="218">
        <f>G1</f>
        <v>0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</row>
    <row r="84" spans="1:51">
      <c r="A84" s="18"/>
      <c r="B84" s="151" t="s">
        <v>195</v>
      </c>
      <c r="C84" s="219" t="s">
        <v>162</v>
      </c>
      <c r="D84" s="166">
        <v>1</v>
      </c>
      <c r="E84" s="166">
        <f>D84+1</f>
        <v>2</v>
      </c>
      <c r="F84" s="166">
        <f t="shared" ref="F84:AG84" si="43">E84+1</f>
        <v>3</v>
      </c>
      <c r="G84" s="166">
        <f t="shared" si="43"/>
        <v>4</v>
      </c>
      <c r="H84" s="166">
        <f t="shared" si="43"/>
        <v>5</v>
      </c>
      <c r="I84" s="166">
        <f t="shared" si="43"/>
        <v>6</v>
      </c>
      <c r="J84" s="166">
        <f t="shared" si="43"/>
        <v>7</v>
      </c>
      <c r="K84" s="166">
        <f t="shared" si="43"/>
        <v>8</v>
      </c>
      <c r="L84" s="166">
        <f t="shared" si="43"/>
        <v>9</v>
      </c>
      <c r="M84" s="166">
        <f t="shared" si="43"/>
        <v>10</v>
      </c>
      <c r="N84" s="166">
        <f t="shared" si="43"/>
        <v>11</v>
      </c>
      <c r="O84" s="166">
        <f t="shared" si="43"/>
        <v>12</v>
      </c>
      <c r="P84" s="166">
        <f t="shared" si="43"/>
        <v>13</v>
      </c>
      <c r="Q84" s="166">
        <f t="shared" si="43"/>
        <v>14</v>
      </c>
      <c r="R84" s="166">
        <f t="shared" si="43"/>
        <v>15</v>
      </c>
      <c r="S84" s="166">
        <f t="shared" si="43"/>
        <v>16</v>
      </c>
      <c r="T84" s="166">
        <f t="shared" si="43"/>
        <v>17</v>
      </c>
      <c r="U84" s="166">
        <f t="shared" si="43"/>
        <v>18</v>
      </c>
      <c r="V84" s="166">
        <f t="shared" si="43"/>
        <v>19</v>
      </c>
      <c r="W84" s="166">
        <f t="shared" si="43"/>
        <v>20</v>
      </c>
      <c r="X84" s="166">
        <f t="shared" si="43"/>
        <v>21</v>
      </c>
      <c r="Y84" s="166">
        <f t="shared" si="43"/>
        <v>22</v>
      </c>
      <c r="Z84" s="166">
        <f t="shared" si="43"/>
        <v>23</v>
      </c>
      <c r="AA84" s="166">
        <f t="shared" si="43"/>
        <v>24</v>
      </c>
      <c r="AB84" s="166">
        <f t="shared" si="43"/>
        <v>25</v>
      </c>
      <c r="AC84" s="166">
        <f t="shared" si="43"/>
        <v>26</v>
      </c>
      <c r="AD84" s="166">
        <f t="shared" si="43"/>
        <v>27</v>
      </c>
      <c r="AE84" s="166">
        <f t="shared" si="43"/>
        <v>28</v>
      </c>
      <c r="AF84" s="166">
        <f t="shared" si="43"/>
        <v>29</v>
      </c>
      <c r="AG84" s="166">
        <f t="shared" si="43"/>
        <v>30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</row>
    <row r="85" spans="1:51">
      <c r="A85" s="18"/>
      <c r="B85" s="151" t="s">
        <v>196</v>
      </c>
      <c r="D85" s="154">
        <v>0</v>
      </c>
      <c r="E85" s="154">
        <v>0</v>
      </c>
      <c r="F85" s="154">
        <v>0</v>
      </c>
      <c r="G85" s="154">
        <v>0</v>
      </c>
      <c r="H85" s="154">
        <v>0</v>
      </c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</row>
    <row r="86" spans="1:51">
      <c r="A86" s="18"/>
      <c r="B86" s="151" t="s">
        <v>197</v>
      </c>
      <c r="D86" s="154">
        <v>0</v>
      </c>
      <c r="E86" s="154">
        <v>0</v>
      </c>
      <c r="F86" s="154">
        <v>0</v>
      </c>
      <c r="G86" s="154">
        <v>0</v>
      </c>
      <c r="H86" s="154">
        <v>0</v>
      </c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</row>
    <row r="87" spans="1:51">
      <c r="A87" s="18"/>
      <c r="B87" s="151" t="s">
        <v>37</v>
      </c>
      <c r="C87" s="220">
        <f>NPV(M$17,D87:AG87)</f>
        <v>0</v>
      </c>
      <c r="D87" s="221">
        <f>SUM(D85:D86)</f>
        <v>0</v>
      </c>
      <c r="E87" s="221">
        <f>SUM(E85:E86)</f>
        <v>0</v>
      </c>
      <c r="F87" s="221">
        <f>SUM(F85:F86)</f>
        <v>0</v>
      </c>
      <c r="G87" s="221">
        <f>SUM(G85:G86)</f>
        <v>0</v>
      </c>
      <c r="H87" s="221">
        <f>SUM(H85:H86)</f>
        <v>0</v>
      </c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</row>
    <row r="88" spans="1:51">
      <c r="A88" s="18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</row>
    <row r="89" spans="1:51">
      <c r="A89" s="18"/>
      <c r="B89" s="151" t="s">
        <v>198</v>
      </c>
      <c r="C89" s="220">
        <f>NPV(M$17,D89:AG89)</f>
        <v>31434853.199844569</v>
      </c>
      <c r="D89" s="221">
        <f t="shared" ref="D89:AG89" si="44">D39</f>
        <v>3541799.3475781688</v>
      </c>
      <c r="E89" s="221">
        <f t="shared" si="44"/>
        <v>3448067.2783485469</v>
      </c>
      <c r="F89" s="221">
        <f t="shared" si="44"/>
        <v>3343861.9073360981</v>
      </c>
      <c r="G89" s="221">
        <f t="shared" si="44"/>
        <v>3243384.9888203037</v>
      </c>
      <c r="H89" s="221">
        <f t="shared" si="44"/>
        <v>3146357.4255893207</v>
      </c>
      <c r="I89" s="221">
        <f t="shared" si="44"/>
        <v>3052521.5894476036</v>
      </c>
      <c r="J89" s="221">
        <f t="shared" si="44"/>
        <v>2961637.7430465184</v>
      </c>
      <c r="K89" s="221">
        <f t="shared" si="44"/>
        <v>2873484.039884347</v>
      </c>
      <c r="L89" s="221">
        <f t="shared" si="44"/>
        <v>2786854.6368791559</v>
      </c>
      <c r="M89" s="221">
        <f t="shared" si="44"/>
        <v>2700443.5022063027</v>
      </c>
      <c r="N89" s="221">
        <f t="shared" si="44"/>
        <v>2614032.3675334495</v>
      </c>
      <c r="O89" s="221">
        <f t="shared" si="44"/>
        <v>2527621.2328605959</v>
      </c>
      <c r="P89" s="221">
        <f t="shared" si="44"/>
        <v>2441210.0981877432</v>
      </c>
      <c r="Q89" s="221">
        <f t="shared" si="44"/>
        <v>2354798.9635148901</v>
      </c>
      <c r="R89" s="221">
        <f t="shared" si="44"/>
        <v>2268387.8288420369</v>
      </c>
      <c r="S89" s="221">
        <f t="shared" si="44"/>
        <v>2181976.6941691833</v>
      </c>
      <c r="T89" s="221">
        <f t="shared" si="44"/>
        <v>2095565.5594963303</v>
      </c>
      <c r="U89" s="221">
        <f t="shared" si="44"/>
        <v>2009154.4248234772</v>
      </c>
      <c r="V89" s="221">
        <f t="shared" si="44"/>
        <v>1922743.2901506238</v>
      </c>
      <c r="W89" s="221">
        <f t="shared" si="44"/>
        <v>1836332.1554777708</v>
      </c>
      <c r="X89" s="221">
        <f t="shared" si="44"/>
        <v>1757903.9166974647</v>
      </c>
      <c r="Y89" s="221">
        <f t="shared" si="44"/>
        <v>1695437.8915328702</v>
      </c>
      <c r="Z89" s="221">
        <f t="shared" si="44"/>
        <v>1640954.7622608233</v>
      </c>
      <c r="AA89" s="221">
        <f t="shared" si="44"/>
        <v>1586471.6329887761</v>
      </c>
      <c r="AB89" s="221">
        <f t="shared" si="44"/>
        <v>1531988.5037167293</v>
      </c>
      <c r="AC89" s="221">
        <f t="shared" si="44"/>
        <v>1477505.3744446822</v>
      </c>
      <c r="AD89" s="221">
        <f t="shared" si="44"/>
        <v>1423022.245172635</v>
      </c>
      <c r="AE89" s="221">
        <f t="shared" si="44"/>
        <v>1368539.1159005882</v>
      </c>
      <c r="AF89" s="221">
        <f t="shared" si="44"/>
        <v>1314055.986628541</v>
      </c>
      <c r="AG89" s="221">
        <f t="shared" si="44"/>
        <v>1259572.8573564941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</row>
    <row r="90" spans="1:51">
      <c r="A90" s="18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</row>
    <row r="91" spans="1:51">
      <c r="A91" s="18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</row>
    <row r="92" spans="1:51">
      <c r="A92" s="18"/>
      <c r="B92" s="90"/>
      <c r="C92" s="90"/>
      <c r="D92" s="212"/>
      <c r="E92" s="212"/>
    </row>
    <row r="93" spans="1:51">
      <c r="A93" s="18"/>
      <c r="D93" s="114"/>
    </row>
    <row r="94" spans="1:51">
      <c r="A94" s="18"/>
      <c r="B94" s="18" t="s">
        <v>103</v>
      </c>
      <c r="D94" s="18">
        <f t="shared" ref="D94:AJ94" si="45">D30</f>
        <v>1</v>
      </c>
      <c r="E94" s="18">
        <f t="shared" si="45"/>
        <v>2</v>
      </c>
      <c r="F94" s="18">
        <f t="shared" si="45"/>
        <v>3</v>
      </c>
      <c r="G94" s="18">
        <f t="shared" si="45"/>
        <v>4</v>
      </c>
      <c r="H94" s="18">
        <f t="shared" si="45"/>
        <v>5</v>
      </c>
      <c r="I94" s="18">
        <f t="shared" si="45"/>
        <v>6</v>
      </c>
      <c r="J94" s="18">
        <f t="shared" si="45"/>
        <v>7</v>
      </c>
      <c r="K94" s="18">
        <f t="shared" si="45"/>
        <v>8</v>
      </c>
      <c r="L94" s="18">
        <f t="shared" si="45"/>
        <v>9</v>
      </c>
      <c r="M94" s="18">
        <f t="shared" si="45"/>
        <v>10</v>
      </c>
      <c r="N94" s="18">
        <f t="shared" si="45"/>
        <v>11</v>
      </c>
      <c r="O94" s="18">
        <f t="shared" si="45"/>
        <v>12</v>
      </c>
      <c r="P94" s="18">
        <f t="shared" si="45"/>
        <v>13</v>
      </c>
      <c r="Q94" s="18">
        <f t="shared" si="45"/>
        <v>14</v>
      </c>
      <c r="R94" s="18">
        <f t="shared" si="45"/>
        <v>15</v>
      </c>
      <c r="S94" s="18">
        <f t="shared" si="45"/>
        <v>16</v>
      </c>
      <c r="T94" s="18">
        <f t="shared" si="45"/>
        <v>17</v>
      </c>
      <c r="U94" s="18">
        <f t="shared" si="45"/>
        <v>18</v>
      </c>
      <c r="V94" s="18">
        <f t="shared" si="45"/>
        <v>19</v>
      </c>
      <c r="W94" s="18">
        <f t="shared" si="45"/>
        <v>20</v>
      </c>
      <c r="X94" s="18">
        <f t="shared" si="45"/>
        <v>21</v>
      </c>
      <c r="Y94" s="18">
        <f t="shared" si="45"/>
        <v>22</v>
      </c>
      <c r="Z94" s="18">
        <f t="shared" si="45"/>
        <v>23</v>
      </c>
      <c r="AA94" s="18">
        <f t="shared" si="45"/>
        <v>24</v>
      </c>
      <c r="AB94" s="18">
        <f t="shared" si="45"/>
        <v>25</v>
      </c>
      <c r="AC94" s="18">
        <f t="shared" si="45"/>
        <v>26</v>
      </c>
      <c r="AD94" s="18">
        <f t="shared" si="45"/>
        <v>27</v>
      </c>
      <c r="AE94" s="18">
        <f t="shared" si="45"/>
        <v>28</v>
      </c>
      <c r="AF94" s="18">
        <f t="shared" si="45"/>
        <v>29</v>
      </c>
      <c r="AG94" s="18">
        <f t="shared" si="45"/>
        <v>30</v>
      </c>
      <c r="AH94" s="18">
        <f t="shared" si="45"/>
        <v>31</v>
      </c>
      <c r="AI94" s="18">
        <f t="shared" si="45"/>
        <v>32</v>
      </c>
      <c r="AJ94" s="18">
        <f t="shared" si="45"/>
        <v>33</v>
      </c>
    </row>
    <row r="95" spans="1:51">
      <c r="A95" s="18"/>
      <c r="B95" s="18" t="s">
        <v>199</v>
      </c>
      <c r="D95" s="114">
        <f t="shared" ref="D95:AJ95" si="46">(1/(1+$M$19)^D94)</f>
        <v>0.92899722429113141</v>
      </c>
      <c r="E95" s="114">
        <f t="shared" si="46"/>
        <v>0.86303584274062684</v>
      </c>
      <c r="F95" s="114">
        <f t="shared" si="46"/>
        <v>0.80175790236979971</v>
      </c>
      <c r="G95" s="114">
        <f t="shared" si="46"/>
        <v>0.74483086585502389</v>
      </c>
      <c r="H95" s="114">
        <f t="shared" si="46"/>
        <v>0.6919458069456772</v>
      </c>
      <c r="I95" s="114">
        <f t="shared" si="46"/>
        <v>0.6428157340124212</v>
      </c>
      <c r="J95" s="114">
        <f t="shared" si="46"/>
        <v>0.59717403262820568</v>
      </c>
      <c r="K95" s="114">
        <f t="shared" si="46"/>
        <v>0.55477301873034457</v>
      </c>
      <c r="L95" s="114">
        <f t="shared" si="46"/>
        <v>0.515382594512102</v>
      </c>
      <c r="M95" s="114">
        <f t="shared" si="46"/>
        <v>0.4787889997497044</v>
      </c>
      <c r="N95" s="114">
        <f t="shared" si="46"/>
        <v>0.44479365178860264</v>
      </c>
      <c r="O95" s="114">
        <f t="shared" si="46"/>
        <v>0.41321206789392789</v>
      </c>
      <c r="P95" s="114">
        <f t="shared" si="46"/>
        <v>0.38387286411705757</v>
      </c>
      <c r="Q95" s="114">
        <f t="shared" si="46"/>
        <v>0.35661682524543314</v>
      </c>
      <c r="R95" s="114">
        <f t="shared" si="46"/>
        <v>0.33129604078852293</v>
      </c>
      <c r="S95" s="114">
        <f t="shared" si="46"/>
        <v>0.30777310231117921</v>
      </c>
      <c r="T95" s="114">
        <f t="shared" si="46"/>
        <v>0.2859203577585559</v>
      </c>
      <c r="U95" s="114">
        <f t="shared" si="46"/>
        <v>0.26561921872602567</v>
      </c>
      <c r="V95" s="114">
        <f t="shared" si="46"/>
        <v>0.24675951691485679</v>
      </c>
      <c r="W95" s="114">
        <f t="shared" si="46"/>
        <v>0.22923890628132246</v>
      </c>
      <c r="X95" s="114">
        <f t="shared" si="46"/>
        <v>0.21296230763488339</v>
      </c>
      <c r="Y95" s="114">
        <f t="shared" si="46"/>
        <v>0.19784139267144069</v>
      </c>
      <c r="Z95" s="114">
        <f t="shared" si="46"/>
        <v>0.18379410464166021</v>
      </c>
      <c r="AA95" s="114">
        <f t="shared" si="46"/>
        <v>0.17074421305317608</v>
      </c>
      <c r="AB95" s="114">
        <f t="shared" si="46"/>
        <v>0.15862089999017415</v>
      </c>
      <c r="AC95" s="114">
        <f t="shared" si="46"/>
        <v>0.14735837580543293</v>
      </c>
      <c r="AD95" s="114">
        <f t="shared" si="46"/>
        <v>0.13689552209929662</v>
      </c>
      <c r="AE95" s="114">
        <f t="shared" si="46"/>
        <v>0.1271755600481318</v>
      </c>
      <c r="AF95" s="114">
        <f t="shared" si="46"/>
        <v>0.11814574228238456</v>
      </c>
      <c r="AG95" s="114">
        <f t="shared" si="46"/>
        <v>0.10975706664215061</v>
      </c>
      <c r="AH95" s="114">
        <f t="shared" si="46"/>
        <v>0.10196401025689467</v>
      </c>
      <c r="AI95" s="114">
        <f t="shared" si="46"/>
        <v>9.4724282506247579E-2</v>
      </c>
      <c r="AJ95" s="114">
        <f t="shared" si="46"/>
        <v>8.7998595521272982E-2</v>
      </c>
    </row>
    <row r="97" spans="1:12" ht="12.75">
      <c r="A97" s="18"/>
      <c r="B97" s="223" t="s">
        <v>200</v>
      </c>
      <c r="C97" s="223"/>
      <c r="D97" s="224"/>
      <c r="E97" s="224"/>
      <c r="F97" s="224"/>
      <c r="G97" s="224"/>
      <c r="H97" s="224"/>
      <c r="I97" s="224"/>
      <c r="J97" s="224"/>
      <c r="K97" s="18" t="s">
        <v>201</v>
      </c>
      <c r="L97" s="18" t="s">
        <v>201</v>
      </c>
    </row>
    <row r="98" spans="1:12">
      <c r="A98" s="18"/>
      <c r="B98" s="224"/>
      <c r="C98" s="224"/>
      <c r="D98" s="224"/>
      <c r="E98" s="224"/>
      <c r="F98" s="224"/>
      <c r="G98" s="224"/>
      <c r="H98" s="224"/>
      <c r="I98" s="224"/>
      <c r="J98" s="224"/>
      <c r="K98" s="18" t="s">
        <v>202</v>
      </c>
      <c r="L98" s="18" t="s">
        <v>202</v>
      </c>
    </row>
    <row r="99" spans="1:12">
      <c r="A99" s="18"/>
      <c r="B99" s="225" t="s">
        <v>203</v>
      </c>
      <c r="C99" s="225"/>
      <c r="D99" s="226" t="s">
        <v>204</v>
      </c>
      <c r="E99" s="226" t="s">
        <v>205</v>
      </c>
      <c r="F99" s="226" t="s">
        <v>206</v>
      </c>
      <c r="G99" s="226" t="s">
        <v>207</v>
      </c>
      <c r="H99" s="226" t="s">
        <v>208</v>
      </c>
      <c r="I99" s="226" t="s">
        <v>209</v>
      </c>
      <c r="J99" s="226" t="s">
        <v>210</v>
      </c>
      <c r="K99" s="227" t="str">
        <f>IF($H$9=3,D99,IF($H$9=5,E99,IF($H$9=7,F99,IF($H$9=10,G99,IF($H$9=15,H99,IF($H$9=20,I99,J99))))))</f>
        <v>20-Year</v>
      </c>
      <c r="L99" s="18" t="s">
        <v>211</v>
      </c>
    </row>
    <row r="100" spans="1:12">
      <c r="A100" s="18"/>
      <c r="B100" s="224"/>
      <c r="C100" s="224"/>
      <c r="D100" s="224"/>
      <c r="E100" s="224"/>
      <c r="F100" s="224"/>
      <c r="G100" s="224"/>
      <c r="H100" s="224"/>
      <c r="I100" s="224"/>
      <c r="J100" s="224"/>
    </row>
    <row r="101" spans="1:12">
      <c r="A101" s="18"/>
      <c r="B101" s="224">
        <v>1</v>
      </c>
      <c r="C101" s="224"/>
      <c r="D101" s="228">
        <v>0.33329999999999999</v>
      </c>
      <c r="E101" s="228">
        <v>0.2</v>
      </c>
      <c r="F101" s="228">
        <v>0.1429</v>
      </c>
      <c r="G101" s="228">
        <v>0.1</v>
      </c>
      <c r="H101" s="228">
        <v>0.05</v>
      </c>
      <c r="I101" s="228">
        <v>3.7499999999999999E-2</v>
      </c>
      <c r="J101" s="228">
        <f t="shared" ref="J101:J134" si="47">IF(AND($H$9&lt;&gt;3,$H$9&lt;&gt;5,$H$9&lt;&gt;7,$H$9&lt;&gt;10,$H$9&lt;&gt;15,$H$9&lt;&gt;20),IF(B101&lt;=$H$9,1/$H$9,0),0)</f>
        <v>0</v>
      </c>
      <c r="K101" s="208">
        <f t="shared" ref="K101:K134" si="48">IF($H$9=3,D101,IF($H$9=5,E101,IF($H$9=7,F101,IF($H$9=10,G101,IF($H$9=15,H101,IF($H$9=20,I101,J101))))))</f>
        <v>3.7499999999999999E-2</v>
      </c>
      <c r="L101" s="72">
        <f>IF($G$10="Y", (K101-(K101*H10))+H10, K101)</f>
        <v>3.7499999999999999E-2</v>
      </c>
    </row>
    <row r="102" spans="1:12">
      <c r="A102" s="18"/>
      <c r="B102" s="224">
        <f t="shared" ref="B102:B134" si="49">B101+1</f>
        <v>2</v>
      </c>
      <c r="C102" s="224"/>
      <c r="D102" s="228">
        <v>0.44450000000000001</v>
      </c>
      <c r="E102" s="228">
        <v>0.32</v>
      </c>
      <c r="F102" s="228">
        <v>0.24490000000000001</v>
      </c>
      <c r="G102" s="228">
        <v>0.18</v>
      </c>
      <c r="H102" s="228">
        <v>9.5000000000000001E-2</v>
      </c>
      <c r="I102" s="228">
        <v>7.2190000000000004E-2</v>
      </c>
      <c r="J102" s="228">
        <f t="shared" si="47"/>
        <v>0</v>
      </c>
      <c r="K102" s="208">
        <f t="shared" si="48"/>
        <v>7.2190000000000004E-2</v>
      </c>
      <c r="L102" s="72">
        <f t="shared" ref="L102:L134" si="50">IF($G$10="Y", K102-(K102*H$10), K102)</f>
        <v>7.2190000000000004E-2</v>
      </c>
    </row>
    <row r="103" spans="1:12">
      <c r="A103" s="18"/>
      <c r="B103" s="224">
        <f t="shared" si="49"/>
        <v>3</v>
      </c>
      <c r="C103" s="224"/>
      <c r="D103" s="228">
        <v>0.14810000000000001</v>
      </c>
      <c r="E103" s="228">
        <v>0.192</v>
      </c>
      <c r="F103" s="228">
        <v>0.1749</v>
      </c>
      <c r="G103" s="228">
        <v>0.14399999999999999</v>
      </c>
      <c r="H103" s="228">
        <v>8.5500000000000007E-2</v>
      </c>
      <c r="I103" s="228">
        <v>6.6769999999999996E-2</v>
      </c>
      <c r="J103" s="228">
        <f t="shared" si="47"/>
        <v>0</v>
      </c>
      <c r="K103" s="208">
        <f t="shared" si="48"/>
        <v>6.6769999999999996E-2</v>
      </c>
      <c r="L103" s="72">
        <f t="shared" si="50"/>
        <v>6.6769999999999996E-2</v>
      </c>
    </row>
    <row r="104" spans="1:12">
      <c r="A104" s="18"/>
      <c r="B104" s="224">
        <f t="shared" si="49"/>
        <v>4</v>
      </c>
      <c r="C104" s="224"/>
      <c r="D104" s="228">
        <v>7.4099999999999999E-2</v>
      </c>
      <c r="E104" s="228">
        <v>0.1152</v>
      </c>
      <c r="F104" s="228">
        <v>0.1249</v>
      </c>
      <c r="G104" s="228">
        <v>0.1152</v>
      </c>
      <c r="H104" s="228">
        <v>7.6999999999999999E-2</v>
      </c>
      <c r="I104" s="228">
        <v>6.1769999999999999E-2</v>
      </c>
      <c r="J104" s="228">
        <f t="shared" si="47"/>
        <v>0</v>
      </c>
      <c r="K104" s="208">
        <f t="shared" si="48"/>
        <v>6.1769999999999999E-2</v>
      </c>
      <c r="L104" s="72">
        <f t="shared" si="50"/>
        <v>6.1769999999999999E-2</v>
      </c>
    </row>
    <row r="105" spans="1:12">
      <c r="A105" s="18"/>
      <c r="B105" s="224">
        <f t="shared" si="49"/>
        <v>5</v>
      </c>
      <c r="C105" s="224"/>
      <c r="D105" s="228"/>
      <c r="E105" s="228">
        <v>0.1152</v>
      </c>
      <c r="F105" s="228">
        <v>8.9300000000000004E-2</v>
      </c>
      <c r="G105" s="228">
        <v>9.2200000000000004E-2</v>
      </c>
      <c r="H105" s="228">
        <v>6.93E-2</v>
      </c>
      <c r="I105" s="228">
        <v>5.713E-2</v>
      </c>
      <c r="J105" s="228">
        <f t="shared" si="47"/>
        <v>0</v>
      </c>
      <c r="K105" s="208">
        <f t="shared" si="48"/>
        <v>5.713E-2</v>
      </c>
      <c r="L105" s="72">
        <f t="shared" si="50"/>
        <v>5.713E-2</v>
      </c>
    </row>
    <row r="106" spans="1:12">
      <c r="A106" s="18"/>
      <c r="B106" s="224">
        <f t="shared" si="49"/>
        <v>6</v>
      </c>
      <c r="C106" s="224"/>
      <c r="D106" s="228"/>
      <c r="E106" s="228">
        <v>5.7599999999999998E-2</v>
      </c>
      <c r="F106" s="228">
        <v>8.9200000000000002E-2</v>
      </c>
      <c r="G106" s="228">
        <v>7.3700000000000002E-2</v>
      </c>
      <c r="H106" s="228">
        <v>6.2300000000000001E-2</v>
      </c>
      <c r="I106" s="228">
        <v>5.2850000000000001E-2</v>
      </c>
      <c r="J106" s="228">
        <f t="shared" si="47"/>
        <v>0</v>
      </c>
      <c r="K106" s="208">
        <f t="shared" si="48"/>
        <v>5.2850000000000001E-2</v>
      </c>
      <c r="L106" s="72">
        <f t="shared" si="50"/>
        <v>5.2850000000000001E-2</v>
      </c>
    </row>
    <row r="107" spans="1:12">
      <c r="A107" s="18"/>
      <c r="B107" s="224">
        <f t="shared" si="49"/>
        <v>7</v>
      </c>
      <c r="C107" s="224"/>
      <c r="D107" s="228"/>
      <c r="E107" s="228"/>
      <c r="F107" s="228">
        <v>8.9300000000000004E-2</v>
      </c>
      <c r="G107" s="228">
        <v>6.5500000000000003E-2</v>
      </c>
      <c r="H107" s="228">
        <v>5.8999999999999997E-2</v>
      </c>
      <c r="I107" s="228">
        <v>4.888E-2</v>
      </c>
      <c r="J107" s="228">
        <f t="shared" si="47"/>
        <v>0</v>
      </c>
      <c r="K107" s="208">
        <f t="shared" si="48"/>
        <v>4.888E-2</v>
      </c>
      <c r="L107" s="72">
        <f t="shared" si="50"/>
        <v>4.888E-2</v>
      </c>
    </row>
    <row r="108" spans="1:12">
      <c r="A108" s="18"/>
      <c r="B108" s="224">
        <f t="shared" si="49"/>
        <v>8</v>
      </c>
      <c r="C108" s="224"/>
      <c r="D108" s="228"/>
      <c r="E108" s="228"/>
      <c r="F108" s="228">
        <v>4.4600000000000001E-2</v>
      </c>
      <c r="G108" s="228">
        <v>6.5500000000000003E-2</v>
      </c>
      <c r="H108" s="228">
        <v>5.8999999999999997E-2</v>
      </c>
      <c r="I108" s="228">
        <v>4.5220000000000003E-2</v>
      </c>
      <c r="J108" s="228">
        <f t="shared" si="47"/>
        <v>0</v>
      </c>
      <c r="K108" s="208">
        <f t="shared" si="48"/>
        <v>4.5220000000000003E-2</v>
      </c>
      <c r="L108" s="72">
        <f t="shared" si="50"/>
        <v>4.5220000000000003E-2</v>
      </c>
    </row>
    <row r="109" spans="1:12">
      <c r="A109" s="18"/>
      <c r="B109" s="224">
        <f t="shared" si="49"/>
        <v>9</v>
      </c>
      <c r="C109" s="224"/>
      <c r="D109" s="228"/>
      <c r="E109" s="228"/>
      <c r="F109" s="228"/>
      <c r="G109" s="228">
        <v>6.5600000000000006E-2</v>
      </c>
      <c r="H109" s="228">
        <v>5.91E-2</v>
      </c>
      <c r="I109" s="228">
        <v>4.462E-2</v>
      </c>
      <c r="J109" s="228">
        <f t="shared" si="47"/>
        <v>0</v>
      </c>
      <c r="K109" s="208">
        <f t="shared" si="48"/>
        <v>4.462E-2</v>
      </c>
      <c r="L109" s="72">
        <f t="shared" si="50"/>
        <v>4.462E-2</v>
      </c>
    </row>
    <row r="110" spans="1:12">
      <c r="A110" s="18"/>
      <c r="B110" s="224">
        <f t="shared" si="49"/>
        <v>10</v>
      </c>
      <c r="C110" s="224"/>
      <c r="D110" s="228"/>
      <c r="E110" s="228"/>
      <c r="F110" s="228"/>
      <c r="G110" s="228">
        <v>6.5500000000000003E-2</v>
      </c>
      <c r="H110" s="228">
        <v>5.8999999999999997E-2</v>
      </c>
      <c r="I110" s="228">
        <v>4.4609999999999997E-2</v>
      </c>
      <c r="J110" s="228">
        <f t="shared" si="47"/>
        <v>0</v>
      </c>
      <c r="K110" s="208">
        <f t="shared" si="48"/>
        <v>4.4609999999999997E-2</v>
      </c>
      <c r="L110" s="72">
        <f t="shared" si="50"/>
        <v>4.4609999999999997E-2</v>
      </c>
    </row>
    <row r="111" spans="1:12">
      <c r="A111" s="18"/>
      <c r="B111" s="224">
        <f t="shared" si="49"/>
        <v>11</v>
      </c>
      <c r="C111" s="224"/>
      <c r="D111" s="228"/>
      <c r="E111" s="228"/>
      <c r="F111" s="228"/>
      <c r="G111" s="228">
        <v>3.2800000000000003E-2</v>
      </c>
      <c r="H111" s="228">
        <v>5.91E-2</v>
      </c>
      <c r="I111" s="228">
        <v>4.462E-2</v>
      </c>
      <c r="J111" s="228">
        <f t="shared" si="47"/>
        <v>0</v>
      </c>
      <c r="K111" s="208">
        <f t="shared" si="48"/>
        <v>4.462E-2</v>
      </c>
      <c r="L111" s="72">
        <f t="shared" si="50"/>
        <v>4.462E-2</v>
      </c>
    </row>
    <row r="112" spans="1:12">
      <c r="A112" s="18"/>
      <c r="B112" s="224">
        <f t="shared" si="49"/>
        <v>12</v>
      </c>
      <c r="C112" s="224"/>
      <c r="D112" s="228"/>
      <c r="E112" s="228"/>
      <c r="F112" s="228"/>
      <c r="G112" s="228"/>
      <c r="H112" s="228">
        <v>5.8999999999999997E-2</v>
      </c>
      <c r="I112" s="228">
        <v>4.4609999999999997E-2</v>
      </c>
      <c r="J112" s="228">
        <f t="shared" si="47"/>
        <v>0</v>
      </c>
      <c r="K112" s="208">
        <f t="shared" si="48"/>
        <v>4.4609999999999997E-2</v>
      </c>
      <c r="L112" s="72">
        <f t="shared" si="50"/>
        <v>4.4609999999999997E-2</v>
      </c>
    </row>
    <row r="113" spans="1:12">
      <c r="A113" s="18"/>
      <c r="B113" s="224">
        <f t="shared" si="49"/>
        <v>13</v>
      </c>
      <c r="C113" s="224"/>
      <c r="D113" s="228"/>
      <c r="E113" s="228"/>
      <c r="F113" s="228"/>
      <c r="G113" s="228"/>
      <c r="H113" s="228">
        <v>5.91E-2</v>
      </c>
      <c r="I113" s="228">
        <v>4.462E-2</v>
      </c>
      <c r="J113" s="228">
        <f t="shared" si="47"/>
        <v>0</v>
      </c>
      <c r="K113" s="208">
        <f t="shared" si="48"/>
        <v>4.462E-2</v>
      </c>
      <c r="L113" s="72">
        <f t="shared" si="50"/>
        <v>4.462E-2</v>
      </c>
    </row>
    <row r="114" spans="1:12">
      <c r="A114" s="18"/>
      <c r="B114" s="224">
        <f t="shared" si="49"/>
        <v>14</v>
      </c>
      <c r="C114" s="224"/>
      <c r="D114" s="228"/>
      <c r="E114" s="228"/>
      <c r="F114" s="228"/>
      <c r="G114" s="228"/>
      <c r="H114" s="228">
        <v>5.8999999999999997E-2</v>
      </c>
      <c r="I114" s="228">
        <v>4.4609999999999997E-2</v>
      </c>
      <c r="J114" s="228">
        <f t="shared" si="47"/>
        <v>0</v>
      </c>
      <c r="K114" s="208">
        <f t="shared" si="48"/>
        <v>4.4609999999999997E-2</v>
      </c>
      <c r="L114" s="72">
        <f t="shared" si="50"/>
        <v>4.4609999999999997E-2</v>
      </c>
    </row>
    <row r="115" spans="1:12">
      <c r="A115" s="18"/>
      <c r="B115" s="224">
        <f t="shared" si="49"/>
        <v>15</v>
      </c>
      <c r="C115" s="224"/>
      <c r="D115" s="228"/>
      <c r="E115" s="228"/>
      <c r="F115" s="228"/>
      <c r="G115" s="228"/>
      <c r="H115" s="228">
        <v>5.91E-2</v>
      </c>
      <c r="I115" s="228">
        <v>4.462E-2</v>
      </c>
      <c r="J115" s="228">
        <f t="shared" si="47"/>
        <v>0</v>
      </c>
      <c r="K115" s="208">
        <f t="shared" si="48"/>
        <v>4.462E-2</v>
      </c>
      <c r="L115" s="72">
        <f t="shared" si="50"/>
        <v>4.462E-2</v>
      </c>
    </row>
    <row r="116" spans="1:12">
      <c r="A116" s="18"/>
      <c r="B116" s="224">
        <f t="shared" si="49"/>
        <v>16</v>
      </c>
      <c r="C116" s="224"/>
      <c r="D116" s="228"/>
      <c r="E116" s="228"/>
      <c r="F116" s="228"/>
      <c r="G116" s="228"/>
      <c r="H116" s="228">
        <v>2.9499999999999998E-2</v>
      </c>
      <c r="I116" s="228">
        <v>4.4609999999999997E-2</v>
      </c>
      <c r="J116" s="228">
        <f t="shared" si="47"/>
        <v>0</v>
      </c>
      <c r="K116" s="208">
        <f t="shared" si="48"/>
        <v>4.4609999999999997E-2</v>
      </c>
      <c r="L116" s="72">
        <f t="shared" si="50"/>
        <v>4.4609999999999997E-2</v>
      </c>
    </row>
    <row r="117" spans="1:12">
      <c r="A117" s="18"/>
      <c r="B117" s="224">
        <f t="shared" si="49"/>
        <v>17</v>
      </c>
      <c r="C117" s="224"/>
      <c r="D117" s="228"/>
      <c r="E117" s="228"/>
      <c r="F117" s="228"/>
      <c r="G117" s="228"/>
      <c r="H117" s="228"/>
      <c r="I117" s="228">
        <v>4.462E-2</v>
      </c>
      <c r="J117" s="228">
        <f t="shared" si="47"/>
        <v>0</v>
      </c>
      <c r="K117" s="208">
        <f t="shared" si="48"/>
        <v>4.462E-2</v>
      </c>
      <c r="L117" s="72">
        <f t="shared" si="50"/>
        <v>4.462E-2</v>
      </c>
    </row>
    <row r="118" spans="1:12">
      <c r="A118" s="18"/>
      <c r="B118" s="224">
        <f t="shared" si="49"/>
        <v>18</v>
      </c>
      <c r="C118" s="224"/>
      <c r="D118" s="228"/>
      <c r="E118" s="228"/>
      <c r="F118" s="228"/>
      <c r="G118" s="228"/>
      <c r="H118" s="228"/>
      <c r="I118" s="228">
        <v>4.4609999999999997E-2</v>
      </c>
      <c r="J118" s="228">
        <f t="shared" si="47"/>
        <v>0</v>
      </c>
      <c r="K118" s="208">
        <f t="shared" si="48"/>
        <v>4.4609999999999997E-2</v>
      </c>
      <c r="L118" s="72">
        <f t="shared" si="50"/>
        <v>4.4609999999999997E-2</v>
      </c>
    </row>
    <row r="119" spans="1:12">
      <c r="A119" s="18"/>
      <c r="B119" s="224">
        <f t="shared" si="49"/>
        <v>19</v>
      </c>
      <c r="C119" s="224"/>
      <c r="D119" s="228"/>
      <c r="E119" s="228"/>
      <c r="F119" s="228"/>
      <c r="G119" s="228"/>
      <c r="H119" s="228"/>
      <c r="I119" s="228">
        <v>4.462E-2</v>
      </c>
      <c r="J119" s="228">
        <f t="shared" si="47"/>
        <v>0</v>
      </c>
      <c r="K119" s="208">
        <f t="shared" si="48"/>
        <v>4.462E-2</v>
      </c>
      <c r="L119" s="72">
        <f t="shared" si="50"/>
        <v>4.462E-2</v>
      </c>
    </row>
    <row r="120" spans="1:12">
      <c r="A120" s="18"/>
      <c r="B120" s="224">
        <f t="shared" si="49"/>
        <v>20</v>
      </c>
      <c r="C120" s="224"/>
      <c r="D120" s="228"/>
      <c r="E120" s="228"/>
      <c r="F120" s="228"/>
      <c r="G120" s="228"/>
      <c r="H120" s="228"/>
      <c r="I120" s="228">
        <v>4.4609999999999997E-2</v>
      </c>
      <c r="J120" s="228">
        <f t="shared" si="47"/>
        <v>0</v>
      </c>
      <c r="K120" s="208">
        <f t="shared" si="48"/>
        <v>4.4609999999999997E-2</v>
      </c>
      <c r="L120" s="72">
        <f t="shared" si="50"/>
        <v>4.4609999999999997E-2</v>
      </c>
    </row>
    <row r="121" spans="1:12">
      <c r="A121" s="18"/>
      <c r="B121" s="224">
        <f t="shared" si="49"/>
        <v>21</v>
      </c>
      <c r="C121" s="224"/>
      <c r="D121" s="228"/>
      <c r="E121" s="228"/>
      <c r="F121" s="228"/>
      <c r="G121" s="228"/>
      <c r="H121" s="228"/>
      <c r="I121" s="228">
        <v>2.231E-2</v>
      </c>
      <c r="J121" s="228">
        <f t="shared" si="47"/>
        <v>0</v>
      </c>
      <c r="K121" s="208">
        <f t="shared" si="48"/>
        <v>2.231E-2</v>
      </c>
      <c r="L121" s="72">
        <f t="shared" si="50"/>
        <v>2.231E-2</v>
      </c>
    </row>
    <row r="122" spans="1:12">
      <c r="A122" s="18"/>
      <c r="B122" s="224">
        <f t="shared" si="49"/>
        <v>22</v>
      </c>
      <c r="C122" s="224"/>
      <c r="D122" s="228"/>
      <c r="E122" s="228"/>
      <c r="F122" s="228"/>
      <c r="G122" s="228"/>
      <c r="H122" s="228"/>
      <c r="I122" s="228"/>
      <c r="J122" s="228">
        <f t="shared" si="47"/>
        <v>0</v>
      </c>
      <c r="K122" s="208">
        <f t="shared" si="48"/>
        <v>0</v>
      </c>
      <c r="L122" s="72">
        <f t="shared" si="50"/>
        <v>0</v>
      </c>
    </row>
    <row r="123" spans="1:12">
      <c r="A123" s="18"/>
      <c r="B123" s="224">
        <f t="shared" si="49"/>
        <v>23</v>
      </c>
      <c r="C123" s="224"/>
      <c r="D123" s="228"/>
      <c r="E123" s="228"/>
      <c r="F123" s="228"/>
      <c r="G123" s="228"/>
      <c r="H123" s="228"/>
      <c r="I123" s="228"/>
      <c r="J123" s="228">
        <f t="shared" si="47"/>
        <v>0</v>
      </c>
      <c r="K123" s="208">
        <f t="shared" si="48"/>
        <v>0</v>
      </c>
      <c r="L123" s="72">
        <f t="shared" si="50"/>
        <v>0</v>
      </c>
    </row>
    <row r="124" spans="1:12">
      <c r="A124" s="18"/>
      <c r="B124" s="224">
        <f t="shared" si="49"/>
        <v>24</v>
      </c>
      <c r="C124" s="224"/>
      <c r="D124" s="228"/>
      <c r="E124" s="228"/>
      <c r="F124" s="228"/>
      <c r="G124" s="228"/>
      <c r="H124" s="228"/>
      <c r="I124" s="228"/>
      <c r="J124" s="228">
        <f t="shared" si="47"/>
        <v>0</v>
      </c>
      <c r="K124" s="208">
        <f t="shared" si="48"/>
        <v>0</v>
      </c>
      <c r="L124" s="72">
        <f t="shared" si="50"/>
        <v>0</v>
      </c>
    </row>
    <row r="125" spans="1:12">
      <c r="A125" s="18"/>
      <c r="B125" s="224">
        <f t="shared" si="49"/>
        <v>25</v>
      </c>
      <c r="C125" s="224"/>
      <c r="D125" s="228"/>
      <c r="E125" s="228"/>
      <c r="F125" s="228"/>
      <c r="G125" s="228"/>
      <c r="H125" s="228"/>
      <c r="I125" s="228"/>
      <c r="J125" s="228">
        <f t="shared" si="47"/>
        <v>0</v>
      </c>
      <c r="K125" s="208">
        <f t="shared" si="48"/>
        <v>0</v>
      </c>
      <c r="L125" s="72">
        <f t="shared" si="50"/>
        <v>0</v>
      </c>
    </row>
    <row r="126" spans="1:12">
      <c r="A126" s="18"/>
      <c r="B126" s="224">
        <f t="shared" si="49"/>
        <v>26</v>
      </c>
      <c r="C126" s="224"/>
      <c r="D126" s="228"/>
      <c r="E126" s="228"/>
      <c r="F126" s="228"/>
      <c r="G126" s="228"/>
      <c r="H126" s="228"/>
      <c r="I126" s="228"/>
      <c r="J126" s="228">
        <f t="shared" si="47"/>
        <v>0</v>
      </c>
      <c r="K126" s="208">
        <f t="shared" si="48"/>
        <v>0</v>
      </c>
      <c r="L126" s="72">
        <f t="shared" si="50"/>
        <v>0</v>
      </c>
    </row>
    <row r="127" spans="1:12">
      <c r="A127" s="18"/>
      <c r="B127" s="224">
        <f t="shared" si="49"/>
        <v>27</v>
      </c>
      <c r="C127" s="224"/>
      <c r="D127" s="228"/>
      <c r="E127" s="228"/>
      <c r="F127" s="228"/>
      <c r="G127" s="228"/>
      <c r="H127" s="228"/>
      <c r="I127" s="228"/>
      <c r="J127" s="228">
        <f t="shared" si="47"/>
        <v>0</v>
      </c>
      <c r="K127" s="208">
        <f t="shared" si="48"/>
        <v>0</v>
      </c>
      <c r="L127" s="72">
        <f t="shared" si="50"/>
        <v>0</v>
      </c>
    </row>
    <row r="128" spans="1:12">
      <c r="A128" s="18"/>
      <c r="B128" s="224">
        <f t="shared" si="49"/>
        <v>28</v>
      </c>
      <c r="C128" s="224"/>
      <c r="D128" s="228"/>
      <c r="E128" s="228"/>
      <c r="F128" s="228"/>
      <c r="G128" s="228"/>
      <c r="H128" s="228"/>
      <c r="I128" s="228"/>
      <c r="J128" s="228">
        <f t="shared" si="47"/>
        <v>0</v>
      </c>
      <c r="K128" s="208">
        <f t="shared" si="48"/>
        <v>0</v>
      </c>
      <c r="L128" s="72">
        <f t="shared" si="50"/>
        <v>0</v>
      </c>
    </row>
    <row r="129" spans="1:12">
      <c r="A129" s="18"/>
      <c r="B129" s="224">
        <f t="shared" si="49"/>
        <v>29</v>
      </c>
      <c r="C129" s="224"/>
      <c r="D129" s="228"/>
      <c r="E129" s="228"/>
      <c r="F129" s="228"/>
      <c r="G129" s="228"/>
      <c r="H129" s="228"/>
      <c r="I129" s="228"/>
      <c r="J129" s="228">
        <f t="shared" si="47"/>
        <v>0</v>
      </c>
      <c r="K129" s="208">
        <f t="shared" si="48"/>
        <v>0</v>
      </c>
      <c r="L129" s="72">
        <f t="shared" si="50"/>
        <v>0</v>
      </c>
    </row>
    <row r="130" spans="1:12">
      <c r="A130" s="18"/>
      <c r="B130" s="224">
        <f t="shared" si="49"/>
        <v>30</v>
      </c>
      <c r="C130" s="224"/>
      <c r="D130" s="228"/>
      <c r="E130" s="228"/>
      <c r="F130" s="228"/>
      <c r="G130" s="228"/>
      <c r="H130" s="228"/>
      <c r="I130" s="228"/>
      <c r="J130" s="228">
        <f t="shared" si="47"/>
        <v>0</v>
      </c>
      <c r="K130" s="208">
        <f t="shared" si="48"/>
        <v>0</v>
      </c>
      <c r="L130" s="72">
        <f t="shared" si="50"/>
        <v>0</v>
      </c>
    </row>
    <row r="131" spans="1:12">
      <c r="A131" s="18"/>
      <c r="B131" s="224">
        <f t="shared" si="49"/>
        <v>31</v>
      </c>
      <c r="C131" s="224"/>
      <c r="D131" s="228"/>
      <c r="E131" s="228"/>
      <c r="F131" s="228"/>
      <c r="G131" s="228"/>
      <c r="H131" s="228"/>
      <c r="I131" s="228"/>
      <c r="J131" s="228">
        <f t="shared" si="47"/>
        <v>0</v>
      </c>
      <c r="K131" s="208">
        <f t="shared" si="48"/>
        <v>0</v>
      </c>
      <c r="L131" s="72">
        <f t="shared" si="50"/>
        <v>0</v>
      </c>
    </row>
    <row r="132" spans="1:12">
      <c r="A132" s="18"/>
      <c r="B132" s="224">
        <f t="shared" si="49"/>
        <v>32</v>
      </c>
      <c r="C132" s="224"/>
      <c r="D132" s="228"/>
      <c r="E132" s="228"/>
      <c r="F132" s="228"/>
      <c r="G132" s="228"/>
      <c r="H132" s="228"/>
      <c r="I132" s="228"/>
      <c r="J132" s="228">
        <f t="shared" si="47"/>
        <v>0</v>
      </c>
      <c r="K132" s="208">
        <f t="shared" si="48"/>
        <v>0</v>
      </c>
      <c r="L132" s="72">
        <f t="shared" si="50"/>
        <v>0</v>
      </c>
    </row>
    <row r="133" spans="1:12">
      <c r="A133" s="18"/>
      <c r="B133" s="224">
        <f t="shared" si="49"/>
        <v>33</v>
      </c>
      <c r="C133" s="224"/>
      <c r="D133" s="228"/>
      <c r="E133" s="228"/>
      <c r="F133" s="228"/>
      <c r="G133" s="228"/>
      <c r="H133" s="228"/>
      <c r="I133" s="228"/>
      <c r="J133" s="228">
        <f t="shared" si="47"/>
        <v>0</v>
      </c>
      <c r="K133" s="208">
        <f t="shared" si="48"/>
        <v>0</v>
      </c>
      <c r="L133" s="72">
        <f t="shared" si="50"/>
        <v>0</v>
      </c>
    </row>
    <row r="134" spans="1:12">
      <c r="A134" s="18"/>
      <c r="B134" s="224">
        <f t="shared" si="49"/>
        <v>34</v>
      </c>
      <c r="C134" s="224"/>
      <c r="D134" s="228"/>
      <c r="E134" s="228"/>
      <c r="F134" s="228"/>
      <c r="G134" s="228"/>
      <c r="H134" s="228"/>
      <c r="I134" s="228"/>
      <c r="J134" s="228">
        <f t="shared" si="47"/>
        <v>0</v>
      </c>
      <c r="K134" s="208">
        <f t="shared" si="48"/>
        <v>0</v>
      </c>
      <c r="L134" s="72">
        <f t="shared" si="50"/>
        <v>0</v>
      </c>
    </row>
    <row r="135" spans="1:12">
      <c r="A135" s="18"/>
      <c r="B135" s="229" t="s">
        <v>37</v>
      </c>
      <c r="C135" s="229"/>
      <c r="D135" s="228">
        <f t="shared" ref="D135:L135" si="51">SUM(D101:D134)</f>
        <v>1</v>
      </c>
      <c r="E135" s="228">
        <f t="shared" si="51"/>
        <v>0.99999999999999989</v>
      </c>
      <c r="F135" s="228">
        <f t="shared" si="51"/>
        <v>1.0000000000000002</v>
      </c>
      <c r="G135" s="228">
        <f t="shared" si="51"/>
        <v>1</v>
      </c>
      <c r="H135" s="228">
        <f t="shared" si="51"/>
        <v>1.0000000000000002</v>
      </c>
      <c r="I135" s="228">
        <f t="shared" si="51"/>
        <v>1.0000000000000002</v>
      </c>
      <c r="J135" s="228">
        <f t="shared" si="51"/>
        <v>0</v>
      </c>
      <c r="K135" s="84">
        <f t="shared" si="51"/>
        <v>1.0000000000000002</v>
      </c>
      <c r="L135" s="84">
        <f t="shared" si="51"/>
        <v>1.0000000000000002</v>
      </c>
    </row>
    <row r="136" spans="1:12">
      <c r="A136" s="18"/>
      <c r="B136" s="224"/>
      <c r="C136" s="224"/>
      <c r="D136" s="224"/>
      <c r="E136" s="224"/>
      <c r="F136" s="224"/>
      <c r="G136" s="224"/>
      <c r="H136" s="224"/>
      <c r="I136" s="224"/>
      <c r="J136" s="224"/>
    </row>
    <row r="138" spans="1:12" ht="12" customHeight="1"/>
    <row r="139" spans="1:12">
      <c r="A139" s="18"/>
    </row>
    <row r="140" spans="1:12">
      <c r="A140" s="18"/>
    </row>
    <row r="141" spans="1:12">
      <c r="A141" s="18"/>
    </row>
    <row r="142" spans="1:12">
      <c r="A142" s="18"/>
      <c r="C142" s="85"/>
    </row>
    <row r="143" spans="1:12">
      <c r="A143" s="18"/>
      <c r="C143" s="85"/>
    </row>
    <row r="144" spans="1:12">
      <c r="A144" s="18"/>
    </row>
    <row r="146" spans="1:48">
      <c r="A146" s="18"/>
      <c r="B146" s="24"/>
    </row>
    <row r="147" spans="1:48">
      <c r="A147" s="18"/>
      <c r="D147" s="18">
        <v>2007</v>
      </c>
      <c r="E147" s="18">
        <v>2008</v>
      </c>
      <c r="F147" s="18">
        <v>2009</v>
      </c>
      <c r="G147" s="18">
        <v>2010</v>
      </c>
      <c r="H147" s="18">
        <v>2011</v>
      </c>
      <c r="I147" s="18">
        <v>2012</v>
      </c>
      <c r="J147" s="18">
        <v>2013</v>
      </c>
      <c r="K147" s="18">
        <v>2014</v>
      </c>
      <c r="L147" s="18">
        <v>2015</v>
      </c>
      <c r="M147" s="18">
        <v>2016</v>
      </c>
      <c r="N147" s="18">
        <v>2017</v>
      </c>
      <c r="O147" s="18">
        <v>2018</v>
      </c>
    </row>
    <row r="148" spans="1:48">
      <c r="A148" s="18"/>
      <c r="B148" s="167" t="s">
        <v>212</v>
      </c>
      <c r="C148" s="166">
        <v>0</v>
      </c>
      <c r="D148" s="166">
        <v>1</v>
      </c>
      <c r="E148" s="166">
        <f>D148+1</f>
        <v>2</v>
      </c>
      <c r="F148" s="166">
        <f t="shared" ref="F148:AU148" si="52">E148+1</f>
        <v>3</v>
      </c>
      <c r="G148" s="166">
        <f t="shared" si="52"/>
        <v>4</v>
      </c>
      <c r="H148" s="166">
        <f t="shared" si="52"/>
        <v>5</v>
      </c>
      <c r="I148" s="166">
        <f t="shared" si="52"/>
        <v>6</v>
      </c>
      <c r="J148" s="166">
        <f t="shared" si="52"/>
        <v>7</v>
      </c>
      <c r="K148" s="166">
        <f t="shared" si="52"/>
        <v>8</v>
      </c>
      <c r="L148" s="166">
        <f t="shared" si="52"/>
        <v>9</v>
      </c>
      <c r="M148" s="166">
        <f t="shared" si="52"/>
        <v>10</v>
      </c>
      <c r="N148" s="166">
        <f t="shared" si="52"/>
        <v>11</v>
      </c>
      <c r="O148" s="166">
        <f t="shared" si="52"/>
        <v>12</v>
      </c>
      <c r="P148" s="166">
        <f t="shared" si="52"/>
        <v>13</v>
      </c>
      <c r="Q148" s="166">
        <f t="shared" si="52"/>
        <v>14</v>
      </c>
      <c r="R148" s="166">
        <f t="shared" si="52"/>
        <v>15</v>
      </c>
      <c r="S148" s="166">
        <f t="shared" si="52"/>
        <v>16</v>
      </c>
      <c r="T148" s="166">
        <f t="shared" si="52"/>
        <v>17</v>
      </c>
      <c r="U148" s="166">
        <f t="shared" si="52"/>
        <v>18</v>
      </c>
      <c r="V148" s="166">
        <f t="shared" si="52"/>
        <v>19</v>
      </c>
      <c r="W148" s="166">
        <f t="shared" si="52"/>
        <v>20</v>
      </c>
      <c r="X148" s="166">
        <f t="shared" si="52"/>
        <v>21</v>
      </c>
      <c r="Y148" s="166">
        <f t="shared" si="52"/>
        <v>22</v>
      </c>
      <c r="Z148" s="166">
        <f t="shared" si="52"/>
        <v>23</v>
      </c>
      <c r="AA148" s="166">
        <f t="shared" si="52"/>
        <v>24</v>
      </c>
      <c r="AB148" s="166">
        <f t="shared" si="52"/>
        <v>25</v>
      </c>
      <c r="AC148" s="166">
        <f t="shared" si="52"/>
        <v>26</v>
      </c>
      <c r="AD148" s="166">
        <f t="shared" si="52"/>
        <v>27</v>
      </c>
      <c r="AE148" s="166">
        <f t="shared" si="52"/>
        <v>28</v>
      </c>
      <c r="AF148" s="166">
        <f t="shared" si="52"/>
        <v>29</v>
      </c>
      <c r="AG148" s="166">
        <f t="shared" si="52"/>
        <v>30</v>
      </c>
      <c r="AH148" s="166">
        <f t="shared" si="52"/>
        <v>31</v>
      </c>
      <c r="AI148" s="166">
        <f t="shared" si="52"/>
        <v>32</v>
      </c>
      <c r="AJ148" s="166">
        <f t="shared" si="52"/>
        <v>33</v>
      </c>
      <c r="AK148" s="166">
        <f t="shared" si="52"/>
        <v>34</v>
      </c>
      <c r="AL148" s="166">
        <f t="shared" si="52"/>
        <v>35</v>
      </c>
      <c r="AM148" s="166">
        <f t="shared" si="52"/>
        <v>36</v>
      </c>
      <c r="AN148" s="166">
        <f t="shared" si="52"/>
        <v>37</v>
      </c>
      <c r="AO148" s="166">
        <f t="shared" si="52"/>
        <v>38</v>
      </c>
      <c r="AP148" s="166">
        <f t="shared" si="52"/>
        <v>39</v>
      </c>
      <c r="AQ148" s="166">
        <f t="shared" si="52"/>
        <v>40</v>
      </c>
      <c r="AR148" s="166">
        <f t="shared" si="52"/>
        <v>41</v>
      </c>
      <c r="AS148" s="166">
        <f t="shared" si="52"/>
        <v>42</v>
      </c>
      <c r="AT148" s="166">
        <f t="shared" si="52"/>
        <v>43</v>
      </c>
      <c r="AU148" s="166">
        <f t="shared" si="52"/>
        <v>44</v>
      </c>
    </row>
    <row r="150" spans="1:48">
      <c r="A150" s="18"/>
      <c r="B150" s="18" t="s">
        <v>213</v>
      </c>
      <c r="D150" s="66">
        <f>M5*1000</f>
        <v>0</v>
      </c>
      <c r="E150" s="66">
        <f>D150</f>
        <v>0</v>
      </c>
      <c r="F150" s="66">
        <f t="shared" ref="F150:U151" si="53">E150</f>
        <v>0</v>
      </c>
      <c r="G150" s="66">
        <f t="shared" si="53"/>
        <v>0</v>
      </c>
      <c r="H150" s="66">
        <f t="shared" si="53"/>
        <v>0</v>
      </c>
      <c r="I150" s="66">
        <f t="shared" si="53"/>
        <v>0</v>
      </c>
      <c r="J150" s="66">
        <f t="shared" si="53"/>
        <v>0</v>
      </c>
      <c r="K150" s="66">
        <f t="shared" si="53"/>
        <v>0</v>
      </c>
      <c r="L150" s="66">
        <f t="shared" si="53"/>
        <v>0</v>
      </c>
      <c r="M150" s="66">
        <f t="shared" si="53"/>
        <v>0</v>
      </c>
      <c r="N150" s="66">
        <f t="shared" si="53"/>
        <v>0</v>
      </c>
      <c r="O150" s="66">
        <f t="shared" si="53"/>
        <v>0</v>
      </c>
      <c r="P150" s="66">
        <f t="shared" si="53"/>
        <v>0</v>
      </c>
      <c r="Q150" s="66">
        <f t="shared" si="53"/>
        <v>0</v>
      </c>
      <c r="R150" s="66">
        <f t="shared" si="53"/>
        <v>0</v>
      </c>
      <c r="S150" s="66">
        <f t="shared" si="53"/>
        <v>0</v>
      </c>
      <c r="T150" s="66">
        <f t="shared" si="53"/>
        <v>0</v>
      </c>
      <c r="U150" s="66">
        <f t="shared" si="53"/>
        <v>0</v>
      </c>
      <c r="V150" s="66">
        <f t="shared" ref="V150:AK151" si="54">U150</f>
        <v>0</v>
      </c>
      <c r="W150" s="66">
        <f t="shared" si="54"/>
        <v>0</v>
      </c>
      <c r="X150" s="66">
        <f t="shared" si="54"/>
        <v>0</v>
      </c>
      <c r="Y150" s="66">
        <f t="shared" si="54"/>
        <v>0</v>
      </c>
      <c r="Z150" s="66">
        <f t="shared" si="54"/>
        <v>0</v>
      </c>
      <c r="AA150" s="66">
        <f t="shared" si="54"/>
        <v>0</v>
      </c>
      <c r="AB150" s="66">
        <f t="shared" si="54"/>
        <v>0</v>
      </c>
      <c r="AC150" s="66">
        <f t="shared" si="54"/>
        <v>0</v>
      </c>
      <c r="AD150" s="66">
        <f t="shared" si="54"/>
        <v>0</v>
      </c>
      <c r="AE150" s="66">
        <f t="shared" si="54"/>
        <v>0</v>
      </c>
      <c r="AF150" s="66">
        <f t="shared" si="54"/>
        <v>0</v>
      </c>
      <c r="AG150" s="66">
        <f t="shared" si="54"/>
        <v>0</v>
      </c>
      <c r="AH150" s="66">
        <f t="shared" si="54"/>
        <v>0</v>
      </c>
      <c r="AI150" s="66">
        <f t="shared" si="54"/>
        <v>0</v>
      </c>
      <c r="AJ150" s="66">
        <f t="shared" si="54"/>
        <v>0</v>
      </c>
      <c r="AK150" s="66">
        <f t="shared" si="54"/>
        <v>0</v>
      </c>
      <c r="AL150" s="66">
        <f t="shared" ref="AK150:AU151" si="55">AK150</f>
        <v>0</v>
      </c>
      <c r="AM150" s="66">
        <f t="shared" si="55"/>
        <v>0</v>
      </c>
      <c r="AN150" s="66">
        <f t="shared" si="55"/>
        <v>0</v>
      </c>
      <c r="AO150" s="66">
        <f t="shared" si="55"/>
        <v>0</v>
      </c>
      <c r="AP150" s="66">
        <f t="shared" si="55"/>
        <v>0</v>
      </c>
      <c r="AQ150" s="66">
        <f t="shared" si="55"/>
        <v>0</v>
      </c>
      <c r="AR150" s="66">
        <f t="shared" si="55"/>
        <v>0</v>
      </c>
      <c r="AS150" s="66">
        <f t="shared" si="55"/>
        <v>0</v>
      </c>
      <c r="AT150" s="66">
        <f t="shared" si="55"/>
        <v>0</v>
      </c>
      <c r="AU150" s="66">
        <f t="shared" si="55"/>
        <v>0</v>
      </c>
    </row>
    <row r="151" spans="1:48">
      <c r="A151" s="18"/>
      <c r="B151" s="18" t="s">
        <v>214</v>
      </c>
      <c r="D151" s="18">
        <v>0</v>
      </c>
      <c r="E151" s="18">
        <v>0</v>
      </c>
      <c r="F151" s="18">
        <v>0</v>
      </c>
      <c r="G151" s="18">
        <f t="shared" si="53"/>
        <v>0</v>
      </c>
      <c r="H151" s="18">
        <f t="shared" si="53"/>
        <v>0</v>
      </c>
      <c r="I151" s="18">
        <f t="shared" si="53"/>
        <v>0</v>
      </c>
      <c r="J151" s="18">
        <f t="shared" si="53"/>
        <v>0</v>
      </c>
      <c r="K151" s="18">
        <f t="shared" si="53"/>
        <v>0</v>
      </c>
      <c r="L151" s="18">
        <f t="shared" si="53"/>
        <v>0</v>
      </c>
      <c r="M151" s="18">
        <f t="shared" si="53"/>
        <v>0</v>
      </c>
      <c r="N151" s="18">
        <f t="shared" si="53"/>
        <v>0</v>
      </c>
      <c r="O151" s="18">
        <f t="shared" si="53"/>
        <v>0</v>
      </c>
      <c r="P151" s="18">
        <f t="shared" si="53"/>
        <v>0</v>
      </c>
      <c r="Q151" s="18">
        <f t="shared" si="53"/>
        <v>0</v>
      </c>
      <c r="R151" s="18">
        <f t="shared" si="53"/>
        <v>0</v>
      </c>
      <c r="S151" s="18">
        <f t="shared" si="53"/>
        <v>0</v>
      </c>
      <c r="T151" s="18">
        <f t="shared" si="53"/>
        <v>0</v>
      </c>
      <c r="U151" s="18">
        <f t="shared" si="53"/>
        <v>0</v>
      </c>
      <c r="V151" s="18">
        <f t="shared" si="54"/>
        <v>0</v>
      </c>
      <c r="W151" s="18">
        <f t="shared" si="54"/>
        <v>0</v>
      </c>
      <c r="X151" s="18">
        <f t="shared" si="54"/>
        <v>0</v>
      </c>
      <c r="Y151" s="18">
        <f t="shared" si="54"/>
        <v>0</v>
      </c>
      <c r="Z151" s="18">
        <f t="shared" si="54"/>
        <v>0</v>
      </c>
      <c r="AA151" s="18">
        <f t="shared" si="54"/>
        <v>0</v>
      </c>
      <c r="AB151" s="18">
        <f t="shared" si="54"/>
        <v>0</v>
      </c>
      <c r="AC151" s="18">
        <f t="shared" si="54"/>
        <v>0</v>
      </c>
      <c r="AD151" s="18">
        <f t="shared" si="54"/>
        <v>0</v>
      </c>
      <c r="AE151" s="18">
        <f t="shared" si="54"/>
        <v>0</v>
      </c>
      <c r="AF151" s="18">
        <f t="shared" si="54"/>
        <v>0</v>
      </c>
      <c r="AG151" s="18">
        <f t="shared" si="54"/>
        <v>0</v>
      </c>
      <c r="AH151" s="18">
        <f t="shared" si="54"/>
        <v>0</v>
      </c>
      <c r="AI151" s="18">
        <f t="shared" si="54"/>
        <v>0</v>
      </c>
      <c r="AJ151" s="18">
        <f t="shared" si="54"/>
        <v>0</v>
      </c>
      <c r="AK151" s="18">
        <f t="shared" si="55"/>
        <v>0</v>
      </c>
      <c r="AL151" s="18">
        <f t="shared" si="55"/>
        <v>0</v>
      </c>
      <c r="AM151" s="18">
        <f t="shared" si="55"/>
        <v>0</v>
      </c>
      <c r="AN151" s="18">
        <f t="shared" si="55"/>
        <v>0</v>
      </c>
      <c r="AO151" s="18">
        <f t="shared" si="55"/>
        <v>0</v>
      </c>
      <c r="AP151" s="18">
        <f t="shared" si="55"/>
        <v>0</v>
      </c>
      <c r="AQ151" s="18">
        <f t="shared" si="55"/>
        <v>0</v>
      </c>
      <c r="AR151" s="18">
        <f t="shared" si="55"/>
        <v>0</v>
      </c>
      <c r="AS151" s="18">
        <f t="shared" si="55"/>
        <v>0</v>
      </c>
      <c r="AT151" s="18">
        <f t="shared" si="55"/>
        <v>0</v>
      </c>
      <c r="AU151" s="18">
        <f t="shared" si="55"/>
        <v>0</v>
      </c>
    </row>
    <row r="152" spans="1:48">
      <c r="A152" s="18"/>
      <c r="B152" s="18" t="s">
        <v>215</v>
      </c>
      <c r="C152" s="151"/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8">
        <v>0</v>
      </c>
      <c r="AU152" s="18">
        <v>0</v>
      </c>
    </row>
    <row r="153" spans="1:48">
      <c r="A153" s="18"/>
      <c r="B153" s="18" t="s">
        <v>216</v>
      </c>
      <c r="C153" s="151"/>
      <c r="D153" s="18">
        <v>0</v>
      </c>
      <c r="E153" s="18">
        <f>D153</f>
        <v>0</v>
      </c>
      <c r="F153" s="18">
        <f t="shared" ref="F153:AU153" si="56">E153</f>
        <v>0</v>
      </c>
      <c r="G153" s="18">
        <f t="shared" si="56"/>
        <v>0</v>
      </c>
      <c r="H153" s="18">
        <f t="shared" si="56"/>
        <v>0</v>
      </c>
      <c r="I153" s="18">
        <f t="shared" si="56"/>
        <v>0</v>
      </c>
      <c r="J153" s="18">
        <f t="shared" si="56"/>
        <v>0</v>
      </c>
      <c r="K153" s="18">
        <f t="shared" si="56"/>
        <v>0</v>
      </c>
      <c r="L153" s="18">
        <f t="shared" si="56"/>
        <v>0</v>
      </c>
      <c r="M153" s="18">
        <f t="shared" si="56"/>
        <v>0</v>
      </c>
      <c r="N153" s="18">
        <f t="shared" si="56"/>
        <v>0</v>
      </c>
      <c r="O153" s="18">
        <f t="shared" si="56"/>
        <v>0</v>
      </c>
      <c r="P153" s="18">
        <f t="shared" si="56"/>
        <v>0</v>
      </c>
      <c r="Q153" s="18">
        <f t="shared" si="56"/>
        <v>0</v>
      </c>
      <c r="R153" s="18">
        <f t="shared" si="56"/>
        <v>0</v>
      </c>
      <c r="S153" s="18">
        <f t="shared" si="56"/>
        <v>0</v>
      </c>
      <c r="T153" s="18">
        <f t="shared" si="56"/>
        <v>0</v>
      </c>
      <c r="U153" s="18">
        <f t="shared" si="56"/>
        <v>0</v>
      </c>
      <c r="V153" s="18">
        <f t="shared" si="56"/>
        <v>0</v>
      </c>
      <c r="W153" s="18">
        <f t="shared" si="56"/>
        <v>0</v>
      </c>
      <c r="X153" s="18">
        <f t="shared" si="56"/>
        <v>0</v>
      </c>
      <c r="Y153" s="18">
        <f t="shared" si="56"/>
        <v>0</v>
      </c>
      <c r="Z153" s="18">
        <f t="shared" si="56"/>
        <v>0</v>
      </c>
      <c r="AA153" s="18">
        <f t="shared" si="56"/>
        <v>0</v>
      </c>
      <c r="AB153" s="18">
        <f t="shared" si="56"/>
        <v>0</v>
      </c>
      <c r="AC153" s="18">
        <f t="shared" si="56"/>
        <v>0</v>
      </c>
      <c r="AD153" s="18">
        <f t="shared" si="56"/>
        <v>0</v>
      </c>
      <c r="AE153" s="18">
        <f t="shared" si="56"/>
        <v>0</v>
      </c>
      <c r="AF153" s="18">
        <f t="shared" si="56"/>
        <v>0</v>
      </c>
      <c r="AG153" s="18">
        <f t="shared" si="56"/>
        <v>0</v>
      </c>
      <c r="AH153" s="18">
        <f t="shared" si="56"/>
        <v>0</v>
      </c>
      <c r="AI153" s="18">
        <f t="shared" si="56"/>
        <v>0</v>
      </c>
      <c r="AJ153" s="18">
        <f t="shared" si="56"/>
        <v>0</v>
      </c>
      <c r="AK153" s="18">
        <f t="shared" si="56"/>
        <v>0</v>
      </c>
      <c r="AL153" s="18">
        <f t="shared" si="56"/>
        <v>0</v>
      </c>
      <c r="AM153" s="18">
        <f t="shared" si="56"/>
        <v>0</v>
      </c>
      <c r="AN153" s="18">
        <f t="shared" si="56"/>
        <v>0</v>
      </c>
      <c r="AO153" s="18">
        <f t="shared" si="56"/>
        <v>0</v>
      </c>
      <c r="AP153" s="18">
        <f t="shared" si="56"/>
        <v>0</v>
      </c>
      <c r="AQ153" s="18">
        <f t="shared" si="56"/>
        <v>0</v>
      </c>
      <c r="AR153" s="18">
        <f t="shared" si="56"/>
        <v>0</v>
      </c>
      <c r="AS153" s="18">
        <f t="shared" si="56"/>
        <v>0</v>
      </c>
      <c r="AT153" s="18">
        <f t="shared" si="56"/>
        <v>0</v>
      </c>
      <c r="AU153" s="18">
        <f t="shared" si="56"/>
        <v>0</v>
      </c>
    </row>
    <row r="154" spans="1:48">
      <c r="A154" s="18"/>
      <c r="B154" s="18" t="s">
        <v>217</v>
      </c>
      <c r="C154" s="151"/>
      <c r="D154" s="66">
        <f t="shared" ref="D154:AU154" si="57">SUM(D152:D153)</f>
        <v>0</v>
      </c>
      <c r="E154" s="66">
        <f t="shared" si="57"/>
        <v>0</v>
      </c>
      <c r="F154" s="66">
        <f t="shared" si="57"/>
        <v>0</v>
      </c>
      <c r="G154" s="66">
        <f t="shared" si="57"/>
        <v>0</v>
      </c>
      <c r="H154" s="66">
        <f t="shared" si="57"/>
        <v>0</v>
      </c>
      <c r="I154" s="66">
        <f t="shared" si="57"/>
        <v>0</v>
      </c>
      <c r="J154" s="66">
        <f t="shared" si="57"/>
        <v>0</v>
      </c>
      <c r="K154" s="66">
        <f t="shared" si="57"/>
        <v>0</v>
      </c>
      <c r="L154" s="66">
        <f t="shared" si="57"/>
        <v>0</v>
      </c>
      <c r="M154" s="66">
        <f t="shared" si="57"/>
        <v>0</v>
      </c>
      <c r="N154" s="66">
        <f t="shared" si="57"/>
        <v>0</v>
      </c>
      <c r="O154" s="66">
        <f t="shared" si="57"/>
        <v>0</v>
      </c>
      <c r="P154" s="66">
        <f t="shared" si="57"/>
        <v>0</v>
      </c>
      <c r="Q154" s="66">
        <f t="shared" si="57"/>
        <v>0</v>
      </c>
      <c r="R154" s="66">
        <f t="shared" si="57"/>
        <v>0</v>
      </c>
      <c r="S154" s="66">
        <f t="shared" si="57"/>
        <v>0</v>
      </c>
      <c r="T154" s="66">
        <f t="shared" si="57"/>
        <v>0</v>
      </c>
      <c r="U154" s="66">
        <f t="shared" si="57"/>
        <v>0</v>
      </c>
      <c r="V154" s="66">
        <f t="shared" si="57"/>
        <v>0</v>
      </c>
      <c r="W154" s="66">
        <f t="shared" si="57"/>
        <v>0</v>
      </c>
      <c r="X154" s="66">
        <f t="shared" si="57"/>
        <v>0</v>
      </c>
      <c r="Y154" s="66">
        <f t="shared" si="57"/>
        <v>0</v>
      </c>
      <c r="Z154" s="66">
        <f t="shared" si="57"/>
        <v>0</v>
      </c>
      <c r="AA154" s="66">
        <f t="shared" si="57"/>
        <v>0</v>
      </c>
      <c r="AB154" s="66">
        <f t="shared" si="57"/>
        <v>0</v>
      </c>
      <c r="AC154" s="66">
        <f t="shared" si="57"/>
        <v>0</v>
      </c>
      <c r="AD154" s="66">
        <f t="shared" si="57"/>
        <v>0</v>
      </c>
      <c r="AE154" s="66">
        <f t="shared" si="57"/>
        <v>0</v>
      </c>
      <c r="AF154" s="66">
        <f t="shared" si="57"/>
        <v>0</v>
      </c>
      <c r="AG154" s="66">
        <f t="shared" si="57"/>
        <v>0</v>
      </c>
      <c r="AH154" s="66">
        <f t="shared" si="57"/>
        <v>0</v>
      </c>
      <c r="AI154" s="66">
        <f t="shared" si="57"/>
        <v>0</v>
      </c>
      <c r="AJ154" s="66">
        <f t="shared" si="57"/>
        <v>0</v>
      </c>
      <c r="AK154" s="66">
        <f t="shared" si="57"/>
        <v>0</v>
      </c>
      <c r="AL154" s="66">
        <f t="shared" si="57"/>
        <v>0</v>
      </c>
      <c r="AM154" s="66">
        <f t="shared" si="57"/>
        <v>0</v>
      </c>
      <c r="AN154" s="66">
        <f t="shared" si="57"/>
        <v>0</v>
      </c>
      <c r="AO154" s="66">
        <f t="shared" si="57"/>
        <v>0</v>
      </c>
      <c r="AP154" s="66">
        <f t="shared" si="57"/>
        <v>0</v>
      </c>
      <c r="AQ154" s="66">
        <f t="shared" si="57"/>
        <v>0</v>
      </c>
      <c r="AR154" s="66">
        <f t="shared" si="57"/>
        <v>0</v>
      </c>
      <c r="AS154" s="66">
        <f t="shared" si="57"/>
        <v>0</v>
      </c>
      <c r="AT154" s="66">
        <f t="shared" si="57"/>
        <v>0</v>
      </c>
      <c r="AU154" s="66">
        <f t="shared" si="57"/>
        <v>0</v>
      </c>
    </row>
    <row r="155" spans="1:48">
      <c r="A155" s="18"/>
      <c r="B155" s="18" t="s">
        <v>218</v>
      </c>
      <c r="C155" s="151"/>
      <c r="D155" s="66">
        <f t="shared" ref="D155:AU155" si="58">D150+D154</f>
        <v>0</v>
      </c>
      <c r="E155" s="66">
        <f t="shared" si="58"/>
        <v>0</v>
      </c>
      <c r="F155" s="66">
        <f t="shared" si="58"/>
        <v>0</v>
      </c>
      <c r="G155" s="66">
        <f t="shared" si="58"/>
        <v>0</v>
      </c>
      <c r="H155" s="66">
        <f t="shared" si="58"/>
        <v>0</v>
      </c>
      <c r="I155" s="66">
        <f t="shared" si="58"/>
        <v>0</v>
      </c>
      <c r="J155" s="66">
        <f t="shared" si="58"/>
        <v>0</v>
      </c>
      <c r="K155" s="66">
        <f t="shared" si="58"/>
        <v>0</v>
      </c>
      <c r="L155" s="66">
        <f t="shared" si="58"/>
        <v>0</v>
      </c>
      <c r="M155" s="66">
        <f t="shared" si="58"/>
        <v>0</v>
      </c>
      <c r="N155" s="66">
        <f t="shared" si="58"/>
        <v>0</v>
      </c>
      <c r="O155" s="66">
        <f t="shared" si="58"/>
        <v>0</v>
      </c>
      <c r="P155" s="66">
        <f t="shared" si="58"/>
        <v>0</v>
      </c>
      <c r="Q155" s="66">
        <f t="shared" si="58"/>
        <v>0</v>
      </c>
      <c r="R155" s="66">
        <f t="shared" si="58"/>
        <v>0</v>
      </c>
      <c r="S155" s="66">
        <f t="shared" si="58"/>
        <v>0</v>
      </c>
      <c r="T155" s="66">
        <f t="shared" si="58"/>
        <v>0</v>
      </c>
      <c r="U155" s="66">
        <f t="shared" si="58"/>
        <v>0</v>
      </c>
      <c r="V155" s="66">
        <f t="shared" si="58"/>
        <v>0</v>
      </c>
      <c r="W155" s="66">
        <f t="shared" si="58"/>
        <v>0</v>
      </c>
      <c r="X155" s="66">
        <f t="shared" si="58"/>
        <v>0</v>
      </c>
      <c r="Y155" s="66">
        <f t="shared" si="58"/>
        <v>0</v>
      </c>
      <c r="Z155" s="66">
        <f t="shared" si="58"/>
        <v>0</v>
      </c>
      <c r="AA155" s="66">
        <f t="shared" si="58"/>
        <v>0</v>
      </c>
      <c r="AB155" s="66">
        <f t="shared" si="58"/>
        <v>0</v>
      </c>
      <c r="AC155" s="66">
        <f t="shared" si="58"/>
        <v>0</v>
      </c>
      <c r="AD155" s="66">
        <f t="shared" si="58"/>
        <v>0</v>
      </c>
      <c r="AE155" s="66">
        <f t="shared" si="58"/>
        <v>0</v>
      </c>
      <c r="AF155" s="66">
        <f t="shared" si="58"/>
        <v>0</v>
      </c>
      <c r="AG155" s="66">
        <f t="shared" si="58"/>
        <v>0</v>
      </c>
      <c r="AH155" s="66">
        <f t="shared" si="58"/>
        <v>0</v>
      </c>
      <c r="AI155" s="66">
        <f t="shared" si="58"/>
        <v>0</v>
      </c>
      <c r="AJ155" s="66">
        <f t="shared" si="58"/>
        <v>0</v>
      </c>
      <c r="AK155" s="66">
        <f t="shared" si="58"/>
        <v>0</v>
      </c>
      <c r="AL155" s="66">
        <f t="shared" si="58"/>
        <v>0</v>
      </c>
      <c r="AM155" s="66">
        <f t="shared" si="58"/>
        <v>0</v>
      </c>
      <c r="AN155" s="66">
        <f t="shared" si="58"/>
        <v>0</v>
      </c>
      <c r="AO155" s="66">
        <f t="shared" si="58"/>
        <v>0</v>
      </c>
      <c r="AP155" s="66">
        <f t="shared" si="58"/>
        <v>0</v>
      </c>
      <c r="AQ155" s="66">
        <f t="shared" si="58"/>
        <v>0</v>
      </c>
      <c r="AR155" s="66">
        <f t="shared" si="58"/>
        <v>0</v>
      </c>
      <c r="AS155" s="66">
        <f t="shared" si="58"/>
        <v>0</v>
      </c>
      <c r="AT155" s="66">
        <f t="shared" si="58"/>
        <v>0</v>
      </c>
      <c r="AU155" s="66">
        <f t="shared" si="58"/>
        <v>0</v>
      </c>
    </row>
    <row r="156" spans="1:48">
      <c r="A156" s="18"/>
      <c r="C156" s="15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</row>
    <row r="157" spans="1:48">
      <c r="A157" s="18"/>
      <c r="B157" s="18" t="s">
        <v>219</v>
      </c>
      <c r="C157" s="151"/>
      <c r="D157" s="66">
        <f>D150*(L8/12)</f>
        <v>0</v>
      </c>
      <c r="E157" s="66">
        <f>E150*(L8/12)</f>
        <v>0</v>
      </c>
      <c r="F157" s="66">
        <f>F150*(L8/12)</f>
        <v>0</v>
      </c>
      <c r="G157" s="66">
        <f>G150*(L8/12)</f>
        <v>0</v>
      </c>
      <c r="H157" s="66">
        <f>H150*(L8/12)</f>
        <v>0</v>
      </c>
      <c r="I157" s="66">
        <f>I150*(L8/12)</f>
        <v>0</v>
      </c>
      <c r="J157" s="66">
        <f>J150*(L8/12)</f>
        <v>0</v>
      </c>
      <c r="K157" s="66">
        <f>K150*(L8/12)</f>
        <v>0</v>
      </c>
      <c r="L157" s="66">
        <f>L150*(L8/12)</f>
        <v>0</v>
      </c>
      <c r="M157" s="66">
        <f>M150*(L8/12)</f>
        <v>0</v>
      </c>
      <c r="N157" s="66">
        <f>N150*(L8/12)</f>
        <v>0</v>
      </c>
      <c r="O157" s="66">
        <f>O150*(L8/12)</f>
        <v>0</v>
      </c>
      <c r="P157" s="66">
        <f>P150*(L8/12)</f>
        <v>0</v>
      </c>
      <c r="Q157" s="66">
        <f>Q150*(L8/12)</f>
        <v>0</v>
      </c>
      <c r="R157" s="66">
        <f>R150*(L8/12)</f>
        <v>0</v>
      </c>
      <c r="S157" s="66">
        <f>S150*(L8/12)</f>
        <v>0</v>
      </c>
      <c r="T157" s="66">
        <f>T150*(L8/12)</f>
        <v>0</v>
      </c>
      <c r="U157" s="66">
        <f>U150*(L8/12)</f>
        <v>0</v>
      </c>
      <c r="V157" s="66">
        <f>V150*(L8/12)</f>
        <v>0</v>
      </c>
      <c r="W157" s="66">
        <f>W150*(L8/12)</f>
        <v>0</v>
      </c>
      <c r="X157" s="66">
        <f>X150*(L8/12)</f>
        <v>0</v>
      </c>
      <c r="Y157" s="66">
        <f>Y150*(L8/12)</f>
        <v>0</v>
      </c>
      <c r="Z157" s="66">
        <f>Z150*(L8/12)</f>
        <v>0</v>
      </c>
      <c r="AA157" s="66">
        <f>AA150*(L8/12)</f>
        <v>0</v>
      </c>
      <c r="AB157" s="66">
        <f>AB150*(L8/12)</f>
        <v>0</v>
      </c>
      <c r="AC157" s="66">
        <f>AC150*(L8/12)</f>
        <v>0</v>
      </c>
      <c r="AD157" s="66">
        <f>AD150*(L8/12)</f>
        <v>0</v>
      </c>
      <c r="AE157" s="66">
        <f>AE150*(L8/12)</f>
        <v>0</v>
      </c>
      <c r="AF157" s="66">
        <f>AF150*(L8/12)</f>
        <v>0</v>
      </c>
      <c r="AG157" s="66">
        <f>AG150*(L8/12)</f>
        <v>0</v>
      </c>
      <c r="AH157" s="66">
        <f>AH150*(L8/12)</f>
        <v>0</v>
      </c>
      <c r="AI157" s="66">
        <f>AI150*(L8/12)</f>
        <v>0</v>
      </c>
      <c r="AJ157" s="66">
        <f>AJ150*(L8/12)</f>
        <v>0</v>
      </c>
      <c r="AK157" s="66">
        <f t="shared" ref="AK157:AU157" si="59">AK150*(L8/12)</f>
        <v>0</v>
      </c>
      <c r="AL157" s="66">
        <f t="shared" si="59"/>
        <v>0</v>
      </c>
      <c r="AM157" s="66">
        <f t="shared" si="59"/>
        <v>0</v>
      </c>
      <c r="AN157" s="66">
        <f t="shared" si="59"/>
        <v>0</v>
      </c>
      <c r="AO157" s="66">
        <f t="shared" si="59"/>
        <v>0</v>
      </c>
      <c r="AP157" s="66">
        <f t="shared" si="59"/>
        <v>0</v>
      </c>
      <c r="AQ157" s="66">
        <f t="shared" si="59"/>
        <v>0</v>
      </c>
      <c r="AR157" s="66">
        <f t="shared" si="59"/>
        <v>0</v>
      </c>
      <c r="AS157" s="66">
        <f t="shared" si="59"/>
        <v>0</v>
      </c>
      <c r="AT157" s="66">
        <f t="shared" si="59"/>
        <v>0</v>
      </c>
      <c r="AU157" s="66">
        <f t="shared" si="59"/>
        <v>0</v>
      </c>
    </row>
    <row r="158" spans="1:48">
      <c r="A158" s="18"/>
      <c r="B158" s="18" t="s">
        <v>220</v>
      </c>
      <c r="C158" s="151"/>
      <c r="D158" s="18">
        <f>IF(D151=0,D152*(L8/12),(D152*(L8-(D$151*52))/12))</f>
        <v>0</v>
      </c>
      <c r="E158" s="18">
        <f>IF(E151=0,E152*(L8/12),(E152*(L8-(E$151*52))/12))</f>
        <v>0</v>
      </c>
      <c r="F158" s="18">
        <f>IF(F151=0,F152*(L8/12),(F152*(L8-(F$151*52))/12))</f>
        <v>0</v>
      </c>
      <c r="G158" s="18">
        <f>IF(G151=0,G152*(L8/12),(G152*(L8-(G$151*52))/12))</f>
        <v>0</v>
      </c>
      <c r="H158" s="18">
        <f>IF(H151=0,H152*(L8/12),(H152*(L8-(H$151*52))/12))</f>
        <v>0</v>
      </c>
      <c r="I158" s="18">
        <f>IF(I151=0,I152*(L8/12),(I152*(L8-(I$151*52))/12))</f>
        <v>0</v>
      </c>
      <c r="J158" s="18">
        <f>IF(J151=0,J152*(L8/12),(J152*(L8-(J$151*52))/12))</f>
        <v>0</v>
      </c>
      <c r="K158" s="18">
        <f>IF(K151=0,K152*(L8/12),(K152*(L8-(K$151*52))/12))</f>
        <v>0</v>
      </c>
      <c r="L158" s="18">
        <f>IF(L151=0,L152*(L8/12),(L152*(L8-(L$151*52))/12))</f>
        <v>0</v>
      </c>
      <c r="M158" s="18">
        <f>IF(M151=0,M152*(L8/12),(M152*(L8-(M$151*52))/12))</f>
        <v>0</v>
      </c>
      <c r="N158" s="18">
        <f>IF(N151=0,N152*(L8/12),(N152*(L8-(N$151*52))/12))</f>
        <v>0</v>
      </c>
      <c r="O158" s="18">
        <f>IF(O151=0,O152*(L8/12),(O152*(L8-(O$151*52))/12))</f>
        <v>0</v>
      </c>
      <c r="P158" s="18">
        <f>IF(P151=0,P152*(L8/12),(P152*(L8-(P$151*52))/12))</f>
        <v>0</v>
      </c>
      <c r="Q158" s="18">
        <f>IF(Q151=0,Q152*(L8/12),(Q152*(L8-(Q$151*52))/12))</f>
        <v>0</v>
      </c>
      <c r="R158" s="18">
        <f>IF(R151=0,R152*(L8/12),(R152*(L8-(R$151*52))/12))</f>
        <v>0</v>
      </c>
      <c r="S158" s="18">
        <f>IF(S151=0,S152*(L8/12),(S152*(L8-(S$151*52))/12))</f>
        <v>0</v>
      </c>
      <c r="T158" s="18">
        <f>IF(T151=0,T152*(L8/12),(T152*(L8-(T$151*52))/12))</f>
        <v>0</v>
      </c>
      <c r="U158" s="18">
        <f>IF(U151=0,U152*(L8/12),(U152*(L8-(U$151*52))/12))</f>
        <v>0</v>
      </c>
      <c r="V158" s="18">
        <f>IF(V151=0,V152*(L8/12),(V152*(L8-(V$151*52))/12))</f>
        <v>0</v>
      </c>
      <c r="W158" s="18">
        <f>IF(W151=0,W152*(L8/12),(W152*(L8-(W$151*52))/12))</f>
        <v>0</v>
      </c>
      <c r="X158" s="18">
        <f>IF(X151=0,X152*(L8/12),(X152*(L8-(X$151*52))/12))</f>
        <v>0</v>
      </c>
      <c r="Y158" s="18">
        <f>IF(Y151=0,Y152*(L8/12),(Y152*(L8-(Y$151*52))/12))</f>
        <v>0</v>
      </c>
      <c r="Z158" s="18">
        <f>IF(Z151=0,Z152*(L8/12),(Z152*(L8-(Z$151*52))/12))</f>
        <v>0</v>
      </c>
      <c r="AA158" s="18">
        <f>IF(AA151=0,AA152*(L8/12),(AA152*(L8-(AA$151*52))/12))</f>
        <v>0</v>
      </c>
      <c r="AB158" s="18">
        <f>IF(AB151=0,AB152*(L8/12),(AB152*(L8-(AB$151*52))/12))</f>
        <v>0</v>
      </c>
      <c r="AC158" s="18">
        <f>IF(AC151=0,AC152*(L8/12),(AC152*(L8-(AC$151*52))/12))</f>
        <v>0</v>
      </c>
      <c r="AD158" s="18">
        <f>IF(AD151=0,AD152*(L8/12),(AD152*(L8-(AD$151*52))/12))</f>
        <v>0</v>
      </c>
      <c r="AE158" s="18">
        <f>IF(AE151=0,AE152*(L8/12),(AE152*(L8-(AE$151*52))/12))</f>
        <v>0</v>
      </c>
      <c r="AF158" s="18">
        <f>IF(AF151=0,AF152*(L8/12),(AF152*(L8-(AF$151*52))/12))</f>
        <v>0</v>
      </c>
      <c r="AG158" s="18">
        <f>IF(AG151=0,AG152*(L8/12),(AG152*(L8-(AG$151*52))/12))</f>
        <v>0</v>
      </c>
      <c r="AH158" s="18">
        <f>IF(AH151=0,AH152*(L8/12),(AH152*(L8-(AH$151*52))/12))</f>
        <v>0</v>
      </c>
      <c r="AI158" s="18">
        <f>IF(AI151=0,AI152*(L8/12),(AI152*(L8-(AI$151*52))/12))</f>
        <v>0</v>
      </c>
      <c r="AJ158" s="18">
        <f>IF(AJ151=0,AJ152*(L8/12),(AJ152*(L8-(AJ$151*52))/12))</f>
        <v>0</v>
      </c>
      <c r="AK158" s="18">
        <f t="shared" ref="AK158:AU158" si="60">IF(AK151=0,AK152*(L8/12),(AK152*(L8-(AK$151*52))/12))</f>
        <v>0</v>
      </c>
      <c r="AL158" s="18">
        <f t="shared" si="60"/>
        <v>0</v>
      </c>
      <c r="AM158" s="18">
        <f t="shared" si="60"/>
        <v>0</v>
      </c>
      <c r="AN158" s="18">
        <f t="shared" si="60"/>
        <v>0</v>
      </c>
      <c r="AO158" s="18">
        <f t="shared" si="60"/>
        <v>0</v>
      </c>
      <c r="AP158" s="18">
        <f t="shared" si="60"/>
        <v>0</v>
      </c>
      <c r="AQ158" s="18">
        <f t="shared" si="60"/>
        <v>0</v>
      </c>
      <c r="AR158" s="18">
        <f t="shared" si="60"/>
        <v>0</v>
      </c>
      <c r="AS158" s="18">
        <f t="shared" si="60"/>
        <v>0</v>
      </c>
      <c r="AT158" s="18">
        <f t="shared" si="60"/>
        <v>0</v>
      </c>
      <c r="AU158" s="18">
        <f t="shared" si="60"/>
        <v>0</v>
      </c>
      <c r="AV158" s="18">
        <f>IF(AV153=0,0,AV152*(L8/12))</f>
        <v>0</v>
      </c>
    </row>
    <row r="159" spans="1:48">
      <c r="A159" s="18"/>
      <c r="B159" s="18" t="s">
        <v>221</v>
      </c>
      <c r="C159" s="151"/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</row>
    <row r="160" spans="1:48">
      <c r="A160" s="18"/>
      <c r="B160" s="18" t="s">
        <v>222</v>
      </c>
      <c r="C160" s="151"/>
      <c r="D160" s="66">
        <f t="shared" ref="D160:AU160" si="61">SUM(D158:D159)</f>
        <v>0</v>
      </c>
      <c r="E160" s="66">
        <f t="shared" si="61"/>
        <v>0</v>
      </c>
      <c r="F160" s="66">
        <f t="shared" si="61"/>
        <v>0</v>
      </c>
      <c r="G160" s="66">
        <f t="shared" si="61"/>
        <v>0</v>
      </c>
      <c r="H160" s="66">
        <f t="shared" si="61"/>
        <v>0</v>
      </c>
      <c r="I160" s="66">
        <f t="shared" si="61"/>
        <v>0</v>
      </c>
      <c r="J160" s="66">
        <f t="shared" si="61"/>
        <v>0</v>
      </c>
      <c r="K160" s="66">
        <f t="shared" si="61"/>
        <v>0</v>
      </c>
      <c r="L160" s="66">
        <f t="shared" si="61"/>
        <v>0</v>
      </c>
      <c r="M160" s="66">
        <f t="shared" si="61"/>
        <v>0</v>
      </c>
      <c r="N160" s="66">
        <f t="shared" si="61"/>
        <v>0</v>
      </c>
      <c r="O160" s="66">
        <f t="shared" si="61"/>
        <v>0</v>
      </c>
      <c r="P160" s="66">
        <f t="shared" si="61"/>
        <v>0</v>
      </c>
      <c r="Q160" s="66">
        <f t="shared" si="61"/>
        <v>0</v>
      </c>
      <c r="R160" s="66">
        <f t="shared" si="61"/>
        <v>0</v>
      </c>
      <c r="S160" s="66">
        <f t="shared" si="61"/>
        <v>0</v>
      </c>
      <c r="T160" s="66">
        <f t="shared" si="61"/>
        <v>0</v>
      </c>
      <c r="U160" s="66">
        <f t="shared" si="61"/>
        <v>0</v>
      </c>
      <c r="V160" s="66">
        <f t="shared" si="61"/>
        <v>0</v>
      </c>
      <c r="W160" s="66">
        <f t="shared" si="61"/>
        <v>0</v>
      </c>
      <c r="X160" s="66">
        <f t="shared" si="61"/>
        <v>0</v>
      </c>
      <c r="Y160" s="66">
        <f t="shared" si="61"/>
        <v>0</v>
      </c>
      <c r="Z160" s="66">
        <f t="shared" si="61"/>
        <v>0</v>
      </c>
      <c r="AA160" s="66">
        <f t="shared" si="61"/>
        <v>0</v>
      </c>
      <c r="AB160" s="66">
        <f t="shared" si="61"/>
        <v>0</v>
      </c>
      <c r="AC160" s="66">
        <f t="shared" si="61"/>
        <v>0</v>
      </c>
      <c r="AD160" s="66">
        <f t="shared" si="61"/>
        <v>0</v>
      </c>
      <c r="AE160" s="66">
        <f t="shared" si="61"/>
        <v>0</v>
      </c>
      <c r="AF160" s="66">
        <f t="shared" si="61"/>
        <v>0</v>
      </c>
      <c r="AG160" s="66">
        <f t="shared" si="61"/>
        <v>0</v>
      </c>
      <c r="AH160" s="66">
        <f t="shared" si="61"/>
        <v>0</v>
      </c>
      <c r="AI160" s="66">
        <f t="shared" si="61"/>
        <v>0</v>
      </c>
      <c r="AJ160" s="66">
        <f t="shared" si="61"/>
        <v>0</v>
      </c>
      <c r="AK160" s="66">
        <f t="shared" si="61"/>
        <v>0</v>
      </c>
      <c r="AL160" s="66">
        <f t="shared" si="61"/>
        <v>0</v>
      </c>
      <c r="AM160" s="66">
        <f t="shared" si="61"/>
        <v>0</v>
      </c>
      <c r="AN160" s="66">
        <f t="shared" si="61"/>
        <v>0</v>
      </c>
      <c r="AO160" s="66">
        <f t="shared" si="61"/>
        <v>0</v>
      </c>
      <c r="AP160" s="66">
        <f t="shared" si="61"/>
        <v>0</v>
      </c>
      <c r="AQ160" s="66">
        <f t="shared" si="61"/>
        <v>0</v>
      </c>
      <c r="AR160" s="66">
        <f t="shared" si="61"/>
        <v>0</v>
      </c>
      <c r="AS160" s="66">
        <f t="shared" si="61"/>
        <v>0</v>
      </c>
      <c r="AT160" s="66">
        <f t="shared" si="61"/>
        <v>0</v>
      </c>
      <c r="AU160" s="66">
        <f t="shared" si="61"/>
        <v>0</v>
      </c>
    </row>
    <row r="161" spans="1:48">
      <c r="A161" s="18"/>
      <c r="B161" s="18" t="s">
        <v>223</v>
      </c>
      <c r="C161" s="151"/>
      <c r="D161" s="66">
        <f t="shared" ref="D161:AU161" si="62">D157+D160</f>
        <v>0</v>
      </c>
      <c r="E161" s="66">
        <f t="shared" si="62"/>
        <v>0</v>
      </c>
      <c r="F161" s="66">
        <f t="shared" si="62"/>
        <v>0</v>
      </c>
      <c r="G161" s="66">
        <f t="shared" si="62"/>
        <v>0</v>
      </c>
      <c r="H161" s="66">
        <f t="shared" si="62"/>
        <v>0</v>
      </c>
      <c r="I161" s="66">
        <f t="shared" si="62"/>
        <v>0</v>
      </c>
      <c r="J161" s="66">
        <f t="shared" si="62"/>
        <v>0</v>
      </c>
      <c r="K161" s="66">
        <f t="shared" si="62"/>
        <v>0</v>
      </c>
      <c r="L161" s="66">
        <f t="shared" si="62"/>
        <v>0</v>
      </c>
      <c r="M161" s="66">
        <f t="shared" si="62"/>
        <v>0</v>
      </c>
      <c r="N161" s="66">
        <f t="shared" si="62"/>
        <v>0</v>
      </c>
      <c r="O161" s="66">
        <f t="shared" si="62"/>
        <v>0</v>
      </c>
      <c r="P161" s="66">
        <f t="shared" si="62"/>
        <v>0</v>
      </c>
      <c r="Q161" s="66">
        <f t="shared" si="62"/>
        <v>0</v>
      </c>
      <c r="R161" s="66">
        <f t="shared" si="62"/>
        <v>0</v>
      </c>
      <c r="S161" s="66">
        <f t="shared" si="62"/>
        <v>0</v>
      </c>
      <c r="T161" s="66">
        <f t="shared" si="62"/>
        <v>0</v>
      </c>
      <c r="U161" s="66">
        <f t="shared" si="62"/>
        <v>0</v>
      </c>
      <c r="V161" s="66">
        <f t="shared" si="62"/>
        <v>0</v>
      </c>
      <c r="W161" s="66">
        <f t="shared" si="62"/>
        <v>0</v>
      </c>
      <c r="X161" s="66">
        <f t="shared" si="62"/>
        <v>0</v>
      </c>
      <c r="Y161" s="66">
        <f t="shared" si="62"/>
        <v>0</v>
      </c>
      <c r="Z161" s="66">
        <f t="shared" si="62"/>
        <v>0</v>
      </c>
      <c r="AA161" s="66">
        <f t="shared" si="62"/>
        <v>0</v>
      </c>
      <c r="AB161" s="66">
        <f t="shared" si="62"/>
        <v>0</v>
      </c>
      <c r="AC161" s="66">
        <f t="shared" si="62"/>
        <v>0</v>
      </c>
      <c r="AD161" s="66">
        <f t="shared" si="62"/>
        <v>0</v>
      </c>
      <c r="AE161" s="66">
        <f t="shared" si="62"/>
        <v>0</v>
      </c>
      <c r="AF161" s="66">
        <f t="shared" si="62"/>
        <v>0</v>
      </c>
      <c r="AG161" s="66">
        <f t="shared" si="62"/>
        <v>0</v>
      </c>
      <c r="AH161" s="66">
        <f t="shared" si="62"/>
        <v>0</v>
      </c>
      <c r="AI161" s="66">
        <f t="shared" si="62"/>
        <v>0</v>
      </c>
      <c r="AJ161" s="66">
        <f t="shared" si="62"/>
        <v>0</v>
      </c>
      <c r="AK161" s="66">
        <f t="shared" si="62"/>
        <v>0</v>
      </c>
      <c r="AL161" s="66">
        <f t="shared" si="62"/>
        <v>0</v>
      </c>
      <c r="AM161" s="66">
        <f t="shared" si="62"/>
        <v>0</v>
      </c>
      <c r="AN161" s="66">
        <f t="shared" si="62"/>
        <v>0</v>
      </c>
      <c r="AO161" s="66">
        <f t="shared" si="62"/>
        <v>0</v>
      </c>
      <c r="AP161" s="66">
        <f t="shared" si="62"/>
        <v>0</v>
      </c>
      <c r="AQ161" s="66">
        <f t="shared" si="62"/>
        <v>0</v>
      </c>
      <c r="AR161" s="66">
        <f t="shared" si="62"/>
        <v>0</v>
      </c>
      <c r="AS161" s="66">
        <f t="shared" si="62"/>
        <v>0</v>
      </c>
      <c r="AT161" s="66">
        <f t="shared" si="62"/>
        <v>0</v>
      </c>
      <c r="AU161" s="66">
        <f t="shared" si="62"/>
        <v>0</v>
      </c>
    </row>
    <row r="162" spans="1:48">
      <c r="A162" s="18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</row>
    <row r="163" spans="1:48">
      <c r="A163" s="18"/>
      <c r="B163" s="151" t="s">
        <v>224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</row>
    <row r="164" spans="1:48">
      <c r="A164" s="18"/>
      <c r="B164" s="151" t="s">
        <v>225</v>
      </c>
      <c r="C164" s="222"/>
      <c r="D164" s="222">
        <v>0</v>
      </c>
      <c r="E164" s="222">
        <f>D164</f>
        <v>0</v>
      </c>
      <c r="F164" s="222">
        <f t="shared" ref="F164:U167" si="63">E164</f>
        <v>0</v>
      </c>
      <c r="G164" s="222">
        <f t="shared" si="63"/>
        <v>0</v>
      </c>
      <c r="H164" s="222">
        <f t="shared" si="63"/>
        <v>0</v>
      </c>
      <c r="I164" s="222">
        <f t="shared" si="63"/>
        <v>0</v>
      </c>
      <c r="J164" s="222">
        <f t="shared" si="63"/>
        <v>0</v>
      </c>
      <c r="K164" s="222">
        <f t="shared" si="63"/>
        <v>0</v>
      </c>
      <c r="L164" s="222">
        <f t="shared" si="63"/>
        <v>0</v>
      </c>
      <c r="M164" s="222">
        <f t="shared" si="63"/>
        <v>0</v>
      </c>
      <c r="N164" s="222">
        <f t="shared" si="63"/>
        <v>0</v>
      </c>
      <c r="O164" s="222">
        <f t="shared" si="63"/>
        <v>0</v>
      </c>
      <c r="P164" s="222">
        <f t="shared" si="63"/>
        <v>0</v>
      </c>
      <c r="Q164" s="222">
        <f t="shared" si="63"/>
        <v>0</v>
      </c>
      <c r="R164" s="222">
        <f t="shared" si="63"/>
        <v>0</v>
      </c>
      <c r="S164" s="222">
        <f t="shared" si="63"/>
        <v>0</v>
      </c>
      <c r="T164" s="222">
        <f t="shared" si="63"/>
        <v>0</v>
      </c>
      <c r="U164" s="222">
        <f t="shared" si="63"/>
        <v>0</v>
      </c>
      <c r="V164" s="222">
        <f t="shared" ref="V164:AK167" si="64">U164</f>
        <v>0</v>
      </c>
      <c r="W164" s="222">
        <f t="shared" si="64"/>
        <v>0</v>
      </c>
      <c r="X164" s="222">
        <f t="shared" si="64"/>
        <v>0</v>
      </c>
      <c r="Y164" s="222">
        <f t="shared" si="64"/>
        <v>0</v>
      </c>
      <c r="Z164" s="222">
        <f t="shared" si="64"/>
        <v>0</v>
      </c>
      <c r="AA164" s="222">
        <f t="shared" si="64"/>
        <v>0</v>
      </c>
      <c r="AB164" s="222">
        <f t="shared" si="64"/>
        <v>0</v>
      </c>
      <c r="AC164" s="222">
        <f t="shared" si="64"/>
        <v>0</v>
      </c>
      <c r="AD164" s="222">
        <f t="shared" si="64"/>
        <v>0</v>
      </c>
      <c r="AE164" s="222">
        <f t="shared" si="64"/>
        <v>0</v>
      </c>
      <c r="AF164" s="222">
        <f t="shared" si="64"/>
        <v>0</v>
      </c>
      <c r="AG164" s="222">
        <f t="shared" si="64"/>
        <v>0</v>
      </c>
      <c r="AH164" s="222">
        <f t="shared" si="64"/>
        <v>0</v>
      </c>
      <c r="AI164" s="222">
        <f t="shared" si="64"/>
        <v>0</v>
      </c>
      <c r="AJ164" s="222">
        <f t="shared" si="64"/>
        <v>0</v>
      </c>
      <c r="AK164" s="222">
        <f t="shared" si="64"/>
        <v>0</v>
      </c>
      <c r="AL164" s="222">
        <f t="shared" ref="AK164:AU167" si="65">AK164</f>
        <v>0</v>
      </c>
      <c r="AM164" s="222">
        <f t="shared" si="65"/>
        <v>0</v>
      </c>
      <c r="AN164" s="222">
        <f t="shared" si="65"/>
        <v>0</v>
      </c>
      <c r="AO164" s="222">
        <f t="shared" si="65"/>
        <v>0</v>
      </c>
      <c r="AP164" s="222">
        <f t="shared" si="65"/>
        <v>0</v>
      </c>
      <c r="AQ164" s="222">
        <f t="shared" si="65"/>
        <v>0</v>
      </c>
      <c r="AR164" s="222">
        <f t="shared" si="65"/>
        <v>0</v>
      </c>
      <c r="AS164" s="222">
        <f t="shared" si="65"/>
        <v>0</v>
      </c>
      <c r="AT164" s="222">
        <f t="shared" si="65"/>
        <v>0</v>
      </c>
      <c r="AU164" s="222">
        <f t="shared" si="65"/>
        <v>0</v>
      </c>
    </row>
    <row r="165" spans="1:48">
      <c r="A165" s="18"/>
      <c r="B165" s="151" t="s">
        <v>226</v>
      </c>
      <c r="C165" s="222"/>
      <c r="D165" s="222">
        <v>0</v>
      </c>
      <c r="E165" s="222">
        <f>D165</f>
        <v>0</v>
      </c>
      <c r="F165" s="222">
        <f t="shared" si="63"/>
        <v>0</v>
      </c>
      <c r="G165" s="222">
        <f t="shared" si="63"/>
        <v>0</v>
      </c>
      <c r="H165" s="222">
        <f t="shared" si="63"/>
        <v>0</v>
      </c>
      <c r="I165" s="222">
        <f t="shared" si="63"/>
        <v>0</v>
      </c>
      <c r="J165" s="222">
        <f t="shared" si="63"/>
        <v>0</v>
      </c>
      <c r="K165" s="222">
        <f t="shared" si="63"/>
        <v>0</v>
      </c>
      <c r="L165" s="222">
        <f t="shared" si="63"/>
        <v>0</v>
      </c>
      <c r="M165" s="222">
        <f t="shared" si="63"/>
        <v>0</v>
      </c>
      <c r="N165" s="222">
        <f t="shared" si="63"/>
        <v>0</v>
      </c>
      <c r="O165" s="222">
        <f t="shared" si="63"/>
        <v>0</v>
      </c>
      <c r="P165" s="222">
        <f t="shared" si="63"/>
        <v>0</v>
      </c>
      <c r="Q165" s="222">
        <f t="shared" si="63"/>
        <v>0</v>
      </c>
      <c r="R165" s="222">
        <f t="shared" si="63"/>
        <v>0</v>
      </c>
      <c r="S165" s="222">
        <f t="shared" si="63"/>
        <v>0</v>
      </c>
      <c r="T165" s="222">
        <f t="shared" si="63"/>
        <v>0</v>
      </c>
      <c r="U165" s="222">
        <f t="shared" si="63"/>
        <v>0</v>
      </c>
      <c r="V165" s="222">
        <f t="shared" si="64"/>
        <v>0</v>
      </c>
      <c r="W165" s="222">
        <f t="shared" si="64"/>
        <v>0</v>
      </c>
      <c r="X165" s="222">
        <f t="shared" si="64"/>
        <v>0</v>
      </c>
      <c r="Y165" s="222">
        <f t="shared" si="64"/>
        <v>0</v>
      </c>
      <c r="Z165" s="222">
        <f t="shared" si="64"/>
        <v>0</v>
      </c>
      <c r="AA165" s="222">
        <f t="shared" si="64"/>
        <v>0</v>
      </c>
      <c r="AB165" s="222">
        <f t="shared" si="64"/>
        <v>0</v>
      </c>
      <c r="AC165" s="222">
        <f t="shared" si="64"/>
        <v>0</v>
      </c>
      <c r="AD165" s="222">
        <f t="shared" si="64"/>
        <v>0</v>
      </c>
      <c r="AE165" s="222">
        <f t="shared" si="64"/>
        <v>0</v>
      </c>
      <c r="AF165" s="222">
        <f t="shared" si="64"/>
        <v>0</v>
      </c>
      <c r="AG165" s="222">
        <f t="shared" si="64"/>
        <v>0</v>
      </c>
      <c r="AH165" s="222">
        <f t="shared" si="64"/>
        <v>0</v>
      </c>
      <c r="AI165" s="222">
        <f t="shared" si="64"/>
        <v>0</v>
      </c>
      <c r="AJ165" s="222">
        <f t="shared" si="64"/>
        <v>0</v>
      </c>
      <c r="AK165" s="222">
        <f t="shared" si="65"/>
        <v>0</v>
      </c>
      <c r="AL165" s="222">
        <f t="shared" si="65"/>
        <v>0</v>
      </c>
      <c r="AM165" s="222">
        <f t="shared" si="65"/>
        <v>0</v>
      </c>
      <c r="AN165" s="222">
        <f t="shared" si="65"/>
        <v>0</v>
      </c>
      <c r="AO165" s="222">
        <f t="shared" si="65"/>
        <v>0</v>
      </c>
      <c r="AP165" s="222">
        <f t="shared" si="65"/>
        <v>0</v>
      </c>
      <c r="AQ165" s="222">
        <f t="shared" si="65"/>
        <v>0</v>
      </c>
      <c r="AR165" s="222">
        <f t="shared" si="65"/>
        <v>0</v>
      </c>
      <c r="AS165" s="222">
        <f t="shared" si="65"/>
        <v>0</v>
      </c>
      <c r="AT165" s="222">
        <f t="shared" si="65"/>
        <v>0</v>
      </c>
      <c r="AU165" s="222">
        <f t="shared" si="65"/>
        <v>0</v>
      </c>
    </row>
    <row r="166" spans="1:48">
      <c r="A166" s="18"/>
      <c r="B166" s="151" t="s">
        <v>227</v>
      </c>
      <c r="C166" s="222"/>
      <c r="D166" s="222">
        <v>0</v>
      </c>
      <c r="E166" s="222">
        <f>D166</f>
        <v>0</v>
      </c>
      <c r="F166" s="222">
        <f t="shared" si="63"/>
        <v>0</v>
      </c>
      <c r="G166" s="222">
        <f t="shared" si="63"/>
        <v>0</v>
      </c>
      <c r="H166" s="222">
        <f t="shared" si="63"/>
        <v>0</v>
      </c>
      <c r="I166" s="222">
        <f t="shared" si="63"/>
        <v>0</v>
      </c>
      <c r="J166" s="222">
        <f t="shared" si="63"/>
        <v>0</v>
      </c>
      <c r="K166" s="222">
        <f t="shared" si="63"/>
        <v>0</v>
      </c>
      <c r="L166" s="222">
        <f t="shared" si="63"/>
        <v>0</v>
      </c>
      <c r="M166" s="222">
        <f t="shared" si="63"/>
        <v>0</v>
      </c>
      <c r="N166" s="222">
        <f t="shared" si="63"/>
        <v>0</v>
      </c>
      <c r="O166" s="222">
        <f t="shared" si="63"/>
        <v>0</v>
      </c>
      <c r="P166" s="222">
        <f t="shared" si="63"/>
        <v>0</v>
      </c>
      <c r="Q166" s="222">
        <f t="shared" si="63"/>
        <v>0</v>
      </c>
      <c r="R166" s="222">
        <f t="shared" si="63"/>
        <v>0</v>
      </c>
      <c r="S166" s="222">
        <f t="shared" si="63"/>
        <v>0</v>
      </c>
      <c r="T166" s="222">
        <f t="shared" si="63"/>
        <v>0</v>
      </c>
      <c r="U166" s="222">
        <f t="shared" si="63"/>
        <v>0</v>
      </c>
      <c r="V166" s="222">
        <f t="shared" si="64"/>
        <v>0</v>
      </c>
      <c r="W166" s="222">
        <f t="shared" si="64"/>
        <v>0</v>
      </c>
      <c r="X166" s="222">
        <f t="shared" si="64"/>
        <v>0</v>
      </c>
      <c r="Y166" s="222">
        <f t="shared" si="64"/>
        <v>0</v>
      </c>
      <c r="Z166" s="222">
        <f t="shared" si="64"/>
        <v>0</v>
      </c>
      <c r="AA166" s="222">
        <f t="shared" si="64"/>
        <v>0</v>
      </c>
      <c r="AB166" s="222">
        <f t="shared" si="64"/>
        <v>0</v>
      </c>
      <c r="AC166" s="222">
        <f t="shared" si="64"/>
        <v>0</v>
      </c>
      <c r="AD166" s="222">
        <f t="shared" si="64"/>
        <v>0</v>
      </c>
      <c r="AE166" s="222">
        <f t="shared" si="64"/>
        <v>0</v>
      </c>
      <c r="AF166" s="222">
        <f t="shared" si="64"/>
        <v>0</v>
      </c>
      <c r="AG166" s="222">
        <f t="shared" si="64"/>
        <v>0</v>
      </c>
      <c r="AH166" s="222">
        <f t="shared" si="64"/>
        <v>0</v>
      </c>
      <c r="AI166" s="222">
        <f t="shared" si="64"/>
        <v>0</v>
      </c>
      <c r="AJ166" s="222">
        <f t="shared" si="64"/>
        <v>0</v>
      </c>
      <c r="AK166" s="222">
        <f t="shared" si="65"/>
        <v>0</v>
      </c>
      <c r="AL166" s="222">
        <f t="shared" si="65"/>
        <v>0</v>
      </c>
      <c r="AM166" s="222">
        <f t="shared" si="65"/>
        <v>0</v>
      </c>
      <c r="AN166" s="222">
        <f t="shared" si="65"/>
        <v>0</v>
      </c>
      <c r="AO166" s="222">
        <f t="shared" si="65"/>
        <v>0</v>
      </c>
      <c r="AP166" s="222">
        <f t="shared" si="65"/>
        <v>0</v>
      </c>
      <c r="AQ166" s="222">
        <f t="shared" si="65"/>
        <v>0</v>
      </c>
      <c r="AR166" s="222">
        <f t="shared" si="65"/>
        <v>0</v>
      </c>
      <c r="AS166" s="222">
        <f t="shared" si="65"/>
        <v>0</v>
      </c>
      <c r="AT166" s="222">
        <f t="shared" si="65"/>
        <v>0</v>
      </c>
      <c r="AU166" s="222">
        <f t="shared" si="65"/>
        <v>0</v>
      </c>
    </row>
    <row r="167" spans="1:48">
      <c r="A167" s="18"/>
      <c r="B167" s="151" t="s">
        <v>228</v>
      </c>
      <c r="C167" s="222"/>
      <c r="D167" s="222">
        <v>0</v>
      </c>
      <c r="E167" s="222">
        <f>D167</f>
        <v>0</v>
      </c>
      <c r="F167" s="222">
        <f t="shared" si="63"/>
        <v>0</v>
      </c>
      <c r="G167" s="222">
        <f t="shared" si="63"/>
        <v>0</v>
      </c>
      <c r="H167" s="222">
        <f t="shared" si="63"/>
        <v>0</v>
      </c>
      <c r="I167" s="222">
        <f t="shared" si="63"/>
        <v>0</v>
      </c>
      <c r="J167" s="222">
        <f t="shared" si="63"/>
        <v>0</v>
      </c>
      <c r="K167" s="222">
        <f t="shared" si="63"/>
        <v>0</v>
      </c>
      <c r="L167" s="222">
        <f t="shared" si="63"/>
        <v>0</v>
      </c>
      <c r="M167" s="222">
        <f t="shared" si="63"/>
        <v>0</v>
      </c>
      <c r="N167" s="222">
        <f t="shared" si="63"/>
        <v>0</v>
      </c>
      <c r="O167" s="222">
        <f t="shared" si="63"/>
        <v>0</v>
      </c>
      <c r="P167" s="222">
        <f t="shared" si="63"/>
        <v>0</v>
      </c>
      <c r="Q167" s="222">
        <f t="shared" si="63"/>
        <v>0</v>
      </c>
      <c r="R167" s="222">
        <f t="shared" si="63"/>
        <v>0</v>
      </c>
      <c r="S167" s="222">
        <f t="shared" si="63"/>
        <v>0</v>
      </c>
      <c r="T167" s="222">
        <f t="shared" si="63"/>
        <v>0</v>
      </c>
      <c r="U167" s="222">
        <f t="shared" si="63"/>
        <v>0</v>
      </c>
      <c r="V167" s="222">
        <f t="shared" si="64"/>
        <v>0</v>
      </c>
      <c r="W167" s="222">
        <f t="shared" si="64"/>
        <v>0</v>
      </c>
      <c r="X167" s="222">
        <f t="shared" si="64"/>
        <v>0</v>
      </c>
      <c r="Y167" s="222">
        <f t="shared" si="64"/>
        <v>0</v>
      </c>
      <c r="Z167" s="222">
        <f t="shared" si="64"/>
        <v>0</v>
      </c>
      <c r="AA167" s="222">
        <f t="shared" si="64"/>
        <v>0</v>
      </c>
      <c r="AB167" s="222">
        <f t="shared" si="64"/>
        <v>0</v>
      </c>
      <c r="AC167" s="222">
        <f t="shared" si="64"/>
        <v>0</v>
      </c>
      <c r="AD167" s="222">
        <f t="shared" si="64"/>
        <v>0</v>
      </c>
      <c r="AE167" s="222">
        <f t="shared" si="64"/>
        <v>0</v>
      </c>
      <c r="AF167" s="222">
        <f t="shared" si="64"/>
        <v>0</v>
      </c>
      <c r="AG167" s="222">
        <f t="shared" si="64"/>
        <v>0</v>
      </c>
      <c r="AH167" s="222">
        <f t="shared" si="64"/>
        <v>0</v>
      </c>
      <c r="AI167" s="222">
        <f t="shared" si="64"/>
        <v>0</v>
      </c>
      <c r="AJ167" s="222">
        <f t="shared" si="64"/>
        <v>0</v>
      </c>
      <c r="AK167" s="222">
        <f t="shared" si="65"/>
        <v>0</v>
      </c>
      <c r="AL167" s="222">
        <f t="shared" si="65"/>
        <v>0</v>
      </c>
      <c r="AM167" s="222">
        <f t="shared" si="65"/>
        <v>0</v>
      </c>
      <c r="AN167" s="222">
        <f t="shared" si="65"/>
        <v>0</v>
      </c>
      <c r="AO167" s="222">
        <f t="shared" si="65"/>
        <v>0</v>
      </c>
      <c r="AP167" s="222">
        <f t="shared" si="65"/>
        <v>0</v>
      </c>
      <c r="AQ167" s="222">
        <f t="shared" si="65"/>
        <v>0</v>
      </c>
      <c r="AR167" s="222">
        <f t="shared" si="65"/>
        <v>0</v>
      </c>
      <c r="AS167" s="222">
        <f t="shared" si="65"/>
        <v>0</v>
      </c>
      <c r="AT167" s="222">
        <f t="shared" si="65"/>
        <v>0</v>
      </c>
      <c r="AU167" s="222">
        <f t="shared" si="65"/>
        <v>0</v>
      </c>
    </row>
    <row r="168" spans="1:48">
      <c r="A168" s="18"/>
      <c r="B168" s="151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</row>
    <row r="169" spans="1:48">
      <c r="A169" s="18"/>
      <c r="B169" s="151" t="s">
        <v>229</v>
      </c>
      <c r="C169" s="151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</row>
    <row r="170" spans="1:48">
      <c r="A170" s="18"/>
      <c r="B170" s="151" t="s">
        <v>230</v>
      </c>
      <c r="C170" s="151"/>
      <c r="D170" s="222">
        <f t="shared" ref="D170:AU170" si="66">IF(D157&gt;D164,D164,D157)</f>
        <v>0</v>
      </c>
      <c r="E170" s="222">
        <f t="shared" si="66"/>
        <v>0</v>
      </c>
      <c r="F170" s="222">
        <f t="shared" si="66"/>
        <v>0</v>
      </c>
      <c r="G170" s="222">
        <f t="shared" si="66"/>
        <v>0</v>
      </c>
      <c r="H170" s="222">
        <f t="shared" si="66"/>
        <v>0</v>
      </c>
      <c r="I170" s="222">
        <f t="shared" si="66"/>
        <v>0</v>
      </c>
      <c r="J170" s="222">
        <f t="shared" si="66"/>
        <v>0</v>
      </c>
      <c r="K170" s="222">
        <f t="shared" si="66"/>
        <v>0</v>
      </c>
      <c r="L170" s="222">
        <f t="shared" si="66"/>
        <v>0</v>
      </c>
      <c r="M170" s="222">
        <f t="shared" si="66"/>
        <v>0</v>
      </c>
      <c r="N170" s="222">
        <f t="shared" si="66"/>
        <v>0</v>
      </c>
      <c r="O170" s="222">
        <f t="shared" si="66"/>
        <v>0</v>
      </c>
      <c r="P170" s="222">
        <f t="shared" si="66"/>
        <v>0</v>
      </c>
      <c r="Q170" s="222">
        <f t="shared" si="66"/>
        <v>0</v>
      </c>
      <c r="R170" s="222">
        <f t="shared" si="66"/>
        <v>0</v>
      </c>
      <c r="S170" s="222">
        <f t="shared" si="66"/>
        <v>0</v>
      </c>
      <c r="T170" s="222">
        <f t="shared" si="66"/>
        <v>0</v>
      </c>
      <c r="U170" s="222">
        <f t="shared" si="66"/>
        <v>0</v>
      </c>
      <c r="V170" s="222">
        <f t="shared" si="66"/>
        <v>0</v>
      </c>
      <c r="W170" s="222">
        <f t="shared" si="66"/>
        <v>0</v>
      </c>
      <c r="X170" s="222">
        <f t="shared" si="66"/>
        <v>0</v>
      </c>
      <c r="Y170" s="222">
        <f t="shared" si="66"/>
        <v>0</v>
      </c>
      <c r="Z170" s="222">
        <f t="shared" si="66"/>
        <v>0</v>
      </c>
      <c r="AA170" s="222">
        <f t="shared" si="66"/>
        <v>0</v>
      </c>
      <c r="AB170" s="222">
        <f t="shared" si="66"/>
        <v>0</v>
      </c>
      <c r="AC170" s="222">
        <f t="shared" si="66"/>
        <v>0</v>
      </c>
      <c r="AD170" s="222">
        <f t="shared" si="66"/>
        <v>0</v>
      </c>
      <c r="AE170" s="222">
        <f t="shared" si="66"/>
        <v>0</v>
      </c>
      <c r="AF170" s="222">
        <f t="shared" si="66"/>
        <v>0</v>
      </c>
      <c r="AG170" s="222">
        <f t="shared" si="66"/>
        <v>0</v>
      </c>
      <c r="AH170" s="222">
        <f t="shared" si="66"/>
        <v>0</v>
      </c>
      <c r="AI170" s="222">
        <f t="shared" si="66"/>
        <v>0</v>
      </c>
      <c r="AJ170" s="222">
        <f t="shared" si="66"/>
        <v>0</v>
      </c>
      <c r="AK170" s="222">
        <f t="shared" si="66"/>
        <v>0</v>
      </c>
      <c r="AL170" s="222">
        <f t="shared" si="66"/>
        <v>0</v>
      </c>
      <c r="AM170" s="222">
        <f t="shared" si="66"/>
        <v>0</v>
      </c>
      <c r="AN170" s="222">
        <f t="shared" si="66"/>
        <v>0</v>
      </c>
      <c r="AO170" s="222">
        <f t="shared" si="66"/>
        <v>0</v>
      </c>
      <c r="AP170" s="222">
        <f t="shared" si="66"/>
        <v>0</v>
      </c>
      <c r="AQ170" s="222">
        <f t="shared" si="66"/>
        <v>0</v>
      </c>
      <c r="AR170" s="222">
        <f t="shared" si="66"/>
        <v>0</v>
      </c>
      <c r="AS170" s="222">
        <f t="shared" si="66"/>
        <v>0</v>
      </c>
      <c r="AT170" s="222">
        <f t="shared" si="66"/>
        <v>0</v>
      </c>
      <c r="AU170" s="222">
        <f t="shared" si="66"/>
        <v>0</v>
      </c>
    </row>
    <row r="171" spans="1:48">
      <c r="A171" s="18"/>
      <c r="B171" s="151" t="s">
        <v>231</v>
      </c>
      <c r="C171" s="151"/>
      <c r="D171" s="222">
        <f>IF(D$157&lt;D164,0,IF(D$157&gt;D164+D165,D165,D$157-D164))</f>
        <v>0</v>
      </c>
      <c r="E171" s="222">
        <f t="shared" ref="E171:AU171" si="67">IF(E$157&lt;E164,0,IF(E$157&gt;E164+E165,E165,E$157-E164))</f>
        <v>0</v>
      </c>
      <c r="F171" s="222">
        <f t="shared" si="67"/>
        <v>0</v>
      </c>
      <c r="G171" s="222">
        <f t="shared" si="67"/>
        <v>0</v>
      </c>
      <c r="H171" s="222">
        <f t="shared" si="67"/>
        <v>0</v>
      </c>
      <c r="I171" s="222">
        <f t="shared" si="67"/>
        <v>0</v>
      </c>
      <c r="J171" s="222">
        <f t="shared" si="67"/>
        <v>0</v>
      </c>
      <c r="K171" s="222">
        <f t="shared" si="67"/>
        <v>0</v>
      </c>
      <c r="L171" s="222">
        <f t="shared" si="67"/>
        <v>0</v>
      </c>
      <c r="M171" s="222">
        <f t="shared" si="67"/>
        <v>0</v>
      </c>
      <c r="N171" s="222">
        <f t="shared" si="67"/>
        <v>0</v>
      </c>
      <c r="O171" s="222">
        <f t="shared" si="67"/>
        <v>0</v>
      </c>
      <c r="P171" s="222">
        <f t="shared" si="67"/>
        <v>0</v>
      </c>
      <c r="Q171" s="222">
        <f t="shared" si="67"/>
        <v>0</v>
      </c>
      <c r="R171" s="222">
        <f t="shared" si="67"/>
        <v>0</v>
      </c>
      <c r="S171" s="222">
        <f t="shared" si="67"/>
        <v>0</v>
      </c>
      <c r="T171" s="222">
        <f t="shared" si="67"/>
        <v>0</v>
      </c>
      <c r="U171" s="222">
        <f t="shared" si="67"/>
        <v>0</v>
      </c>
      <c r="V171" s="222">
        <f t="shared" si="67"/>
        <v>0</v>
      </c>
      <c r="W171" s="222">
        <f t="shared" si="67"/>
        <v>0</v>
      </c>
      <c r="X171" s="222">
        <f t="shared" si="67"/>
        <v>0</v>
      </c>
      <c r="Y171" s="222">
        <f t="shared" si="67"/>
        <v>0</v>
      </c>
      <c r="Z171" s="222">
        <f t="shared" si="67"/>
        <v>0</v>
      </c>
      <c r="AA171" s="222">
        <f t="shared" si="67"/>
        <v>0</v>
      </c>
      <c r="AB171" s="222">
        <f t="shared" si="67"/>
        <v>0</v>
      </c>
      <c r="AC171" s="222">
        <f t="shared" si="67"/>
        <v>0</v>
      </c>
      <c r="AD171" s="222">
        <f t="shared" si="67"/>
        <v>0</v>
      </c>
      <c r="AE171" s="222">
        <f t="shared" si="67"/>
        <v>0</v>
      </c>
      <c r="AF171" s="222">
        <f t="shared" si="67"/>
        <v>0</v>
      </c>
      <c r="AG171" s="222">
        <f t="shared" si="67"/>
        <v>0</v>
      </c>
      <c r="AH171" s="222">
        <f t="shared" si="67"/>
        <v>0</v>
      </c>
      <c r="AI171" s="222">
        <f t="shared" si="67"/>
        <v>0</v>
      </c>
      <c r="AJ171" s="222">
        <f t="shared" si="67"/>
        <v>0</v>
      </c>
      <c r="AK171" s="222">
        <f t="shared" si="67"/>
        <v>0</v>
      </c>
      <c r="AL171" s="222">
        <f t="shared" si="67"/>
        <v>0</v>
      </c>
      <c r="AM171" s="222">
        <f t="shared" si="67"/>
        <v>0</v>
      </c>
      <c r="AN171" s="222">
        <f t="shared" si="67"/>
        <v>0</v>
      </c>
      <c r="AO171" s="222">
        <f t="shared" si="67"/>
        <v>0</v>
      </c>
      <c r="AP171" s="222">
        <f t="shared" si="67"/>
        <v>0</v>
      </c>
      <c r="AQ171" s="222">
        <f t="shared" si="67"/>
        <v>0</v>
      </c>
      <c r="AR171" s="222">
        <f t="shared" si="67"/>
        <v>0</v>
      </c>
      <c r="AS171" s="222">
        <f t="shared" si="67"/>
        <v>0</v>
      </c>
      <c r="AT171" s="222">
        <f t="shared" si="67"/>
        <v>0</v>
      </c>
      <c r="AU171" s="222">
        <f t="shared" si="67"/>
        <v>0</v>
      </c>
    </row>
    <row r="172" spans="1:48">
      <c r="A172" s="18"/>
      <c r="B172" s="151" t="s">
        <v>232</v>
      </c>
      <c r="C172" s="230"/>
      <c r="D172" s="222">
        <f>IF(D$157&lt;D164+D165,0,IF(D$157&gt;D164+D165+D166,D166,D$157-D164-D165))</f>
        <v>0</v>
      </c>
      <c r="E172" s="222">
        <f t="shared" ref="E172:AU172" si="68">IF(E$157&lt;E164+E165,0,IF(E$157&gt;E164+E165+E166,E166,E$157-E164-E165))</f>
        <v>0</v>
      </c>
      <c r="F172" s="222">
        <f t="shared" si="68"/>
        <v>0</v>
      </c>
      <c r="G172" s="222">
        <f t="shared" si="68"/>
        <v>0</v>
      </c>
      <c r="H172" s="222">
        <f t="shared" si="68"/>
        <v>0</v>
      </c>
      <c r="I172" s="222">
        <f t="shared" si="68"/>
        <v>0</v>
      </c>
      <c r="J172" s="222">
        <f t="shared" si="68"/>
        <v>0</v>
      </c>
      <c r="K172" s="222">
        <f t="shared" si="68"/>
        <v>0</v>
      </c>
      <c r="L172" s="222">
        <f t="shared" si="68"/>
        <v>0</v>
      </c>
      <c r="M172" s="222">
        <f t="shared" si="68"/>
        <v>0</v>
      </c>
      <c r="N172" s="222">
        <f t="shared" si="68"/>
        <v>0</v>
      </c>
      <c r="O172" s="222">
        <f t="shared" si="68"/>
        <v>0</v>
      </c>
      <c r="P172" s="222">
        <f t="shared" si="68"/>
        <v>0</v>
      </c>
      <c r="Q172" s="222">
        <f t="shared" si="68"/>
        <v>0</v>
      </c>
      <c r="R172" s="222">
        <f t="shared" si="68"/>
        <v>0</v>
      </c>
      <c r="S172" s="222">
        <f t="shared" si="68"/>
        <v>0</v>
      </c>
      <c r="T172" s="222">
        <f t="shared" si="68"/>
        <v>0</v>
      </c>
      <c r="U172" s="222">
        <f t="shared" si="68"/>
        <v>0</v>
      </c>
      <c r="V172" s="222">
        <f t="shared" si="68"/>
        <v>0</v>
      </c>
      <c r="W172" s="222">
        <f t="shared" si="68"/>
        <v>0</v>
      </c>
      <c r="X172" s="222">
        <f t="shared" si="68"/>
        <v>0</v>
      </c>
      <c r="Y172" s="222">
        <f t="shared" si="68"/>
        <v>0</v>
      </c>
      <c r="Z172" s="222">
        <f t="shared" si="68"/>
        <v>0</v>
      </c>
      <c r="AA172" s="222">
        <f t="shared" si="68"/>
        <v>0</v>
      </c>
      <c r="AB172" s="222">
        <f t="shared" si="68"/>
        <v>0</v>
      </c>
      <c r="AC172" s="222">
        <f t="shared" si="68"/>
        <v>0</v>
      </c>
      <c r="AD172" s="222">
        <f t="shared" si="68"/>
        <v>0</v>
      </c>
      <c r="AE172" s="222">
        <f t="shared" si="68"/>
        <v>0</v>
      </c>
      <c r="AF172" s="222">
        <f t="shared" si="68"/>
        <v>0</v>
      </c>
      <c r="AG172" s="222">
        <f t="shared" si="68"/>
        <v>0</v>
      </c>
      <c r="AH172" s="222">
        <f t="shared" si="68"/>
        <v>0</v>
      </c>
      <c r="AI172" s="222">
        <f t="shared" si="68"/>
        <v>0</v>
      </c>
      <c r="AJ172" s="222">
        <f t="shared" si="68"/>
        <v>0</v>
      </c>
      <c r="AK172" s="222">
        <f t="shared" si="68"/>
        <v>0</v>
      </c>
      <c r="AL172" s="222">
        <f t="shared" si="68"/>
        <v>0</v>
      </c>
      <c r="AM172" s="222">
        <f t="shared" si="68"/>
        <v>0</v>
      </c>
      <c r="AN172" s="222">
        <f t="shared" si="68"/>
        <v>0</v>
      </c>
      <c r="AO172" s="222">
        <f t="shared" si="68"/>
        <v>0</v>
      </c>
      <c r="AP172" s="222">
        <f t="shared" si="68"/>
        <v>0</v>
      </c>
      <c r="AQ172" s="222">
        <f t="shared" si="68"/>
        <v>0</v>
      </c>
      <c r="AR172" s="222">
        <f t="shared" si="68"/>
        <v>0</v>
      </c>
      <c r="AS172" s="222">
        <f t="shared" si="68"/>
        <v>0</v>
      </c>
      <c r="AT172" s="222">
        <f t="shared" si="68"/>
        <v>0</v>
      </c>
      <c r="AU172" s="222">
        <f t="shared" si="68"/>
        <v>0</v>
      </c>
      <c r="AV172" s="222">
        <f>IF(AND(AV$158&lt;SUM(AV$164:AV165),AV159&gt;AV166),AV166,IF((AV166-AV158+AV164+AV165&lt;AV159),AV166-AV158+AV164+AV165,AV159))</f>
        <v>0</v>
      </c>
    </row>
    <row r="173" spans="1:48">
      <c r="A173" s="18"/>
      <c r="B173" s="151" t="s">
        <v>233</v>
      </c>
      <c r="C173" s="151"/>
      <c r="D173" s="222">
        <f>IF(D$157&lt;D164+D165+D166,0,D$157-D170-D171-D172)</f>
        <v>0</v>
      </c>
      <c r="E173" s="222">
        <f t="shared" ref="E173:AU173" si="69">IF(E$157&lt;E164+E165+E166,0,E$157-E170-E171-E172)</f>
        <v>0</v>
      </c>
      <c r="F173" s="222">
        <f t="shared" si="69"/>
        <v>0</v>
      </c>
      <c r="G173" s="222">
        <f t="shared" si="69"/>
        <v>0</v>
      </c>
      <c r="H173" s="222">
        <f t="shared" si="69"/>
        <v>0</v>
      </c>
      <c r="I173" s="222">
        <f t="shared" si="69"/>
        <v>0</v>
      </c>
      <c r="J173" s="222">
        <f t="shared" si="69"/>
        <v>0</v>
      </c>
      <c r="K173" s="222">
        <f t="shared" si="69"/>
        <v>0</v>
      </c>
      <c r="L173" s="222">
        <f t="shared" si="69"/>
        <v>0</v>
      </c>
      <c r="M173" s="222">
        <f t="shared" si="69"/>
        <v>0</v>
      </c>
      <c r="N173" s="222">
        <f t="shared" si="69"/>
        <v>0</v>
      </c>
      <c r="O173" s="222">
        <f t="shared" si="69"/>
        <v>0</v>
      </c>
      <c r="P173" s="222">
        <f t="shared" si="69"/>
        <v>0</v>
      </c>
      <c r="Q173" s="222">
        <f t="shared" si="69"/>
        <v>0</v>
      </c>
      <c r="R173" s="222">
        <f t="shared" si="69"/>
        <v>0</v>
      </c>
      <c r="S173" s="222">
        <f t="shared" si="69"/>
        <v>0</v>
      </c>
      <c r="T173" s="222">
        <f t="shared" si="69"/>
        <v>0</v>
      </c>
      <c r="U173" s="222">
        <f t="shared" si="69"/>
        <v>0</v>
      </c>
      <c r="V173" s="222">
        <f t="shared" si="69"/>
        <v>0</v>
      </c>
      <c r="W173" s="222">
        <f t="shared" si="69"/>
        <v>0</v>
      </c>
      <c r="X173" s="222">
        <f t="shared" si="69"/>
        <v>0</v>
      </c>
      <c r="Y173" s="222">
        <f t="shared" si="69"/>
        <v>0</v>
      </c>
      <c r="Z173" s="222">
        <f t="shared" si="69"/>
        <v>0</v>
      </c>
      <c r="AA173" s="222">
        <f t="shared" si="69"/>
        <v>0</v>
      </c>
      <c r="AB173" s="222">
        <f t="shared" si="69"/>
        <v>0</v>
      </c>
      <c r="AC173" s="222">
        <f t="shared" si="69"/>
        <v>0</v>
      </c>
      <c r="AD173" s="222">
        <f t="shared" si="69"/>
        <v>0</v>
      </c>
      <c r="AE173" s="222">
        <f t="shared" si="69"/>
        <v>0</v>
      </c>
      <c r="AF173" s="222">
        <f t="shared" si="69"/>
        <v>0</v>
      </c>
      <c r="AG173" s="222">
        <f t="shared" si="69"/>
        <v>0</v>
      </c>
      <c r="AH173" s="222">
        <f t="shared" si="69"/>
        <v>0</v>
      </c>
      <c r="AI173" s="222">
        <f t="shared" si="69"/>
        <v>0</v>
      </c>
      <c r="AJ173" s="222">
        <f t="shared" si="69"/>
        <v>0</v>
      </c>
      <c r="AK173" s="222">
        <f t="shared" si="69"/>
        <v>0</v>
      </c>
      <c r="AL173" s="222">
        <f t="shared" si="69"/>
        <v>0</v>
      </c>
      <c r="AM173" s="222">
        <f t="shared" si="69"/>
        <v>0</v>
      </c>
      <c r="AN173" s="222">
        <f t="shared" si="69"/>
        <v>0</v>
      </c>
      <c r="AO173" s="222">
        <f t="shared" si="69"/>
        <v>0</v>
      </c>
      <c r="AP173" s="222">
        <f t="shared" si="69"/>
        <v>0</v>
      </c>
      <c r="AQ173" s="222">
        <f t="shared" si="69"/>
        <v>0</v>
      </c>
      <c r="AR173" s="222">
        <f t="shared" si="69"/>
        <v>0</v>
      </c>
      <c r="AS173" s="222">
        <f t="shared" si="69"/>
        <v>0</v>
      </c>
      <c r="AT173" s="222">
        <f t="shared" si="69"/>
        <v>0</v>
      </c>
      <c r="AU173" s="222">
        <f t="shared" si="69"/>
        <v>0</v>
      </c>
      <c r="AV173" s="222">
        <f>IF(AV$159-SUM(AV$170:AV172)&gt;0,IF(AV$158&gt;SUM(AV$164:AV167),0,AV$159-SUM(AV$170:AV172)),0)</f>
        <v>0</v>
      </c>
    </row>
    <row r="174" spans="1:48">
      <c r="A174" s="18"/>
      <c r="B174" s="151"/>
      <c r="C174" s="230"/>
      <c r="D174" s="231">
        <f t="shared" ref="D174:AU174" si="70">SUM(D170:D173)</f>
        <v>0</v>
      </c>
      <c r="E174" s="231">
        <f t="shared" si="70"/>
        <v>0</v>
      </c>
      <c r="F174" s="231">
        <f t="shared" si="70"/>
        <v>0</v>
      </c>
      <c r="G174" s="231">
        <f t="shared" si="70"/>
        <v>0</v>
      </c>
      <c r="H174" s="231">
        <f t="shared" si="70"/>
        <v>0</v>
      </c>
      <c r="I174" s="231">
        <f t="shared" si="70"/>
        <v>0</v>
      </c>
      <c r="J174" s="231">
        <f t="shared" si="70"/>
        <v>0</v>
      </c>
      <c r="K174" s="231">
        <f t="shared" si="70"/>
        <v>0</v>
      </c>
      <c r="L174" s="231">
        <f t="shared" si="70"/>
        <v>0</v>
      </c>
      <c r="M174" s="231">
        <f t="shared" si="70"/>
        <v>0</v>
      </c>
      <c r="N174" s="231">
        <f t="shared" si="70"/>
        <v>0</v>
      </c>
      <c r="O174" s="231">
        <f t="shared" si="70"/>
        <v>0</v>
      </c>
      <c r="P174" s="231">
        <f t="shared" si="70"/>
        <v>0</v>
      </c>
      <c r="Q174" s="231">
        <f t="shared" si="70"/>
        <v>0</v>
      </c>
      <c r="R174" s="231">
        <f t="shared" si="70"/>
        <v>0</v>
      </c>
      <c r="S174" s="231">
        <f t="shared" si="70"/>
        <v>0</v>
      </c>
      <c r="T174" s="231">
        <f t="shared" si="70"/>
        <v>0</v>
      </c>
      <c r="U174" s="231">
        <f t="shared" si="70"/>
        <v>0</v>
      </c>
      <c r="V174" s="231">
        <f t="shared" si="70"/>
        <v>0</v>
      </c>
      <c r="W174" s="231">
        <f t="shared" si="70"/>
        <v>0</v>
      </c>
      <c r="X174" s="231">
        <f t="shared" si="70"/>
        <v>0</v>
      </c>
      <c r="Y174" s="231">
        <f t="shared" si="70"/>
        <v>0</v>
      </c>
      <c r="Z174" s="231">
        <f t="shared" si="70"/>
        <v>0</v>
      </c>
      <c r="AA174" s="231">
        <f t="shared" si="70"/>
        <v>0</v>
      </c>
      <c r="AB174" s="231">
        <f t="shared" si="70"/>
        <v>0</v>
      </c>
      <c r="AC174" s="231">
        <f t="shared" si="70"/>
        <v>0</v>
      </c>
      <c r="AD174" s="231">
        <f t="shared" si="70"/>
        <v>0</v>
      </c>
      <c r="AE174" s="231">
        <f t="shared" si="70"/>
        <v>0</v>
      </c>
      <c r="AF174" s="231">
        <f t="shared" si="70"/>
        <v>0</v>
      </c>
      <c r="AG174" s="231">
        <f t="shared" si="70"/>
        <v>0</v>
      </c>
      <c r="AH174" s="231">
        <f t="shared" si="70"/>
        <v>0</v>
      </c>
      <c r="AI174" s="231">
        <f t="shared" si="70"/>
        <v>0</v>
      </c>
      <c r="AJ174" s="231">
        <f t="shared" si="70"/>
        <v>0</v>
      </c>
      <c r="AK174" s="231">
        <f t="shared" si="70"/>
        <v>0</v>
      </c>
      <c r="AL174" s="231">
        <f t="shared" si="70"/>
        <v>0</v>
      </c>
      <c r="AM174" s="231">
        <f t="shared" si="70"/>
        <v>0</v>
      </c>
      <c r="AN174" s="231">
        <f t="shared" si="70"/>
        <v>0</v>
      </c>
      <c r="AO174" s="231">
        <f t="shared" si="70"/>
        <v>0</v>
      </c>
      <c r="AP174" s="231">
        <f t="shared" si="70"/>
        <v>0</v>
      </c>
      <c r="AQ174" s="231">
        <f t="shared" si="70"/>
        <v>0</v>
      </c>
      <c r="AR174" s="231">
        <f t="shared" si="70"/>
        <v>0</v>
      </c>
      <c r="AS174" s="231">
        <f t="shared" si="70"/>
        <v>0</v>
      </c>
      <c r="AT174" s="231">
        <f t="shared" si="70"/>
        <v>0</v>
      </c>
      <c r="AU174" s="231">
        <f t="shared" si="70"/>
        <v>0</v>
      </c>
    </row>
    <row r="175" spans="1:48">
      <c r="A175" s="18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</row>
    <row r="176" spans="1:48">
      <c r="A176" s="18"/>
      <c r="B176" s="151" t="s">
        <v>234</v>
      </c>
      <c r="C176" s="219" t="s">
        <v>148</v>
      </c>
      <c r="D176" s="222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</row>
    <row r="177" spans="1:47">
      <c r="A177" s="18"/>
      <c r="B177" s="151" t="s">
        <v>230</v>
      </c>
      <c r="C177" s="230">
        <f>D170+D177</f>
        <v>0</v>
      </c>
      <c r="D177" s="222">
        <f t="shared" ref="D177:AU177" si="71">IF(D170=D164,0,IF(D160&gt;D164,D164-D170,D160))</f>
        <v>0</v>
      </c>
      <c r="E177" s="222">
        <f t="shared" si="71"/>
        <v>0</v>
      </c>
      <c r="F177" s="222">
        <f t="shared" si="71"/>
        <v>0</v>
      </c>
      <c r="G177" s="222">
        <f t="shared" si="71"/>
        <v>0</v>
      </c>
      <c r="H177" s="222">
        <f t="shared" si="71"/>
        <v>0</v>
      </c>
      <c r="I177" s="222">
        <f t="shared" si="71"/>
        <v>0</v>
      </c>
      <c r="J177" s="222">
        <f t="shared" si="71"/>
        <v>0</v>
      </c>
      <c r="K177" s="222">
        <f t="shared" si="71"/>
        <v>0</v>
      </c>
      <c r="L177" s="222">
        <f t="shared" si="71"/>
        <v>0</v>
      </c>
      <c r="M177" s="222">
        <f t="shared" si="71"/>
        <v>0</v>
      </c>
      <c r="N177" s="222">
        <f t="shared" si="71"/>
        <v>0</v>
      </c>
      <c r="O177" s="222">
        <f t="shared" si="71"/>
        <v>0</v>
      </c>
      <c r="P177" s="222">
        <f t="shared" si="71"/>
        <v>0</v>
      </c>
      <c r="Q177" s="222">
        <f t="shared" si="71"/>
        <v>0</v>
      </c>
      <c r="R177" s="222">
        <f t="shared" si="71"/>
        <v>0</v>
      </c>
      <c r="S177" s="222">
        <f t="shared" si="71"/>
        <v>0</v>
      </c>
      <c r="T177" s="222">
        <f t="shared" si="71"/>
        <v>0</v>
      </c>
      <c r="U177" s="222">
        <f t="shared" si="71"/>
        <v>0</v>
      </c>
      <c r="V177" s="222">
        <f t="shared" si="71"/>
        <v>0</v>
      </c>
      <c r="W177" s="222">
        <f t="shared" si="71"/>
        <v>0</v>
      </c>
      <c r="X177" s="222">
        <f t="shared" si="71"/>
        <v>0</v>
      </c>
      <c r="Y177" s="222">
        <f t="shared" si="71"/>
        <v>0</v>
      </c>
      <c r="Z177" s="222">
        <f t="shared" si="71"/>
        <v>0</v>
      </c>
      <c r="AA177" s="222">
        <f t="shared" si="71"/>
        <v>0</v>
      </c>
      <c r="AB177" s="222">
        <f t="shared" si="71"/>
        <v>0</v>
      </c>
      <c r="AC177" s="222">
        <f t="shared" si="71"/>
        <v>0</v>
      </c>
      <c r="AD177" s="222">
        <f t="shared" si="71"/>
        <v>0</v>
      </c>
      <c r="AE177" s="222">
        <f t="shared" si="71"/>
        <v>0</v>
      </c>
      <c r="AF177" s="222">
        <f t="shared" si="71"/>
        <v>0</v>
      </c>
      <c r="AG177" s="222">
        <f t="shared" si="71"/>
        <v>0</v>
      </c>
      <c r="AH177" s="222">
        <f t="shared" si="71"/>
        <v>0</v>
      </c>
      <c r="AI177" s="222">
        <f t="shared" si="71"/>
        <v>0</v>
      </c>
      <c r="AJ177" s="222">
        <f t="shared" si="71"/>
        <v>0</v>
      </c>
      <c r="AK177" s="222">
        <f t="shared" si="71"/>
        <v>0</v>
      </c>
      <c r="AL177" s="222">
        <f t="shared" si="71"/>
        <v>0</v>
      </c>
      <c r="AM177" s="222">
        <f t="shared" si="71"/>
        <v>0</v>
      </c>
      <c r="AN177" s="222">
        <f t="shared" si="71"/>
        <v>0</v>
      </c>
      <c r="AO177" s="222">
        <f t="shared" si="71"/>
        <v>0</v>
      </c>
      <c r="AP177" s="222">
        <f t="shared" si="71"/>
        <v>0</v>
      </c>
      <c r="AQ177" s="222">
        <f t="shared" si="71"/>
        <v>0</v>
      </c>
      <c r="AR177" s="222">
        <f t="shared" si="71"/>
        <v>0</v>
      </c>
      <c r="AS177" s="222">
        <f t="shared" si="71"/>
        <v>0</v>
      </c>
      <c r="AT177" s="222">
        <f t="shared" si="71"/>
        <v>0</v>
      </c>
      <c r="AU177" s="222">
        <f t="shared" si="71"/>
        <v>0</v>
      </c>
    </row>
    <row r="178" spans="1:47">
      <c r="A178" s="18"/>
      <c r="B178" s="151" t="s">
        <v>231</v>
      </c>
      <c r="C178" s="230">
        <f>D171+D178</f>
        <v>0</v>
      </c>
      <c r="D178" s="222">
        <f>IF(D$160&lt;D164-D170,0,IF(D$160&gt;(D164+D165-D170-D171),D$165-D171,D160-D177))</f>
        <v>0</v>
      </c>
      <c r="E178" s="222">
        <f t="shared" ref="E178:AU178" si="72">IF(E$160&lt;E164-E170,0,IF(E$160&gt;(E164+E165-E170-E171),E$165-E171,E160-E177))</f>
        <v>0</v>
      </c>
      <c r="F178" s="222">
        <f t="shared" si="72"/>
        <v>0</v>
      </c>
      <c r="G178" s="222">
        <f t="shared" si="72"/>
        <v>0</v>
      </c>
      <c r="H178" s="222">
        <f t="shared" si="72"/>
        <v>0</v>
      </c>
      <c r="I178" s="222">
        <f t="shared" si="72"/>
        <v>0</v>
      </c>
      <c r="J178" s="222">
        <f t="shared" si="72"/>
        <v>0</v>
      </c>
      <c r="K178" s="222">
        <f t="shared" si="72"/>
        <v>0</v>
      </c>
      <c r="L178" s="222">
        <f t="shared" si="72"/>
        <v>0</v>
      </c>
      <c r="M178" s="222">
        <f t="shared" si="72"/>
        <v>0</v>
      </c>
      <c r="N178" s="222">
        <f t="shared" si="72"/>
        <v>0</v>
      </c>
      <c r="O178" s="222">
        <f t="shared" si="72"/>
        <v>0</v>
      </c>
      <c r="P178" s="222">
        <f t="shared" si="72"/>
        <v>0</v>
      </c>
      <c r="Q178" s="222">
        <f t="shared" si="72"/>
        <v>0</v>
      </c>
      <c r="R178" s="222">
        <f t="shared" si="72"/>
        <v>0</v>
      </c>
      <c r="S178" s="222">
        <f t="shared" si="72"/>
        <v>0</v>
      </c>
      <c r="T178" s="222">
        <f t="shared" si="72"/>
        <v>0</v>
      </c>
      <c r="U178" s="222">
        <f t="shared" si="72"/>
        <v>0</v>
      </c>
      <c r="V178" s="222">
        <f t="shared" si="72"/>
        <v>0</v>
      </c>
      <c r="W178" s="222">
        <f t="shared" si="72"/>
        <v>0</v>
      </c>
      <c r="X178" s="222">
        <f t="shared" si="72"/>
        <v>0</v>
      </c>
      <c r="Y178" s="222">
        <f t="shared" si="72"/>
        <v>0</v>
      </c>
      <c r="Z178" s="222">
        <f t="shared" si="72"/>
        <v>0</v>
      </c>
      <c r="AA178" s="222">
        <f t="shared" si="72"/>
        <v>0</v>
      </c>
      <c r="AB178" s="222">
        <f t="shared" si="72"/>
        <v>0</v>
      </c>
      <c r="AC178" s="222">
        <f t="shared" si="72"/>
        <v>0</v>
      </c>
      <c r="AD178" s="222">
        <f t="shared" si="72"/>
        <v>0</v>
      </c>
      <c r="AE178" s="222">
        <f t="shared" si="72"/>
        <v>0</v>
      </c>
      <c r="AF178" s="222">
        <f t="shared" si="72"/>
        <v>0</v>
      </c>
      <c r="AG178" s="222">
        <f t="shared" si="72"/>
        <v>0</v>
      </c>
      <c r="AH178" s="222">
        <f t="shared" si="72"/>
        <v>0</v>
      </c>
      <c r="AI178" s="222">
        <f t="shared" si="72"/>
        <v>0</v>
      </c>
      <c r="AJ178" s="222">
        <f t="shared" si="72"/>
        <v>0</v>
      </c>
      <c r="AK178" s="222">
        <f t="shared" si="72"/>
        <v>0</v>
      </c>
      <c r="AL178" s="222">
        <f t="shared" si="72"/>
        <v>0</v>
      </c>
      <c r="AM178" s="222">
        <f t="shared" si="72"/>
        <v>0</v>
      </c>
      <c r="AN178" s="222">
        <f t="shared" si="72"/>
        <v>0</v>
      </c>
      <c r="AO178" s="222">
        <f t="shared" si="72"/>
        <v>0</v>
      </c>
      <c r="AP178" s="222">
        <f t="shared" si="72"/>
        <v>0</v>
      </c>
      <c r="AQ178" s="222">
        <f t="shared" si="72"/>
        <v>0</v>
      </c>
      <c r="AR178" s="222">
        <f t="shared" si="72"/>
        <v>0</v>
      </c>
      <c r="AS178" s="222">
        <f t="shared" si="72"/>
        <v>0</v>
      </c>
      <c r="AT178" s="222">
        <f t="shared" si="72"/>
        <v>0</v>
      </c>
      <c r="AU178" s="222">
        <f t="shared" si="72"/>
        <v>0</v>
      </c>
    </row>
    <row r="179" spans="1:47">
      <c r="A179" s="18"/>
      <c r="B179" s="151" t="s">
        <v>232</v>
      </c>
      <c r="C179" s="230">
        <f>D172+D179</f>
        <v>0</v>
      </c>
      <c r="D179" s="222">
        <f>IF(D$160&lt;D164+D165-D170-D171,0,IF(D$160&gt;D164+D165+D166-D170-D171-D172,D166-D172,D$160-D177-D178))</f>
        <v>0</v>
      </c>
      <c r="E179" s="222">
        <f t="shared" ref="E179:AU179" si="73">IF(E$160&lt;E164+E165-E170-E171,0,IF(E$160&gt;E164+E165+E166-E170-E171-E172,E166-E172,E$160-E177-E178))</f>
        <v>0</v>
      </c>
      <c r="F179" s="222">
        <f t="shared" si="73"/>
        <v>0</v>
      </c>
      <c r="G179" s="222">
        <f t="shared" si="73"/>
        <v>0</v>
      </c>
      <c r="H179" s="222">
        <f t="shared" si="73"/>
        <v>0</v>
      </c>
      <c r="I179" s="222">
        <f t="shared" si="73"/>
        <v>0</v>
      </c>
      <c r="J179" s="222">
        <f t="shared" si="73"/>
        <v>0</v>
      </c>
      <c r="K179" s="222">
        <f t="shared" si="73"/>
        <v>0</v>
      </c>
      <c r="L179" s="222">
        <f t="shared" si="73"/>
        <v>0</v>
      </c>
      <c r="M179" s="222">
        <f t="shared" si="73"/>
        <v>0</v>
      </c>
      <c r="N179" s="222">
        <f t="shared" si="73"/>
        <v>0</v>
      </c>
      <c r="O179" s="222">
        <f t="shared" si="73"/>
        <v>0</v>
      </c>
      <c r="P179" s="222">
        <f t="shared" si="73"/>
        <v>0</v>
      </c>
      <c r="Q179" s="222">
        <f t="shared" si="73"/>
        <v>0</v>
      </c>
      <c r="R179" s="222">
        <f t="shared" si="73"/>
        <v>0</v>
      </c>
      <c r="S179" s="222">
        <f t="shared" si="73"/>
        <v>0</v>
      </c>
      <c r="T179" s="222">
        <f t="shared" si="73"/>
        <v>0</v>
      </c>
      <c r="U179" s="222">
        <f t="shared" si="73"/>
        <v>0</v>
      </c>
      <c r="V179" s="222">
        <f t="shared" si="73"/>
        <v>0</v>
      </c>
      <c r="W179" s="222">
        <f t="shared" si="73"/>
        <v>0</v>
      </c>
      <c r="X179" s="222">
        <f t="shared" si="73"/>
        <v>0</v>
      </c>
      <c r="Y179" s="222">
        <f t="shared" si="73"/>
        <v>0</v>
      </c>
      <c r="Z179" s="222">
        <f t="shared" si="73"/>
        <v>0</v>
      </c>
      <c r="AA179" s="222">
        <f t="shared" si="73"/>
        <v>0</v>
      </c>
      <c r="AB179" s="222">
        <f t="shared" si="73"/>
        <v>0</v>
      </c>
      <c r="AC179" s="222">
        <f t="shared" si="73"/>
        <v>0</v>
      </c>
      <c r="AD179" s="222">
        <f t="shared" si="73"/>
        <v>0</v>
      </c>
      <c r="AE179" s="222">
        <f t="shared" si="73"/>
        <v>0</v>
      </c>
      <c r="AF179" s="222">
        <f t="shared" si="73"/>
        <v>0</v>
      </c>
      <c r="AG179" s="222">
        <f t="shared" si="73"/>
        <v>0</v>
      </c>
      <c r="AH179" s="222">
        <f t="shared" si="73"/>
        <v>0</v>
      </c>
      <c r="AI179" s="222">
        <f t="shared" si="73"/>
        <v>0</v>
      </c>
      <c r="AJ179" s="222">
        <f t="shared" si="73"/>
        <v>0</v>
      </c>
      <c r="AK179" s="222">
        <f t="shared" si="73"/>
        <v>0</v>
      </c>
      <c r="AL179" s="222">
        <f t="shared" si="73"/>
        <v>0</v>
      </c>
      <c r="AM179" s="222">
        <f t="shared" si="73"/>
        <v>0</v>
      </c>
      <c r="AN179" s="222">
        <f t="shared" si="73"/>
        <v>0</v>
      </c>
      <c r="AO179" s="222">
        <f t="shared" si="73"/>
        <v>0</v>
      </c>
      <c r="AP179" s="222">
        <f t="shared" si="73"/>
        <v>0</v>
      </c>
      <c r="AQ179" s="222">
        <f t="shared" si="73"/>
        <v>0</v>
      </c>
      <c r="AR179" s="222">
        <f t="shared" si="73"/>
        <v>0</v>
      </c>
      <c r="AS179" s="222">
        <f t="shared" si="73"/>
        <v>0</v>
      </c>
      <c r="AT179" s="222">
        <f t="shared" si="73"/>
        <v>0</v>
      </c>
      <c r="AU179" s="222">
        <f t="shared" si="73"/>
        <v>0</v>
      </c>
    </row>
    <row r="180" spans="1:47">
      <c r="A180" s="18"/>
      <c r="B180" s="151" t="s">
        <v>233</v>
      </c>
      <c r="C180" s="230">
        <f>D173+D180</f>
        <v>0</v>
      </c>
      <c r="D180" s="222">
        <f>IF(D$160&lt;D164+D165+D166-D170-D171-D172,0,D$160-D164-D165-D166+D170+D171+D172)</f>
        <v>0</v>
      </c>
      <c r="E180" s="222">
        <f t="shared" ref="E180:AU180" si="74">IF(E$160&lt;E164+E165+E166-E170-E171-E172,0,E$160-E164-E165-E166+E170+E171+E172)</f>
        <v>0</v>
      </c>
      <c r="F180" s="222">
        <f t="shared" si="74"/>
        <v>0</v>
      </c>
      <c r="G180" s="222">
        <f t="shared" si="74"/>
        <v>0</v>
      </c>
      <c r="H180" s="222">
        <f t="shared" si="74"/>
        <v>0</v>
      </c>
      <c r="I180" s="222">
        <f t="shared" si="74"/>
        <v>0</v>
      </c>
      <c r="J180" s="222">
        <f t="shared" si="74"/>
        <v>0</v>
      </c>
      <c r="K180" s="222">
        <f t="shared" si="74"/>
        <v>0</v>
      </c>
      <c r="L180" s="222">
        <f t="shared" si="74"/>
        <v>0</v>
      </c>
      <c r="M180" s="222">
        <f t="shared" si="74"/>
        <v>0</v>
      </c>
      <c r="N180" s="222">
        <f t="shared" si="74"/>
        <v>0</v>
      </c>
      <c r="O180" s="222">
        <f t="shared" si="74"/>
        <v>0</v>
      </c>
      <c r="P180" s="222">
        <f t="shared" si="74"/>
        <v>0</v>
      </c>
      <c r="Q180" s="222">
        <f t="shared" si="74"/>
        <v>0</v>
      </c>
      <c r="R180" s="222">
        <f t="shared" si="74"/>
        <v>0</v>
      </c>
      <c r="S180" s="222">
        <f t="shared" si="74"/>
        <v>0</v>
      </c>
      <c r="T180" s="222">
        <f t="shared" si="74"/>
        <v>0</v>
      </c>
      <c r="U180" s="222">
        <f t="shared" si="74"/>
        <v>0</v>
      </c>
      <c r="V180" s="222">
        <f t="shared" si="74"/>
        <v>0</v>
      </c>
      <c r="W180" s="222">
        <f t="shared" si="74"/>
        <v>0</v>
      </c>
      <c r="X180" s="222">
        <f t="shared" si="74"/>
        <v>0</v>
      </c>
      <c r="Y180" s="222">
        <f t="shared" si="74"/>
        <v>0</v>
      </c>
      <c r="Z180" s="222">
        <f t="shared" si="74"/>
        <v>0</v>
      </c>
      <c r="AA180" s="222">
        <f t="shared" si="74"/>
        <v>0</v>
      </c>
      <c r="AB180" s="222">
        <f t="shared" si="74"/>
        <v>0</v>
      </c>
      <c r="AC180" s="222">
        <f t="shared" si="74"/>
        <v>0</v>
      </c>
      <c r="AD180" s="222">
        <f t="shared" si="74"/>
        <v>0</v>
      </c>
      <c r="AE180" s="222">
        <f t="shared" si="74"/>
        <v>0</v>
      </c>
      <c r="AF180" s="222">
        <f t="shared" si="74"/>
        <v>0</v>
      </c>
      <c r="AG180" s="222">
        <f t="shared" si="74"/>
        <v>0</v>
      </c>
      <c r="AH180" s="222">
        <f t="shared" si="74"/>
        <v>0</v>
      </c>
      <c r="AI180" s="222">
        <f t="shared" si="74"/>
        <v>0</v>
      </c>
      <c r="AJ180" s="222">
        <f t="shared" si="74"/>
        <v>0</v>
      </c>
      <c r="AK180" s="222">
        <f t="shared" si="74"/>
        <v>0</v>
      </c>
      <c r="AL180" s="222">
        <f t="shared" si="74"/>
        <v>0</v>
      </c>
      <c r="AM180" s="222">
        <f t="shared" si="74"/>
        <v>0</v>
      </c>
      <c r="AN180" s="222">
        <f t="shared" si="74"/>
        <v>0</v>
      </c>
      <c r="AO180" s="222">
        <f t="shared" si="74"/>
        <v>0</v>
      </c>
      <c r="AP180" s="222">
        <f t="shared" si="74"/>
        <v>0</v>
      </c>
      <c r="AQ180" s="222">
        <f t="shared" si="74"/>
        <v>0</v>
      </c>
      <c r="AR180" s="222">
        <f t="shared" si="74"/>
        <v>0</v>
      </c>
      <c r="AS180" s="222">
        <f t="shared" si="74"/>
        <v>0</v>
      </c>
      <c r="AT180" s="222">
        <f t="shared" si="74"/>
        <v>0</v>
      </c>
      <c r="AU180" s="222">
        <f t="shared" si="74"/>
        <v>0</v>
      </c>
    </row>
    <row r="181" spans="1:47">
      <c r="A181" s="18"/>
      <c r="B181" s="151" t="s">
        <v>235</v>
      </c>
      <c r="C181" s="230"/>
      <c r="D181" s="231">
        <f t="shared" ref="D181:AU181" si="75">SUM(D177:D180)</f>
        <v>0</v>
      </c>
      <c r="E181" s="231">
        <f t="shared" si="75"/>
        <v>0</v>
      </c>
      <c r="F181" s="231">
        <f t="shared" si="75"/>
        <v>0</v>
      </c>
      <c r="G181" s="231">
        <f t="shared" si="75"/>
        <v>0</v>
      </c>
      <c r="H181" s="231">
        <f t="shared" si="75"/>
        <v>0</v>
      </c>
      <c r="I181" s="231">
        <f t="shared" si="75"/>
        <v>0</v>
      </c>
      <c r="J181" s="231">
        <f t="shared" si="75"/>
        <v>0</v>
      </c>
      <c r="K181" s="231">
        <f t="shared" si="75"/>
        <v>0</v>
      </c>
      <c r="L181" s="231">
        <f t="shared" si="75"/>
        <v>0</v>
      </c>
      <c r="M181" s="231">
        <f t="shared" si="75"/>
        <v>0</v>
      </c>
      <c r="N181" s="231">
        <f t="shared" si="75"/>
        <v>0</v>
      </c>
      <c r="O181" s="231">
        <f t="shared" si="75"/>
        <v>0</v>
      </c>
      <c r="P181" s="231">
        <f t="shared" si="75"/>
        <v>0</v>
      </c>
      <c r="Q181" s="231">
        <f t="shared" si="75"/>
        <v>0</v>
      </c>
      <c r="R181" s="231">
        <f t="shared" si="75"/>
        <v>0</v>
      </c>
      <c r="S181" s="231">
        <f t="shared" si="75"/>
        <v>0</v>
      </c>
      <c r="T181" s="231">
        <f t="shared" si="75"/>
        <v>0</v>
      </c>
      <c r="U181" s="231">
        <f t="shared" si="75"/>
        <v>0</v>
      </c>
      <c r="V181" s="231">
        <f t="shared" si="75"/>
        <v>0</v>
      </c>
      <c r="W181" s="231">
        <f t="shared" si="75"/>
        <v>0</v>
      </c>
      <c r="X181" s="231">
        <f t="shared" si="75"/>
        <v>0</v>
      </c>
      <c r="Y181" s="231">
        <f t="shared" si="75"/>
        <v>0</v>
      </c>
      <c r="Z181" s="231">
        <f t="shared" si="75"/>
        <v>0</v>
      </c>
      <c r="AA181" s="231">
        <f t="shared" si="75"/>
        <v>0</v>
      </c>
      <c r="AB181" s="231">
        <f t="shared" si="75"/>
        <v>0</v>
      </c>
      <c r="AC181" s="231">
        <f t="shared" si="75"/>
        <v>0</v>
      </c>
      <c r="AD181" s="231">
        <f t="shared" si="75"/>
        <v>0</v>
      </c>
      <c r="AE181" s="231">
        <f t="shared" si="75"/>
        <v>0</v>
      </c>
      <c r="AF181" s="231">
        <f t="shared" si="75"/>
        <v>0</v>
      </c>
      <c r="AG181" s="231">
        <f t="shared" si="75"/>
        <v>0</v>
      </c>
      <c r="AH181" s="231">
        <f t="shared" si="75"/>
        <v>0</v>
      </c>
      <c r="AI181" s="231">
        <f t="shared" si="75"/>
        <v>0</v>
      </c>
      <c r="AJ181" s="231">
        <f t="shared" si="75"/>
        <v>0</v>
      </c>
      <c r="AK181" s="231">
        <f t="shared" si="75"/>
        <v>0</v>
      </c>
      <c r="AL181" s="231">
        <f t="shared" si="75"/>
        <v>0</v>
      </c>
      <c r="AM181" s="231">
        <f t="shared" si="75"/>
        <v>0</v>
      </c>
      <c r="AN181" s="231">
        <f t="shared" si="75"/>
        <v>0</v>
      </c>
      <c r="AO181" s="231">
        <f t="shared" si="75"/>
        <v>0</v>
      </c>
      <c r="AP181" s="231">
        <f t="shared" si="75"/>
        <v>0</v>
      </c>
      <c r="AQ181" s="231">
        <f t="shared" si="75"/>
        <v>0</v>
      </c>
      <c r="AR181" s="231">
        <f t="shared" si="75"/>
        <v>0</v>
      </c>
      <c r="AS181" s="231">
        <f t="shared" si="75"/>
        <v>0</v>
      </c>
      <c r="AT181" s="231">
        <f t="shared" si="75"/>
        <v>0</v>
      </c>
      <c r="AU181" s="231">
        <f t="shared" si="75"/>
        <v>0</v>
      </c>
    </row>
    <row r="182" spans="1:47">
      <c r="A182" s="18"/>
      <c r="B182" s="151" t="s">
        <v>236</v>
      </c>
      <c r="C182" s="230"/>
      <c r="D182" s="231">
        <f t="shared" ref="D182:AU182" si="76">D174+D181</f>
        <v>0</v>
      </c>
      <c r="E182" s="231">
        <f t="shared" si="76"/>
        <v>0</v>
      </c>
      <c r="F182" s="231">
        <f t="shared" si="76"/>
        <v>0</v>
      </c>
      <c r="G182" s="231">
        <f t="shared" si="76"/>
        <v>0</v>
      </c>
      <c r="H182" s="231">
        <f t="shared" si="76"/>
        <v>0</v>
      </c>
      <c r="I182" s="231">
        <f t="shared" si="76"/>
        <v>0</v>
      </c>
      <c r="J182" s="231">
        <f t="shared" si="76"/>
        <v>0</v>
      </c>
      <c r="K182" s="231">
        <f t="shared" si="76"/>
        <v>0</v>
      </c>
      <c r="L182" s="231">
        <f t="shared" si="76"/>
        <v>0</v>
      </c>
      <c r="M182" s="231">
        <f t="shared" si="76"/>
        <v>0</v>
      </c>
      <c r="N182" s="231">
        <f t="shared" si="76"/>
        <v>0</v>
      </c>
      <c r="O182" s="231">
        <f t="shared" si="76"/>
        <v>0</v>
      </c>
      <c r="P182" s="231">
        <f t="shared" si="76"/>
        <v>0</v>
      </c>
      <c r="Q182" s="231">
        <f t="shared" si="76"/>
        <v>0</v>
      </c>
      <c r="R182" s="231">
        <f t="shared" si="76"/>
        <v>0</v>
      </c>
      <c r="S182" s="231">
        <f t="shared" si="76"/>
        <v>0</v>
      </c>
      <c r="T182" s="231">
        <f t="shared" si="76"/>
        <v>0</v>
      </c>
      <c r="U182" s="231">
        <f t="shared" si="76"/>
        <v>0</v>
      </c>
      <c r="V182" s="231">
        <f t="shared" si="76"/>
        <v>0</v>
      </c>
      <c r="W182" s="231">
        <f t="shared" si="76"/>
        <v>0</v>
      </c>
      <c r="X182" s="231">
        <f t="shared" si="76"/>
        <v>0</v>
      </c>
      <c r="Y182" s="231">
        <f t="shared" si="76"/>
        <v>0</v>
      </c>
      <c r="Z182" s="231">
        <f t="shared" si="76"/>
        <v>0</v>
      </c>
      <c r="AA182" s="231">
        <f t="shared" si="76"/>
        <v>0</v>
      </c>
      <c r="AB182" s="231">
        <f t="shared" si="76"/>
        <v>0</v>
      </c>
      <c r="AC182" s="231">
        <f t="shared" si="76"/>
        <v>0</v>
      </c>
      <c r="AD182" s="231">
        <f t="shared" si="76"/>
        <v>0</v>
      </c>
      <c r="AE182" s="231">
        <f t="shared" si="76"/>
        <v>0</v>
      </c>
      <c r="AF182" s="231">
        <f t="shared" si="76"/>
        <v>0</v>
      </c>
      <c r="AG182" s="231">
        <f t="shared" si="76"/>
        <v>0</v>
      </c>
      <c r="AH182" s="231">
        <f t="shared" si="76"/>
        <v>0</v>
      </c>
      <c r="AI182" s="231">
        <f t="shared" si="76"/>
        <v>0</v>
      </c>
      <c r="AJ182" s="231">
        <f t="shared" si="76"/>
        <v>0</v>
      </c>
      <c r="AK182" s="231">
        <f t="shared" si="76"/>
        <v>0</v>
      </c>
      <c r="AL182" s="231">
        <f t="shared" si="76"/>
        <v>0</v>
      </c>
      <c r="AM182" s="231">
        <f t="shared" si="76"/>
        <v>0</v>
      </c>
      <c r="AN182" s="231">
        <f t="shared" si="76"/>
        <v>0</v>
      </c>
      <c r="AO182" s="231">
        <f t="shared" si="76"/>
        <v>0</v>
      </c>
      <c r="AP182" s="231">
        <f t="shared" si="76"/>
        <v>0</v>
      </c>
      <c r="AQ182" s="231">
        <f t="shared" si="76"/>
        <v>0</v>
      </c>
      <c r="AR182" s="231">
        <f t="shared" si="76"/>
        <v>0</v>
      </c>
      <c r="AS182" s="231">
        <f t="shared" si="76"/>
        <v>0</v>
      </c>
      <c r="AT182" s="231">
        <f t="shared" si="76"/>
        <v>0</v>
      </c>
      <c r="AU182" s="231">
        <f t="shared" si="76"/>
        <v>0</v>
      </c>
    </row>
    <row r="183" spans="1:47">
      <c r="A183" s="18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</row>
    <row r="184" spans="1:47">
      <c r="B184" s="151" t="s">
        <v>237</v>
      </c>
      <c r="C184" s="151" t="s">
        <v>238</v>
      </c>
      <c r="D184" s="151"/>
      <c r="E184" s="190"/>
      <c r="F184" s="154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</row>
    <row r="185" spans="1:47">
      <c r="B185" s="151" t="s">
        <v>225</v>
      </c>
      <c r="C185" s="151"/>
      <c r="D185" s="232">
        <v>0.17344999999999999</v>
      </c>
      <c r="E185" s="233">
        <f>D185</f>
        <v>0.17344999999999999</v>
      </c>
      <c r="F185" s="233">
        <f t="shared" ref="F185:U188" si="77">E185</f>
        <v>0.17344999999999999</v>
      </c>
      <c r="G185" s="233">
        <f t="shared" si="77"/>
        <v>0.17344999999999999</v>
      </c>
      <c r="H185" s="233">
        <f t="shared" si="77"/>
        <v>0.17344999999999999</v>
      </c>
      <c r="I185" s="233">
        <f t="shared" si="77"/>
        <v>0.17344999999999999</v>
      </c>
      <c r="J185" s="233">
        <f t="shared" si="77"/>
        <v>0.17344999999999999</v>
      </c>
      <c r="K185" s="233">
        <f t="shared" si="77"/>
        <v>0.17344999999999999</v>
      </c>
      <c r="L185" s="233">
        <f t="shared" si="77"/>
        <v>0.17344999999999999</v>
      </c>
      <c r="M185" s="233">
        <f t="shared" si="77"/>
        <v>0.17344999999999999</v>
      </c>
      <c r="N185" s="233">
        <f t="shared" si="77"/>
        <v>0.17344999999999999</v>
      </c>
      <c r="O185" s="233">
        <f t="shared" si="77"/>
        <v>0.17344999999999999</v>
      </c>
      <c r="P185" s="233">
        <f t="shared" si="77"/>
        <v>0.17344999999999999</v>
      </c>
      <c r="Q185" s="233">
        <f t="shared" si="77"/>
        <v>0.17344999999999999</v>
      </c>
      <c r="R185" s="233">
        <f t="shared" si="77"/>
        <v>0.17344999999999999</v>
      </c>
      <c r="S185" s="233">
        <f t="shared" si="77"/>
        <v>0.17344999999999999</v>
      </c>
      <c r="T185" s="233">
        <f t="shared" si="77"/>
        <v>0.17344999999999999</v>
      </c>
      <c r="U185" s="233">
        <f t="shared" si="77"/>
        <v>0.17344999999999999</v>
      </c>
      <c r="V185" s="233">
        <f t="shared" ref="V185:AK188" si="78">U185</f>
        <v>0.17344999999999999</v>
      </c>
      <c r="W185" s="233">
        <f t="shared" si="78"/>
        <v>0.17344999999999999</v>
      </c>
      <c r="X185" s="233">
        <f t="shared" si="78"/>
        <v>0.17344999999999999</v>
      </c>
      <c r="Y185" s="233">
        <f t="shared" si="78"/>
        <v>0.17344999999999999</v>
      </c>
      <c r="Z185" s="233">
        <f t="shared" si="78"/>
        <v>0.17344999999999999</v>
      </c>
      <c r="AA185" s="233">
        <f t="shared" si="78"/>
        <v>0.17344999999999999</v>
      </c>
      <c r="AB185" s="233">
        <f t="shared" si="78"/>
        <v>0.17344999999999999</v>
      </c>
      <c r="AC185" s="233">
        <f t="shared" si="78"/>
        <v>0.17344999999999999</v>
      </c>
      <c r="AD185" s="233">
        <f t="shared" si="78"/>
        <v>0.17344999999999999</v>
      </c>
      <c r="AE185" s="233">
        <f t="shared" si="78"/>
        <v>0.17344999999999999</v>
      </c>
      <c r="AF185" s="233">
        <f t="shared" si="78"/>
        <v>0.17344999999999999</v>
      </c>
      <c r="AG185" s="233">
        <f t="shared" si="78"/>
        <v>0.17344999999999999</v>
      </c>
      <c r="AH185" s="233">
        <f t="shared" si="78"/>
        <v>0.17344999999999999</v>
      </c>
      <c r="AI185" s="233">
        <f t="shared" si="78"/>
        <v>0.17344999999999999</v>
      </c>
      <c r="AJ185" s="233">
        <f t="shared" si="78"/>
        <v>0.17344999999999999</v>
      </c>
      <c r="AK185" s="233">
        <f t="shared" si="78"/>
        <v>0.17344999999999999</v>
      </c>
      <c r="AL185" s="233">
        <f t="shared" ref="AK185:AU188" si="79">AK185</f>
        <v>0.17344999999999999</v>
      </c>
      <c r="AM185" s="233">
        <f t="shared" si="79"/>
        <v>0.17344999999999999</v>
      </c>
      <c r="AN185" s="233">
        <f t="shared" si="79"/>
        <v>0.17344999999999999</v>
      </c>
      <c r="AO185" s="233">
        <f t="shared" si="79"/>
        <v>0.17344999999999999</v>
      </c>
      <c r="AP185" s="233">
        <f t="shared" si="79"/>
        <v>0.17344999999999999</v>
      </c>
      <c r="AQ185" s="233">
        <f t="shared" si="79"/>
        <v>0.17344999999999999</v>
      </c>
      <c r="AR185" s="233">
        <f t="shared" si="79"/>
        <v>0.17344999999999999</v>
      </c>
      <c r="AS185" s="233">
        <f t="shared" si="79"/>
        <v>0.17344999999999999</v>
      </c>
      <c r="AT185" s="233">
        <f t="shared" si="79"/>
        <v>0.17344999999999999</v>
      </c>
      <c r="AU185" s="233">
        <f t="shared" si="79"/>
        <v>0.17344999999999999</v>
      </c>
    </row>
    <row r="186" spans="1:47">
      <c r="B186" s="151" t="s">
        <v>226</v>
      </c>
      <c r="C186" s="151"/>
      <c r="D186" s="232">
        <v>0.16086</v>
      </c>
      <c r="E186" s="233">
        <f>D186</f>
        <v>0.16086</v>
      </c>
      <c r="F186" s="233">
        <f t="shared" si="77"/>
        <v>0.16086</v>
      </c>
      <c r="G186" s="233">
        <f t="shared" si="77"/>
        <v>0.16086</v>
      </c>
      <c r="H186" s="233">
        <f t="shared" si="77"/>
        <v>0.16086</v>
      </c>
      <c r="I186" s="233">
        <f t="shared" si="77"/>
        <v>0.16086</v>
      </c>
      <c r="J186" s="233">
        <f t="shared" si="77"/>
        <v>0.16086</v>
      </c>
      <c r="K186" s="233">
        <f t="shared" si="77"/>
        <v>0.16086</v>
      </c>
      <c r="L186" s="233">
        <f t="shared" si="77"/>
        <v>0.16086</v>
      </c>
      <c r="M186" s="233">
        <f t="shared" si="77"/>
        <v>0.16086</v>
      </c>
      <c r="N186" s="233">
        <f t="shared" si="77"/>
        <v>0.16086</v>
      </c>
      <c r="O186" s="233">
        <f t="shared" si="77"/>
        <v>0.16086</v>
      </c>
      <c r="P186" s="233">
        <f t="shared" si="77"/>
        <v>0.16086</v>
      </c>
      <c r="Q186" s="233">
        <f t="shared" si="77"/>
        <v>0.16086</v>
      </c>
      <c r="R186" s="233">
        <f t="shared" si="77"/>
        <v>0.16086</v>
      </c>
      <c r="S186" s="233">
        <f t="shared" si="77"/>
        <v>0.16086</v>
      </c>
      <c r="T186" s="233">
        <f t="shared" si="77"/>
        <v>0.16086</v>
      </c>
      <c r="U186" s="233">
        <f t="shared" si="77"/>
        <v>0.16086</v>
      </c>
      <c r="V186" s="233">
        <f t="shared" si="78"/>
        <v>0.16086</v>
      </c>
      <c r="W186" s="233">
        <f t="shared" si="78"/>
        <v>0.16086</v>
      </c>
      <c r="X186" s="233">
        <f t="shared" si="78"/>
        <v>0.16086</v>
      </c>
      <c r="Y186" s="233">
        <f t="shared" si="78"/>
        <v>0.16086</v>
      </c>
      <c r="Z186" s="233">
        <f t="shared" si="78"/>
        <v>0.16086</v>
      </c>
      <c r="AA186" s="233">
        <f t="shared" si="78"/>
        <v>0.16086</v>
      </c>
      <c r="AB186" s="233">
        <f t="shared" si="78"/>
        <v>0.16086</v>
      </c>
      <c r="AC186" s="233">
        <f t="shared" si="78"/>
        <v>0.16086</v>
      </c>
      <c r="AD186" s="233">
        <f t="shared" si="78"/>
        <v>0.16086</v>
      </c>
      <c r="AE186" s="233">
        <f t="shared" si="78"/>
        <v>0.16086</v>
      </c>
      <c r="AF186" s="233">
        <f t="shared" si="78"/>
        <v>0.16086</v>
      </c>
      <c r="AG186" s="233">
        <f t="shared" si="78"/>
        <v>0.16086</v>
      </c>
      <c r="AH186" s="233">
        <f t="shared" si="78"/>
        <v>0.16086</v>
      </c>
      <c r="AI186" s="233">
        <f t="shared" si="78"/>
        <v>0.16086</v>
      </c>
      <c r="AJ186" s="233">
        <f t="shared" si="78"/>
        <v>0.16086</v>
      </c>
      <c r="AK186" s="233">
        <f t="shared" si="79"/>
        <v>0.16086</v>
      </c>
      <c r="AL186" s="233">
        <f t="shared" si="79"/>
        <v>0.16086</v>
      </c>
      <c r="AM186" s="233">
        <f t="shared" si="79"/>
        <v>0.16086</v>
      </c>
      <c r="AN186" s="233">
        <f t="shared" si="79"/>
        <v>0.16086</v>
      </c>
      <c r="AO186" s="233">
        <f t="shared" si="79"/>
        <v>0.16086</v>
      </c>
      <c r="AP186" s="233">
        <f t="shared" si="79"/>
        <v>0.16086</v>
      </c>
      <c r="AQ186" s="233">
        <f t="shared" si="79"/>
        <v>0.16086</v>
      </c>
      <c r="AR186" s="233">
        <f t="shared" si="79"/>
        <v>0.16086</v>
      </c>
      <c r="AS186" s="233">
        <f t="shared" si="79"/>
        <v>0.16086</v>
      </c>
      <c r="AT186" s="233">
        <f t="shared" si="79"/>
        <v>0.16086</v>
      </c>
      <c r="AU186" s="233">
        <f t="shared" si="79"/>
        <v>0.16086</v>
      </c>
    </row>
    <row r="187" spans="1:47">
      <c r="B187" s="151" t="s">
        <v>227</v>
      </c>
      <c r="C187" s="151"/>
      <c r="D187" s="232">
        <v>0.10696</v>
      </c>
      <c r="E187" s="233">
        <f>D187</f>
        <v>0.10696</v>
      </c>
      <c r="F187" s="233">
        <f t="shared" si="77"/>
        <v>0.10696</v>
      </c>
      <c r="G187" s="233">
        <f t="shared" si="77"/>
        <v>0.10696</v>
      </c>
      <c r="H187" s="233">
        <f t="shared" si="77"/>
        <v>0.10696</v>
      </c>
      <c r="I187" s="233">
        <f t="shared" si="77"/>
        <v>0.10696</v>
      </c>
      <c r="J187" s="233">
        <f t="shared" si="77"/>
        <v>0.10696</v>
      </c>
      <c r="K187" s="233">
        <f t="shared" si="77"/>
        <v>0.10696</v>
      </c>
      <c r="L187" s="233">
        <f t="shared" si="77"/>
        <v>0.10696</v>
      </c>
      <c r="M187" s="233">
        <f t="shared" si="77"/>
        <v>0.10696</v>
      </c>
      <c r="N187" s="233">
        <f t="shared" si="77"/>
        <v>0.10696</v>
      </c>
      <c r="O187" s="233">
        <f t="shared" si="77"/>
        <v>0.10696</v>
      </c>
      <c r="P187" s="233">
        <f t="shared" si="77"/>
        <v>0.10696</v>
      </c>
      <c r="Q187" s="233">
        <f t="shared" si="77"/>
        <v>0.10696</v>
      </c>
      <c r="R187" s="233">
        <f t="shared" si="77"/>
        <v>0.10696</v>
      </c>
      <c r="S187" s="233">
        <f t="shared" si="77"/>
        <v>0.10696</v>
      </c>
      <c r="T187" s="233">
        <f t="shared" si="77"/>
        <v>0.10696</v>
      </c>
      <c r="U187" s="233">
        <f t="shared" si="77"/>
        <v>0.10696</v>
      </c>
      <c r="V187" s="233">
        <f t="shared" si="78"/>
        <v>0.10696</v>
      </c>
      <c r="W187" s="233">
        <f t="shared" si="78"/>
        <v>0.10696</v>
      </c>
      <c r="X187" s="233">
        <f t="shared" si="78"/>
        <v>0.10696</v>
      </c>
      <c r="Y187" s="233">
        <f t="shared" si="78"/>
        <v>0.10696</v>
      </c>
      <c r="Z187" s="233">
        <f t="shared" si="78"/>
        <v>0.10696</v>
      </c>
      <c r="AA187" s="233">
        <f t="shared" si="78"/>
        <v>0.10696</v>
      </c>
      <c r="AB187" s="233">
        <f t="shared" si="78"/>
        <v>0.10696</v>
      </c>
      <c r="AC187" s="233">
        <f t="shared" si="78"/>
        <v>0.10696</v>
      </c>
      <c r="AD187" s="233">
        <f t="shared" si="78"/>
        <v>0.10696</v>
      </c>
      <c r="AE187" s="233">
        <f t="shared" si="78"/>
        <v>0.10696</v>
      </c>
      <c r="AF187" s="233">
        <f t="shared" si="78"/>
        <v>0.10696</v>
      </c>
      <c r="AG187" s="233">
        <f t="shared" si="78"/>
        <v>0.10696</v>
      </c>
      <c r="AH187" s="233">
        <f t="shared" si="78"/>
        <v>0.10696</v>
      </c>
      <c r="AI187" s="233">
        <f t="shared" si="78"/>
        <v>0.10696</v>
      </c>
      <c r="AJ187" s="233">
        <f t="shared" si="78"/>
        <v>0.10696</v>
      </c>
      <c r="AK187" s="233">
        <f t="shared" si="79"/>
        <v>0.10696</v>
      </c>
      <c r="AL187" s="233">
        <f t="shared" si="79"/>
        <v>0.10696</v>
      </c>
      <c r="AM187" s="233">
        <f t="shared" si="79"/>
        <v>0.10696</v>
      </c>
      <c r="AN187" s="233">
        <f t="shared" si="79"/>
        <v>0.10696</v>
      </c>
      <c r="AO187" s="233">
        <f t="shared" si="79"/>
        <v>0.10696</v>
      </c>
      <c r="AP187" s="233">
        <f t="shared" si="79"/>
        <v>0.10696</v>
      </c>
      <c r="AQ187" s="233">
        <f t="shared" si="79"/>
        <v>0.10696</v>
      </c>
      <c r="AR187" s="233">
        <f t="shared" si="79"/>
        <v>0.10696</v>
      </c>
      <c r="AS187" s="233">
        <f t="shared" si="79"/>
        <v>0.10696</v>
      </c>
      <c r="AT187" s="233">
        <f t="shared" si="79"/>
        <v>0.10696</v>
      </c>
      <c r="AU187" s="233">
        <f t="shared" si="79"/>
        <v>0.10696</v>
      </c>
    </row>
    <row r="188" spans="1:47">
      <c r="B188" s="151" t="s">
        <v>228</v>
      </c>
      <c r="C188" s="151"/>
      <c r="D188" s="232">
        <v>2.3630000000000002E-2</v>
      </c>
      <c r="E188" s="233">
        <f>D188</f>
        <v>2.3630000000000002E-2</v>
      </c>
      <c r="F188" s="233">
        <f t="shared" si="77"/>
        <v>2.3630000000000002E-2</v>
      </c>
      <c r="G188" s="233">
        <f t="shared" si="77"/>
        <v>2.3630000000000002E-2</v>
      </c>
      <c r="H188" s="233">
        <f t="shared" si="77"/>
        <v>2.3630000000000002E-2</v>
      </c>
      <c r="I188" s="233">
        <f t="shared" si="77"/>
        <v>2.3630000000000002E-2</v>
      </c>
      <c r="J188" s="233">
        <f t="shared" si="77"/>
        <v>2.3630000000000002E-2</v>
      </c>
      <c r="K188" s="233">
        <f t="shared" si="77"/>
        <v>2.3630000000000002E-2</v>
      </c>
      <c r="L188" s="233">
        <f t="shared" si="77"/>
        <v>2.3630000000000002E-2</v>
      </c>
      <c r="M188" s="233">
        <f t="shared" si="77"/>
        <v>2.3630000000000002E-2</v>
      </c>
      <c r="N188" s="233">
        <f t="shared" si="77"/>
        <v>2.3630000000000002E-2</v>
      </c>
      <c r="O188" s="233">
        <f t="shared" si="77"/>
        <v>2.3630000000000002E-2</v>
      </c>
      <c r="P188" s="233">
        <f t="shared" si="77"/>
        <v>2.3630000000000002E-2</v>
      </c>
      <c r="Q188" s="233">
        <f t="shared" si="77"/>
        <v>2.3630000000000002E-2</v>
      </c>
      <c r="R188" s="233">
        <f t="shared" si="77"/>
        <v>2.3630000000000002E-2</v>
      </c>
      <c r="S188" s="233">
        <f t="shared" si="77"/>
        <v>2.3630000000000002E-2</v>
      </c>
      <c r="T188" s="233">
        <f t="shared" si="77"/>
        <v>2.3630000000000002E-2</v>
      </c>
      <c r="U188" s="233">
        <f t="shared" si="77"/>
        <v>2.3630000000000002E-2</v>
      </c>
      <c r="V188" s="233">
        <f t="shared" si="78"/>
        <v>2.3630000000000002E-2</v>
      </c>
      <c r="W188" s="233">
        <f t="shared" si="78"/>
        <v>2.3630000000000002E-2</v>
      </c>
      <c r="X188" s="233">
        <f t="shared" si="78"/>
        <v>2.3630000000000002E-2</v>
      </c>
      <c r="Y188" s="233">
        <f t="shared" si="78"/>
        <v>2.3630000000000002E-2</v>
      </c>
      <c r="Z188" s="233">
        <f t="shared" si="78"/>
        <v>2.3630000000000002E-2</v>
      </c>
      <c r="AA188" s="233">
        <f t="shared" si="78"/>
        <v>2.3630000000000002E-2</v>
      </c>
      <c r="AB188" s="233">
        <f t="shared" si="78"/>
        <v>2.3630000000000002E-2</v>
      </c>
      <c r="AC188" s="233">
        <f t="shared" si="78"/>
        <v>2.3630000000000002E-2</v>
      </c>
      <c r="AD188" s="233">
        <f t="shared" si="78"/>
        <v>2.3630000000000002E-2</v>
      </c>
      <c r="AE188" s="233">
        <f t="shared" si="78"/>
        <v>2.3630000000000002E-2</v>
      </c>
      <c r="AF188" s="233">
        <f t="shared" si="78"/>
        <v>2.3630000000000002E-2</v>
      </c>
      <c r="AG188" s="233">
        <f t="shared" si="78"/>
        <v>2.3630000000000002E-2</v>
      </c>
      <c r="AH188" s="233">
        <f t="shared" si="78"/>
        <v>2.3630000000000002E-2</v>
      </c>
      <c r="AI188" s="233">
        <f t="shared" si="78"/>
        <v>2.3630000000000002E-2</v>
      </c>
      <c r="AJ188" s="233">
        <f t="shared" si="78"/>
        <v>2.3630000000000002E-2</v>
      </c>
      <c r="AK188" s="233">
        <f t="shared" si="79"/>
        <v>2.3630000000000002E-2</v>
      </c>
      <c r="AL188" s="233">
        <f t="shared" si="79"/>
        <v>2.3630000000000002E-2</v>
      </c>
      <c r="AM188" s="233">
        <f t="shared" si="79"/>
        <v>2.3630000000000002E-2</v>
      </c>
      <c r="AN188" s="233">
        <f t="shared" si="79"/>
        <v>2.3630000000000002E-2</v>
      </c>
      <c r="AO188" s="233">
        <f t="shared" si="79"/>
        <v>2.3630000000000002E-2</v>
      </c>
      <c r="AP188" s="233">
        <f t="shared" si="79"/>
        <v>2.3630000000000002E-2</v>
      </c>
      <c r="AQ188" s="233">
        <f t="shared" si="79"/>
        <v>2.3630000000000002E-2</v>
      </c>
      <c r="AR188" s="233">
        <f t="shared" si="79"/>
        <v>2.3630000000000002E-2</v>
      </c>
      <c r="AS188" s="233">
        <f t="shared" si="79"/>
        <v>2.3630000000000002E-2</v>
      </c>
      <c r="AT188" s="233">
        <f t="shared" si="79"/>
        <v>2.3630000000000002E-2</v>
      </c>
      <c r="AU188" s="233">
        <f t="shared" si="79"/>
        <v>2.3630000000000002E-2</v>
      </c>
    </row>
    <row r="189" spans="1:47">
      <c r="B189" s="151"/>
      <c r="C189" s="151"/>
      <c r="D189" s="232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</row>
    <row r="190" spans="1:47">
      <c r="B190" s="151" t="s">
        <v>239</v>
      </c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</row>
    <row r="191" spans="1:47">
      <c r="B191" s="151" t="str">
        <f>B185</f>
        <v>1st</v>
      </c>
      <c r="C191" s="151"/>
      <c r="D191" s="17">
        <f t="shared" ref="D191:AU194" si="80">D177*D185</f>
        <v>0</v>
      </c>
      <c r="E191" s="17">
        <f t="shared" si="80"/>
        <v>0</v>
      </c>
      <c r="F191" s="17">
        <f t="shared" si="80"/>
        <v>0</v>
      </c>
      <c r="G191" s="17">
        <f t="shared" si="80"/>
        <v>0</v>
      </c>
      <c r="H191" s="17">
        <f t="shared" si="80"/>
        <v>0</v>
      </c>
      <c r="I191" s="17">
        <f t="shared" si="80"/>
        <v>0</v>
      </c>
      <c r="J191" s="17">
        <f t="shared" si="80"/>
        <v>0</v>
      </c>
      <c r="K191" s="17">
        <f t="shared" si="80"/>
        <v>0</v>
      </c>
      <c r="L191" s="17">
        <f t="shared" si="80"/>
        <v>0</v>
      </c>
      <c r="M191" s="17">
        <f t="shared" si="80"/>
        <v>0</v>
      </c>
      <c r="N191" s="17">
        <f t="shared" si="80"/>
        <v>0</v>
      </c>
      <c r="O191" s="17">
        <f t="shared" si="80"/>
        <v>0</v>
      </c>
      <c r="P191" s="17">
        <f t="shared" si="80"/>
        <v>0</v>
      </c>
      <c r="Q191" s="17">
        <f t="shared" si="80"/>
        <v>0</v>
      </c>
      <c r="R191" s="17">
        <f t="shared" si="80"/>
        <v>0</v>
      </c>
      <c r="S191" s="17">
        <f t="shared" si="80"/>
        <v>0</v>
      </c>
      <c r="T191" s="17">
        <f t="shared" si="80"/>
        <v>0</v>
      </c>
      <c r="U191" s="17">
        <f t="shared" si="80"/>
        <v>0</v>
      </c>
      <c r="V191" s="17">
        <f t="shared" si="80"/>
        <v>0</v>
      </c>
      <c r="W191" s="17">
        <f t="shared" si="80"/>
        <v>0</v>
      </c>
      <c r="X191" s="17">
        <f t="shared" si="80"/>
        <v>0</v>
      </c>
      <c r="Y191" s="17">
        <f t="shared" si="80"/>
        <v>0</v>
      </c>
      <c r="Z191" s="17">
        <f t="shared" si="80"/>
        <v>0</v>
      </c>
      <c r="AA191" s="17">
        <f t="shared" si="80"/>
        <v>0</v>
      </c>
      <c r="AB191" s="17">
        <f t="shared" si="80"/>
        <v>0</v>
      </c>
      <c r="AC191" s="17">
        <f t="shared" si="80"/>
        <v>0</v>
      </c>
      <c r="AD191" s="17">
        <f t="shared" si="80"/>
        <v>0</v>
      </c>
      <c r="AE191" s="17">
        <f t="shared" si="80"/>
        <v>0</v>
      </c>
      <c r="AF191" s="17">
        <f t="shared" si="80"/>
        <v>0</v>
      </c>
      <c r="AG191" s="17">
        <f t="shared" si="80"/>
        <v>0</v>
      </c>
      <c r="AH191" s="17">
        <f t="shared" si="80"/>
        <v>0</v>
      </c>
      <c r="AI191" s="17">
        <f t="shared" si="80"/>
        <v>0</v>
      </c>
      <c r="AJ191" s="17">
        <f t="shared" si="80"/>
        <v>0</v>
      </c>
      <c r="AK191" s="17">
        <f t="shared" si="80"/>
        <v>0</v>
      </c>
      <c r="AL191" s="17">
        <f t="shared" si="80"/>
        <v>0</v>
      </c>
      <c r="AM191" s="17">
        <f t="shared" si="80"/>
        <v>0</v>
      </c>
      <c r="AN191" s="17">
        <f t="shared" si="80"/>
        <v>0</v>
      </c>
      <c r="AO191" s="17">
        <f t="shared" si="80"/>
        <v>0</v>
      </c>
      <c r="AP191" s="17">
        <f t="shared" si="80"/>
        <v>0</v>
      </c>
      <c r="AQ191" s="17">
        <f t="shared" si="80"/>
        <v>0</v>
      </c>
      <c r="AR191" s="17">
        <f t="shared" si="80"/>
        <v>0</v>
      </c>
      <c r="AS191" s="17">
        <f t="shared" si="80"/>
        <v>0</v>
      </c>
      <c r="AT191" s="17">
        <f t="shared" si="80"/>
        <v>0</v>
      </c>
      <c r="AU191" s="17">
        <f t="shared" si="80"/>
        <v>0</v>
      </c>
    </row>
    <row r="192" spans="1:47">
      <c r="B192" s="151" t="str">
        <f>B186</f>
        <v>2nd</v>
      </c>
      <c r="C192" s="151"/>
      <c r="D192" s="17">
        <f t="shared" si="80"/>
        <v>0</v>
      </c>
      <c r="E192" s="17">
        <f t="shared" si="80"/>
        <v>0</v>
      </c>
      <c r="F192" s="17">
        <f t="shared" si="80"/>
        <v>0</v>
      </c>
      <c r="G192" s="17">
        <f t="shared" si="80"/>
        <v>0</v>
      </c>
      <c r="H192" s="17">
        <f t="shared" si="80"/>
        <v>0</v>
      </c>
      <c r="I192" s="17">
        <f t="shared" si="80"/>
        <v>0</v>
      </c>
      <c r="J192" s="17">
        <f t="shared" si="80"/>
        <v>0</v>
      </c>
      <c r="K192" s="17">
        <f t="shared" si="80"/>
        <v>0</v>
      </c>
      <c r="L192" s="17">
        <f t="shared" si="80"/>
        <v>0</v>
      </c>
      <c r="M192" s="17">
        <f t="shared" si="80"/>
        <v>0</v>
      </c>
      <c r="N192" s="17">
        <f t="shared" si="80"/>
        <v>0</v>
      </c>
      <c r="O192" s="17">
        <f t="shared" si="80"/>
        <v>0</v>
      </c>
      <c r="P192" s="17">
        <f t="shared" si="80"/>
        <v>0</v>
      </c>
      <c r="Q192" s="17">
        <f t="shared" si="80"/>
        <v>0</v>
      </c>
      <c r="R192" s="17">
        <f t="shared" si="80"/>
        <v>0</v>
      </c>
      <c r="S192" s="17">
        <f t="shared" si="80"/>
        <v>0</v>
      </c>
      <c r="T192" s="17">
        <f t="shared" si="80"/>
        <v>0</v>
      </c>
      <c r="U192" s="17">
        <f t="shared" si="80"/>
        <v>0</v>
      </c>
      <c r="V192" s="17">
        <f t="shared" si="80"/>
        <v>0</v>
      </c>
      <c r="W192" s="17">
        <f t="shared" si="80"/>
        <v>0</v>
      </c>
      <c r="X192" s="17">
        <f t="shared" si="80"/>
        <v>0</v>
      </c>
      <c r="Y192" s="17">
        <f t="shared" si="80"/>
        <v>0</v>
      </c>
      <c r="Z192" s="17">
        <f t="shared" si="80"/>
        <v>0</v>
      </c>
      <c r="AA192" s="17">
        <f t="shared" si="80"/>
        <v>0</v>
      </c>
      <c r="AB192" s="17">
        <f t="shared" si="80"/>
        <v>0</v>
      </c>
      <c r="AC192" s="17">
        <f t="shared" si="80"/>
        <v>0</v>
      </c>
      <c r="AD192" s="17">
        <f t="shared" si="80"/>
        <v>0</v>
      </c>
      <c r="AE192" s="17">
        <f t="shared" si="80"/>
        <v>0</v>
      </c>
      <c r="AF192" s="17">
        <f t="shared" si="80"/>
        <v>0</v>
      </c>
      <c r="AG192" s="17">
        <f t="shared" si="80"/>
        <v>0</v>
      </c>
      <c r="AH192" s="17">
        <f t="shared" si="80"/>
        <v>0</v>
      </c>
      <c r="AI192" s="17">
        <f t="shared" si="80"/>
        <v>0</v>
      </c>
      <c r="AJ192" s="17">
        <f t="shared" si="80"/>
        <v>0</v>
      </c>
      <c r="AK192" s="17">
        <f t="shared" si="80"/>
        <v>0</v>
      </c>
      <c r="AL192" s="17">
        <f t="shared" si="80"/>
        <v>0</v>
      </c>
      <c r="AM192" s="17">
        <f t="shared" si="80"/>
        <v>0</v>
      </c>
      <c r="AN192" s="17">
        <f t="shared" si="80"/>
        <v>0</v>
      </c>
      <c r="AO192" s="17">
        <f t="shared" si="80"/>
        <v>0</v>
      </c>
      <c r="AP192" s="17">
        <f t="shared" si="80"/>
        <v>0</v>
      </c>
      <c r="AQ192" s="17">
        <f t="shared" si="80"/>
        <v>0</v>
      </c>
      <c r="AR192" s="17">
        <f t="shared" si="80"/>
        <v>0</v>
      </c>
      <c r="AS192" s="17">
        <f t="shared" si="80"/>
        <v>0</v>
      </c>
      <c r="AT192" s="17">
        <f t="shared" si="80"/>
        <v>0</v>
      </c>
      <c r="AU192" s="17">
        <f t="shared" si="80"/>
        <v>0</v>
      </c>
    </row>
    <row r="193" spans="1:50">
      <c r="B193" s="151" t="str">
        <f>B187</f>
        <v>3rd</v>
      </c>
      <c r="C193" s="151"/>
      <c r="D193" s="17">
        <f t="shared" si="80"/>
        <v>0</v>
      </c>
      <c r="E193" s="17">
        <f t="shared" si="80"/>
        <v>0</v>
      </c>
      <c r="F193" s="17">
        <f t="shared" si="80"/>
        <v>0</v>
      </c>
      <c r="G193" s="17">
        <f t="shared" si="80"/>
        <v>0</v>
      </c>
      <c r="H193" s="17">
        <f t="shared" si="80"/>
        <v>0</v>
      </c>
      <c r="I193" s="17">
        <f t="shared" si="80"/>
        <v>0</v>
      </c>
      <c r="J193" s="17">
        <f t="shared" si="80"/>
        <v>0</v>
      </c>
      <c r="K193" s="17">
        <f t="shared" si="80"/>
        <v>0</v>
      </c>
      <c r="L193" s="17">
        <f t="shared" si="80"/>
        <v>0</v>
      </c>
      <c r="M193" s="17">
        <f t="shared" si="80"/>
        <v>0</v>
      </c>
      <c r="N193" s="17">
        <f t="shared" si="80"/>
        <v>0</v>
      </c>
      <c r="O193" s="17">
        <f t="shared" si="80"/>
        <v>0</v>
      </c>
      <c r="P193" s="17">
        <f t="shared" si="80"/>
        <v>0</v>
      </c>
      <c r="Q193" s="17">
        <f t="shared" si="80"/>
        <v>0</v>
      </c>
      <c r="R193" s="17">
        <f t="shared" si="80"/>
        <v>0</v>
      </c>
      <c r="S193" s="17">
        <f t="shared" si="80"/>
        <v>0</v>
      </c>
      <c r="T193" s="17">
        <f t="shared" si="80"/>
        <v>0</v>
      </c>
      <c r="U193" s="17">
        <f t="shared" si="80"/>
        <v>0</v>
      </c>
      <c r="V193" s="17">
        <f t="shared" si="80"/>
        <v>0</v>
      </c>
      <c r="W193" s="17">
        <f t="shared" si="80"/>
        <v>0</v>
      </c>
      <c r="X193" s="17">
        <f t="shared" si="80"/>
        <v>0</v>
      </c>
      <c r="Y193" s="17">
        <f t="shared" si="80"/>
        <v>0</v>
      </c>
      <c r="Z193" s="17">
        <f t="shared" si="80"/>
        <v>0</v>
      </c>
      <c r="AA193" s="17">
        <f t="shared" si="80"/>
        <v>0</v>
      </c>
      <c r="AB193" s="17">
        <f t="shared" si="80"/>
        <v>0</v>
      </c>
      <c r="AC193" s="17">
        <f t="shared" si="80"/>
        <v>0</v>
      </c>
      <c r="AD193" s="17">
        <f t="shared" si="80"/>
        <v>0</v>
      </c>
      <c r="AE193" s="17">
        <f t="shared" si="80"/>
        <v>0</v>
      </c>
      <c r="AF193" s="17">
        <f t="shared" si="80"/>
        <v>0</v>
      </c>
      <c r="AG193" s="17">
        <f t="shared" si="80"/>
        <v>0</v>
      </c>
      <c r="AH193" s="17">
        <f t="shared" si="80"/>
        <v>0</v>
      </c>
      <c r="AI193" s="17">
        <f t="shared" si="80"/>
        <v>0</v>
      </c>
      <c r="AJ193" s="17">
        <f t="shared" si="80"/>
        <v>0</v>
      </c>
      <c r="AK193" s="17">
        <f t="shared" si="80"/>
        <v>0</v>
      </c>
      <c r="AL193" s="17">
        <f t="shared" si="80"/>
        <v>0</v>
      </c>
      <c r="AM193" s="17">
        <f t="shared" si="80"/>
        <v>0</v>
      </c>
      <c r="AN193" s="17">
        <f t="shared" si="80"/>
        <v>0</v>
      </c>
      <c r="AO193" s="17">
        <f t="shared" si="80"/>
        <v>0</v>
      </c>
      <c r="AP193" s="17">
        <f t="shared" si="80"/>
        <v>0</v>
      </c>
      <c r="AQ193" s="17">
        <f t="shared" si="80"/>
        <v>0</v>
      </c>
      <c r="AR193" s="17">
        <f t="shared" si="80"/>
        <v>0</v>
      </c>
      <c r="AS193" s="17">
        <f t="shared" si="80"/>
        <v>0</v>
      </c>
      <c r="AT193" s="17">
        <f t="shared" si="80"/>
        <v>0</v>
      </c>
      <c r="AU193" s="17">
        <f t="shared" si="80"/>
        <v>0</v>
      </c>
    </row>
    <row r="194" spans="1:50">
      <c r="B194" s="151" t="str">
        <f>B188</f>
        <v>4th</v>
      </c>
      <c r="C194" s="151"/>
      <c r="D194" s="17">
        <f t="shared" si="80"/>
        <v>0</v>
      </c>
      <c r="E194" s="17">
        <f t="shared" si="80"/>
        <v>0</v>
      </c>
      <c r="F194" s="17">
        <f t="shared" si="80"/>
        <v>0</v>
      </c>
      <c r="G194" s="17">
        <f t="shared" si="80"/>
        <v>0</v>
      </c>
      <c r="H194" s="17">
        <f t="shared" si="80"/>
        <v>0</v>
      </c>
      <c r="I194" s="17">
        <f t="shared" si="80"/>
        <v>0</v>
      </c>
      <c r="J194" s="17">
        <f t="shared" si="80"/>
        <v>0</v>
      </c>
      <c r="K194" s="17">
        <f t="shared" si="80"/>
        <v>0</v>
      </c>
      <c r="L194" s="17">
        <f t="shared" si="80"/>
        <v>0</v>
      </c>
      <c r="M194" s="17">
        <f t="shared" si="80"/>
        <v>0</v>
      </c>
      <c r="N194" s="17">
        <f t="shared" si="80"/>
        <v>0</v>
      </c>
      <c r="O194" s="17">
        <f t="shared" si="80"/>
        <v>0</v>
      </c>
      <c r="P194" s="17">
        <f t="shared" si="80"/>
        <v>0</v>
      </c>
      <c r="Q194" s="17">
        <f t="shared" si="80"/>
        <v>0</v>
      </c>
      <c r="R194" s="17">
        <f t="shared" si="80"/>
        <v>0</v>
      </c>
      <c r="S194" s="17">
        <f t="shared" si="80"/>
        <v>0</v>
      </c>
      <c r="T194" s="17">
        <f t="shared" si="80"/>
        <v>0</v>
      </c>
      <c r="U194" s="17">
        <f t="shared" si="80"/>
        <v>0</v>
      </c>
      <c r="V194" s="17">
        <f t="shared" si="80"/>
        <v>0</v>
      </c>
      <c r="W194" s="17">
        <f t="shared" si="80"/>
        <v>0</v>
      </c>
      <c r="X194" s="17">
        <f t="shared" si="80"/>
        <v>0</v>
      </c>
      <c r="Y194" s="17">
        <f t="shared" si="80"/>
        <v>0</v>
      </c>
      <c r="Z194" s="17">
        <f t="shared" si="80"/>
        <v>0</v>
      </c>
      <c r="AA194" s="17">
        <f t="shared" si="80"/>
        <v>0</v>
      </c>
      <c r="AB194" s="17">
        <f t="shared" si="80"/>
        <v>0</v>
      </c>
      <c r="AC194" s="17">
        <f t="shared" si="80"/>
        <v>0</v>
      </c>
      <c r="AD194" s="17">
        <f t="shared" si="80"/>
        <v>0</v>
      </c>
      <c r="AE194" s="17">
        <f t="shared" si="80"/>
        <v>0</v>
      </c>
      <c r="AF194" s="17">
        <f t="shared" si="80"/>
        <v>0</v>
      </c>
      <c r="AG194" s="17">
        <f t="shared" si="80"/>
        <v>0</v>
      </c>
      <c r="AH194" s="17">
        <f t="shared" si="80"/>
        <v>0</v>
      </c>
      <c r="AI194" s="17">
        <f t="shared" si="80"/>
        <v>0</v>
      </c>
      <c r="AJ194" s="17">
        <f t="shared" si="80"/>
        <v>0</v>
      </c>
      <c r="AK194" s="17">
        <f t="shared" si="80"/>
        <v>0</v>
      </c>
      <c r="AL194" s="17">
        <f t="shared" si="80"/>
        <v>0</v>
      </c>
      <c r="AM194" s="17">
        <f t="shared" si="80"/>
        <v>0</v>
      </c>
      <c r="AN194" s="17">
        <f t="shared" si="80"/>
        <v>0</v>
      </c>
      <c r="AO194" s="17">
        <f t="shared" si="80"/>
        <v>0</v>
      </c>
      <c r="AP194" s="17">
        <f t="shared" si="80"/>
        <v>0</v>
      </c>
      <c r="AQ194" s="17">
        <f t="shared" si="80"/>
        <v>0</v>
      </c>
      <c r="AR194" s="17">
        <f t="shared" si="80"/>
        <v>0</v>
      </c>
      <c r="AS194" s="17">
        <f t="shared" si="80"/>
        <v>0</v>
      </c>
      <c r="AT194" s="17">
        <f t="shared" si="80"/>
        <v>0</v>
      </c>
      <c r="AU194" s="17">
        <f t="shared" si="80"/>
        <v>0</v>
      </c>
    </row>
    <row r="195" spans="1:50">
      <c r="A195" s="20"/>
      <c r="B195" s="18" t="s">
        <v>37</v>
      </c>
      <c r="C195" s="151"/>
      <c r="D195" s="234">
        <f t="shared" ref="D195:AU195" si="81">SUM(D191:D194)</f>
        <v>0</v>
      </c>
      <c r="E195" s="234">
        <f t="shared" si="81"/>
        <v>0</v>
      </c>
      <c r="F195" s="234">
        <f t="shared" si="81"/>
        <v>0</v>
      </c>
      <c r="G195" s="234">
        <f t="shared" si="81"/>
        <v>0</v>
      </c>
      <c r="H195" s="234">
        <f t="shared" si="81"/>
        <v>0</v>
      </c>
      <c r="I195" s="234">
        <f t="shared" si="81"/>
        <v>0</v>
      </c>
      <c r="J195" s="234">
        <f t="shared" si="81"/>
        <v>0</v>
      </c>
      <c r="K195" s="234">
        <f t="shared" si="81"/>
        <v>0</v>
      </c>
      <c r="L195" s="234">
        <f t="shared" si="81"/>
        <v>0</v>
      </c>
      <c r="M195" s="234">
        <f t="shared" si="81"/>
        <v>0</v>
      </c>
      <c r="N195" s="234">
        <f t="shared" si="81"/>
        <v>0</v>
      </c>
      <c r="O195" s="234">
        <f t="shared" si="81"/>
        <v>0</v>
      </c>
      <c r="P195" s="234">
        <f t="shared" si="81"/>
        <v>0</v>
      </c>
      <c r="Q195" s="234">
        <f t="shared" si="81"/>
        <v>0</v>
      </c>
      <c r="R195" s="234">
        <f t="shared" si="81"/>
        <v>0</v>
      </c>
      <c r="S195" s="234">
        <f t="shared" si="81"/>
        <v>0</v>
      </c>
      <c r="T195" s="234">
        <f t="shared" si="81"/>
        <v>0</v>
      </c>
      <c r="U195" s="234">
        <f t="shared" si="81"/>
        <v>0</v>
      </c>
      <c r="V195" s="234">
        <f t="shared" si="81"/>
        <v>0</v>
      </c>
      <c r="W195" s="234">
        <f t="shared" si="81"/>
        <v>0</v>
      </c>
      <c r="X195" s="234">
        <f t="shared" si="81"/>
        <v>0</v>
      </c>
      <c r="Y195" s="234">
        <f t="shared" si="81"/>
        <v>0</v>
      </c>
      <c r="Z195" s="234">
        <f t="shared" si="81"/>
        <v>0</v>
      </c>
      <c r="AA195" s="234">
        <f t="shared" si="81"/>
        <v>0</v>
      </c>
      <c r="AB195" s="234">
        <f t="shared" si="81"/>
        <v>0</v>
      </c>
      <c r="AC195" s="234">
        <f t="shared" si="81"/>
        <v>0</v>
      </c>
      <c r="AD195" s="234">
        <f t="shared" si="81"/>
        <v>0</v>
      </c>
      <c r="AE195" s="234">
        <f t="shared" si="81"/>
        <v>0</v>
      </c>
      <c r="AF195" s="234">
        <f t="shared" si="81"/>
        <v>0</v>
      </c>
      <c r="AG195" s="234">
        <f t="shared" si="81"/>
        <v>0</v>
      </c>
      <c r="AH195" s="234">
        <f t="shared" si="81"/>
        <v>0</v>
      </c>
      <c r="AI195" s="234">
        <f t="shared" si="81"/>
        <v>0</v>
      </c>
      <c r="AJ195" s="234">
        <f t="shared" si="81"/>
        <v>0</v>
      </c>
      <c r="AK195" s="234">
        <f t="shared" si="81"/>
        <v>0</v>
      </c>
      <c r="AL195" s="234">
        <f t="shared" si="81"/>
        <v>0</v>
      </c>
      <c r="AM195" s="234">
        <f t="shared" si="81"/>
        <v>0</v>
      </c>
      <c r="AN195" s="234">
        <f t="shared" si="81"/>
        <v>0</v>
      </c>
      <c r="AO195" s="234">
        <f t="shared" si="81"/>
        <v>0</v>
      </c>
      <c r="AP195" s="234">
        <f t="shared" si="81"/>
        <v>0</v>
      </c>
      <c r="AQ195" s="234">
        <f t="shared" si="81"/>
        <v>0</v>
      </c>
      <c r="AR195" s="234">
        <f t="shared" si="81"/>
        <v>0</v>
      </c>
      <c r="AS195" s="234">
        <f t="shared" si="81"/>
        <v>0</v>
      </c>
      <c r="AT195" s="234">
        <f t="shared" si="81"/>
        <v>0</v>
      </c>
      <c r="AU195" s="234">
        <f t="shared" si="81"/>
        <v>0</v>
      </c>
    </row>
    <row r="196" spans="1:50">
      <c r="A196" s="20"/>
      <c r="B196" s="20"/>
      <c r="C196" s="151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</row>
    <row r="197" spans="1:50">
      <c r="B197" s="235" t="s">
        <v>240</v>
      </c>
      <c r="C197" s="236"/>
      <c r="D197" s="237">
        <f t="shared" ref="D197:AU197" si="82">D195*12</f>
        <v>0</v>
      </c>
      <c r="E197" s="237">
        <f t="shared" si="82"/>
        <v>0</v>
      </c>
      <c r="F197" s="237">
        <f t="shared" si="82"/>
        <v>0</v>
      </c>
      <c r="G197" s="237">
        <f t="shared" si="82"/>
        <v>0</v>
      </c>
      <c r="H197" s="237">
        <f t="shared" si="82"/>
        <v>0</v>
      </c>
      <c r="I197" s="237">
        <f t="shared" si="82"/>
        <v>0</v>
      </c>
      <c r="J197" s="237">
        <f t="shared" si="82"/>
        <v>0</v>
      </c>
      <c r="K197" s="237">
        <f t="shared" si="82"/>
        <v>0</v>
      </c>
      <c r="L197" s="237">
        <f t="shared" si="82"/>
        <v>0</v>
      </c>
      <c r="M197" s="237">
        <f t="shared" si="82"/>
        <v>0</v>
      </c>
      <c r="N197" s="237">
        <f t="shared" si="82"/>
        <v>0</v>
      </c>
      <c r="O197" s="237">
        <f t="shared" si="82"/>
        <v>0</v>
      </c>
      <c r="P197" s="237">
        <f t="shared" si="82"/>
        <v>0</v>
      </c>
      <c r="Q197" s="237">
        <f t="shared" si="82"/>
        <v>0</v>
      </c>
      <c r="R197" s="237">
        <f t="shared" si="82"/>
        <v>0</v>
      </c>
      <c r="S197" s="237">
        <f t="shared" si="82"/>
        <v>0</v>
      </c>
      <c r="T197" s="237">
        <f t="shared" si="82"/>
        <v>0</v>
      </c>
      <c r="U197" s="237">
        <f t="shared" si="82"/>
        <v>0</v>
      </c>
      <c r="V197" s="237">
        <f t="shared" si="82"/>
        <v>0</v>
      </c>
      <c r="W197" s="237">
        <f t="shared" si="82"/>
        <v>0</v>
      </c>
      <c r="X197" s="237">
        <f t="shared" si="82"/>
        <v>0</v>
      </c>
      <c r="Y197" s="237">
        <f t="shared" si="82"/>
        <v>0</v>
      </c>
      <c r="Z197" s="237">
        <f t="shared" si="82"/>
        <v>0</v>
      </c>
      <c r="AA197" s="237">
        <f t="shared" si="82"/>
        <v>0</v>
      </c>
      <c r="AB197" s="237">
        <f t="shared" si="82"/>
        <v>0</v>
      </c>
      <c r="AC197" s="237">
        <f t="shared" si="82"/>
        <v>0</v>
      </c>
      <c r="AD197" s="237">
        <f t="shared" si="82"/>
        <v>0</v>
      </c>
      <c r="AE197" s="237">
        <f t="shared" si="82"/>
        <v>0</v>
      </c>
      <c r="AF197" s="237">
        <f t="shared" si="82"/>
        <v>0</v>
      </c>
      <c r="AG197" s="237">
        <f t="shared" si="82"/>
        <v>0</v>
      </c>
      <c r="AH197" s="237">
        <f t="shared" si="82"/>
        <v>0</v>
      </c>
      <c r="AI197" s="237">
        <f t="shared" si="82"/>
        <v>0</v>
      </c>
      <c r="AJ197" s="237">
        <f t="shared" si="82"/>
        <v>0</v>
      </c>
      <c r="AK197" s="237">
        <f t="shared" si="82"/>
        <v>0</v>
      </c>
      <c r="AL197" s="237">
        <f t="shared" si="82"/>
        <v>0</v>
      </c>
      <c r="AM197" s="237">
        <f t="shared" si="82"/>
        <v>0</v>
      </c>
      <c r="AN197" s="237">
        <f t="shared" si="82"/>
        <v>0</v>
      </c>
      <c r="AO197" s="237">
        <f t="shared" si="82"/>
        <v>0</v>
      </c>
      <c r="AP197" s="237">
        <f t="shared" si="82"/>
        <v>0</v>
      </c>
      <c r="AQ197" s="237">
        <f t="shared" si="82"/>
        <v>0</v>
      </c>
      <c r="AR197" s="237">
        <f t="shared" si="82"/>
        <v>0</v>
      </c>
      <c r="AS197" s="237">
        <f t="shared" si="82"/>
        <v>0</v>
      </c>
      <c r="AT197" s="237">
        <f t="shared" si="82"/>
        <v>0</v>
      </c>
      <c r="AU197" s="237">
        <f t="shared" si="82"/>
        <v>0</v>
      </c>
    </row>
    <row r="198" spans="1:50">
      <c r="C198" s="151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</row>
    <row r="199" spans="1:50" ht="11.25" customHeight="1">
      <c r="D199" s="238"/>
      <c r="E199" s="238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238"/>
      <c r="AN199" s="238"/>
      <c r="AO199" s="238"/>
      <c r="AP199" s="238"/>
      <c r="AQ199" s="238"/>
      <c r="AR199" s="238"/>
      <c r="AS199" s="238"/>
      <c r="AT199" s="238"/>
      <c r="AU199" s="238"/>
    </row>
    <row r="200" spans="1:50" ht="12" customHeight="1">
      <c r="B200" s="170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136"/>
      <c r="AW200" s="136"/>
      <c r="AX200" s="136"/>
    </row>
    <row r="201" spans="1:50" ht="11.25" customHeight="1">
      <c r="B201" s="239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</row>
    <row r="202" spans="1:50" ht="11.25" customHeight="1"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  <c r="AJ202" s="238"/>
      <c r="AK202" s="238"/>
      <c r="AL202" s="238"/>
      <c r="AM202" s="238"/>
      <c r="AN202" s="238"/>
      <c r="AO202" s="238"/>
      <c r="AP202" s="238"/>
      <c r="AQ202" s="238"/>
      <c r="AR202" s="238"/>
      <c r="AS202" s="238"/>
      <c r="AT202" s="238"/>
      <c r="AU202" s="238"/>
    </row>
    <row r="203" spans="1:50">
      <c r="B203" s="151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</row>
    <row r="204" spans="1:50">
      <c r="B204" s="236"/>
      <c r="C204" s="15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  <c r="AR204" s="241"/>
      <c r="AS204" s="241"/>
      <c r="AT204" s="241"/>
      <c r="AU204" s="241"/>
    </row>
    <row r="205" spans="1:50">
      <c r="B205" s="151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</row>
    <row r="206" spans="1:50">
      <c r="B206" s="151"/>
      <c r="C206" s="242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</row>
    <row r="207" spans="1:50">
      <c r="B207" s="151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43"/>
      <c r="AT207" s="243"/>
      <c r="AU207" s="243"/>
    </row>
    <row r="208" spans="1:50">
      <c r="B208" s="151"/>
      <c r="C208" s="15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151"/>
      <c r="Y208" s="151"/>
      <c r="Z208" s="151"/>
      <c r="AA208" s="151"/>
      <c r="AB208" s="151"/>
    </row>
    <row r="209" spans="1:47">
      <c r="C209" s="151"/>
      <c r="D209" s="241"/>
      <c r="E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151"/>
      <c r="Y209" s="151"/>
      <c r="Z209" s="151"/>
      <c r="AA209" s="151"/>
      <c r="AB209" s="151"/>
    </row>
    <row r="210" spans="1:47">
      <c r="A210" s="171" t="s">
        <v>142</v>
      </c>
      <c r="B210" s="166" t="s">
        <v>143</v>
      </c>
      <c r="C210" s="166"/>
      <c r="D210" s="166">
        <v>1</v>
      </c>
      <c r="E210" s="166">
        <f>D210+1</f>
        <v>2</v>
      </c>
      <c r="F210" s="166">
        <f t="shared" ref="F210:AU210" si="83">E210+1</f>
        <v>3</v>
      </c>
      <c r="G210" s="166">
        <f t="shared" si="83"/>
        <v>4</v>
      </c>
      <c r="H210" s="166">
        <f t="shared" si="83"/>
        <v>5</v>
      </c>
      <c r="I210" s="166">
        <f t="shared" si="83"/>
        <v>6</v>
      </c>
      <c r="J210" s="166">
        <f t="shared" si="83"/>
        <v>7</v>
      </c>
      <c r="K210" s="166">
        <f t="shared" si="83"/>
        <v>8</v>
      </c>
      <c r="L210" s="166">
        <f t="shared" si="83"/>
        <v>9</v>
      </c>
      <c r="M210" s="166">
        <f t="shared" si="83"/>
        <v>10</v>
      </c>
      <c r="N210" s="166">
        <f t="shared" si="83"/>
        <v>11</v>
      </c>
      <c r="O210" s="166">
        <f t="shared" si="83"/>
        <v>12</v>
      </c>
      <c r="P210" s="166">
        <f t="shared" si="83"/>
        <v>13</v>
      </c>
      <c r="Q210" s="166">
        <f t="shared" si="83"/>
        <v>14</v>
      </c>
      <c r="R210" s="166">
        <f t="shared" si="83"/>
        <v>15</v>
      </c>
      <c r="S210" s="166">
        <f t="shared" si="83"/>
        <v>16</v>
      </c>
      <c r="T210" s="166">
        <f t="shared" si="83"/>
        <v>17</v>
      </c>
      <c r="U210" s="166">
        <f t="shared" si="83"/>
        <v>18</v>
      </c>
      <c r="V210" s="166">
        <f t="shared" si="83"/>
        <v>19</v>
      </c>
      <c r="W210" s="166">
        <f t="shared" si="83"/>
        <v>20</v>
      </c>
      <c r="X210" s="166">
        <f t="shared" si="83"/>
        <v>21</v>
      </c>
      <c r="Y210" s="166">
        <f t="shared" si="83"/>
        <v>22</v>
      </c>
      <c r="Z210" s="166">
        <f t="shared" si="83"/>
        <v>23</v>
      </c>
      <c r="AA210" s="166">
        <f t="shared" si="83"/>
        <v>24</v>
      </c>
      <c r="AB210" s="166">
        <f t="shared" si="83"/>
        <v>25</v>
      </c>
      <c r="AC210" s="166">
        <f t="shared" si="83"/>
        <v>26</v>
      </c>
      <c r="AD210" s="166">
        <f t="shared" si="83"/>
        <v>27</v>
      </c>
      <c r="AE210" s="166">
        <f t="shared" si="83"/>
        <v>28</v>
      </c>
      <c r="AF210" s="166">
        <f t="shared" si="83"/>
        <v>29</v>
      </c>
      <c r="AG210" s="166">
        <f t="shared" si="83"/>
        <v>30</v>
      </c>
      <c r="AH210" s="166">
        <f t="shared" si="83"/>
        <v>31</v>
      </c>
      <c r="AI210" s="166">
        <f t="shared" si="83"/>
        <v>32</v>
      </c>
      <c r="AJ210" s="166">
        <f t="shared" si="83"/>
        <v>33</v>
      </c>
      <c r="AK210" s="166">
        <f t="shared" si="83"/>
        <v>34</v>
      </c>
      <c r="AL210" s="166">
        <f t="shared" si="83"/>
        <v>35</v>
      </c>
      <c r="AM210" s="166">
        <f t="shared" si="83"/>
        <v>36</v>
      </c>
      <c r="AN210" s="166">
        <f t="shared" si="83"/>
        <v>37</v>
      </c>
      <c r="AO210" s="166">
        <f t="shared" si="83"/>
        <v>38</v>
      </c>
      <c r="AP210" s="166">
        <f t="shared" si="83"/>
        <v>39</v>
      </c>
      <c r="AQ210" s="166">
        <f t="shared" si="83"/>
        <v>40</v>
      </c>
      <c r="AR210" s="166">
        <f t="shared" si="83"/>
        <v>41</v>
      </c>
      <c r="AS210" s="166">
        <f t="shared" si="83"/>
        <v>42</v>
      </c>
      <c r="AT210" s="166">
        <f t="shared" si="83"/>
        <v>43</v>
      </c>
      <c r="AU210" s="166">
        <f t="shared" si="83"/>
        <v>44</v>
      </c>
    </row>
    <row r="211" spans="1:47">
      <c r="B211" s="244" t="s">
        <v>241</v>
      </c>
      <c r="C211" s="245" t="s">
        <v>242</v>
      </c>
      <c r="D211" s="241" t="s">
        <v>243</v>
      </c>
      <c r="E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5"/>
      <c r="Y211" s="245"/>
      <c r="Z211" s="245"/>
      <c r="AA211" s="245"/>
      <c r="AB211" s="245"/>
    </row>
    <row r="212" spans="1:47">
      <c r="B212" s="245" t="s">
        <v>244</v>
      </c>
      <c r="C212" s="245"/>
      <c r="D212" s="246">
        <f>IF(D211="D",D223,IF(D211="D15",D221,IF(D211="P",D222,IF(D211="DB",D224,D225))))</f>
        <v>0.05</v>
      </c>
      <c r="E212" s="246">
        <f t="shared" ref="E212:X212" si="84">IF(E211="D",E223,E221)</f>
        <v>9.5000000000000001E-2</v>
      </c>
      <c r="F212" s="246">
        <f t="shared" si="84"/>
        <v>8.5500000000000007E-2</v>
      </c>
      <c r="G212" s="246">
        <f t="shared" si="84"/>
        <v>7.6999999999999999E-2</v>
      </c>
      <c r="H212" s="246">
        <f t="shared" si="84"/>
        <v>6.93E-2</v>
      </c>
      <c r="I212" s="246">
        <f t="shared" si="84"/>
        <v>6.2300000000000001E-2</v>
      </c>
      <c r="J212" s="246">
        <f t="shared" si="84"/>
        <v>5.8999999999999997E-2</v>
      </c>
      <c r="K212" s="246">
        <f t="shared" si="84"/>
        <v>5.8999999999999997E-2</v>
      </c>
      <c r="L212" s="246">
        <f t="shared" si="84"/>
        <v>5.91E-2</v>
      </c>
      <c r="M212" s="246">
        <f t="shared" si="84"/>
        <v>5.8999999999999997E-2</v>
      </c>
      <c r="N212" s="246">
        <f t="shared" si="84"/>
        <v>5.91E-2</v>
      </c>
      <c r="O212" s="246">
        <f t="shared" si="84"/>
        <v>5.8999999999999997E-2</v>
      </c>
      <c r="P212" s="246">
        <f t="shared" si="84"/>
        <v>5.91E-2</v>
      </c>
      <c r="Q212" s="246">
        <f t="shared" si="84"/>
        <v>5.8999999999999997E-2</v>
      </c>
      <c r="R212" s="246">
        <f t="shared" si="84"/>
        <v>5.91E-2</v>
      </c>
      <c r="S212" s="246">
        <f t="shared" si="84"/>
        <v>2.9499999999999998E-2</v>
      </c>
      <c r="T212" s="246">
        <f t="shared" si="84"/>
        <v>0</v>
      </c>
      <c r="U212" s="246">
        <f t="shared" si="84"/>
        <v>0</v>
      </c>
      <c r="V212" s="246">
        <f t="shared" si="84"/>
        <v>0</v>
      </c>
      <c r="W212" s="246">
        <f t="shared" si="84"/>
        <v>0</v>
      </c>
      <c r="X212" s="246">
        <f t="shared" si="84"/>
        <v>0</v>
      </c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</row>
    <row r="213" spans="1:47">
      <c r="B213" s="245" t="s">
        <v>245</v>
      </c>
      <c r="C213" s="245"/>
      <c r="D213" s="247">
        <f t="shared" ref="D213:X213" si="85">$D$8</f>
        <v>0</v>
      </c>
      <c r="E213" s="247">
        <f t="shared" si="85"/>
        <v>0</v>
      </c>
      <c r="F213" s="247">
        <f t="shared" si="85"/>
        <v>0</v>
      </c>
      <c r="G213" s="247">
        <f t="shared" si="85"/>
        <v>0</v>
      </c>
      <c r="H213" s="247">
        <f t="shared" si="85"/>
        <v>0</v>
      </c>
      <c r="I213" s="247">
        <f t="shared" si="85"/>
        <v>0</v>
      </c>
      <c r="J213" s="247">
        <f t="shared" si="85"/>
        <v>0</v>
      </c>
      <c r="K213" s="247">
        <f t="shared" si="85"/>
        <v>0</v>
      </c>
      <c r="L213" s="247">
        <f t="shared" si="85"/>
        <v>0</v>
      </c>
      <c r="M213" s="247">
        <f t="shared" si="85"/>
        <v>0</v>
      </c>
      <c r="N213" s="247">
        <f t="shared" si="85"/>
        <v>0</v>
      </c>
      <c r="O213" s="247">
        <f t="shared" si="85"/>
        <v>0</v>
      </c>
      <c r="P213" s="247">
        <f t="shared" si="85"/>
        <v>0</v>
      </c>
      <c r="Q213" s="247">
        <f t="shared" si="85"/>
        <v>0</v>
      </c>
      <c r="R213" s="247">
        <f t="shared" si="85"/>
        <v>0</v>
      </c>
      <c r="S213" s="247">
        <f t="shared" si="85"/>
        <v>0</v>
      </c>
      <c r="T213" s="247">
        <f t="shared" si="85"/>
        <v>0</v>
      </c>
      <c r="U213" s="247">
        <f t="shared" si="85"/>
        <v>0</v>
      </c>
      <c r="V213" s="247">
        <f t="shared" si="85"/>
        <v>0</v>
      </c>
      <c r="W213" s="247">
        <f t="shared" si="85"/>
        <v>0</v>
      </c>
      <c r="X213" s="247">
        <f t="shared" si="85"/>
        <v>0</v>
      </c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</row>
    <row r="214" spans="1:47">
      <c r="B214" s="245" t="s">
        <v>35</v>
      </c>
      <c r="C214" s="245"/>
      <c r="D214" s="248">
        <f t="shared" ref="D214:X214" si="86">D212*D213</f>
        <v>0</v>
      </c>
      <c r="E214" s="248">
        <f t="shared" si="86"/>
        <v>0</v>
      </c>
      <c r="F214" s="248">
        <f t="shared" si="86"/>
        <v>0</v>
      </c>
      <c r="G214" s="248">
        <f t="shared" si="86"/>
        <v>0</v>
      </c>
      <c r="H214" s="248">
        <f t="shared" si="86"/>
        <v>0</v>
      </c>
      <c r="I214" s="248">
        <f t="shared" si="86"/>
        <v>0</v>
      </c>
      <c r="J214" s="248">
        <f t="shared" si="86"/>
        <v>0</v>
      </c>
      <c r="K214" s="248">
        <f t="shared" si="86"/>
        <v>0</v>
      </c>
      <c r="L214" s="248">
        <f t="shared" si="86"/>
        <v>0</v>
      </c>
      <c r="M214" s="248">
        <f t="shared" si="86"/>
        <v>0</v>
      </c>
      <c r="N214" s="248">
        <f t="shared" si="86"/>
        <v>0</v>
      </c>
      <c r="O214" s="248">
        <f t="shared" si="86"/>
        <v>0</v>
      </c>
      <c r="P214" s="248">
        <f t="shared" si="86"/>
        <v>0</v>
      </c>
      <c r="Q214" s="248">
        <f t="shared" si="86"/>
        <v>0</v>
      </c>
      <c r="R214" s="248">
        <f t="shared" si="86"/>
        <v>0</v>
      </c>
      <c r="S214" s="248">
        <f t="shared" si="86"/>
        <v>0</v>
      </c>
      <c r="T214" s="248">
        <f t="shared" si="86"/>
        <v>0</v>
      </c>
      <c r="U214" s="248">
        <f t="shared" si="86"/>
        <v>0</v>
      </c>
      <c r="V214" s="248">
        <f t="shared" si="86"/>
        <v>0</v>
      </c>
      <c r="W214" s="248">
        <f t="shared" si="86"/>
        <v>0</v>
      </c>
      <c r="X214" s="248">
        <f t="shared" si="86"/>
        <v>0</v>
      </c>
      <c r="Y214" s="249">
        <f>SUM(D214:X214)</f>
        <v>0</v>
      </c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</row>
    <row r="215" spans="1:47">
      <c r="B215" s="245" t="s">
        <v>246</v>
      </c>
      <c r="C215" s="250">
        <f>ROUND((H5-(H5*H6)+H6),5)</f>
        <v>0.24721000000000001</v>
      </c>
      <c r="D215" s="248">
        <f t="shared" ref="D215:X215" si="87">D214*$C$215</f>
        <v>0</v>
      </c>
      <c r="E215" s="248">
        <f t="shared" si="87"/>
        <v>0</v>
      </c>
      <c r="F215" s="248">
        <f t="shared" si="87"/>
        <v>0</v>
      </c>
      <c r="G215" s="248">
        <f t="shared" si="87"/>
        <v>0</v>
      </c>
      <c r="H215" s="248">
        <f t="shared" si="87"/>
        <v>0</v>
      </c>
      <c r="I215" s="248">
        <f t="shared" si="87"/>
        <v>0</v>
      </c>
      <c r="J215" s="248">
        <f t="shared" si="87"/>
        <v>0</v>
      </c>
      <c r="K215" s="248">
        <f t="shared" si="87"/>
        <v>0</v>
      </c>
      <c r="L215" s="248">
        <f t="shared" si="87"/>
        <v>0</v>
      </c>
      <c r="M215" s="248">
        <f t="shared" si="87"/>
        <v>0</v>
      </c>
      <c r="N215" s="248">
        <f t="shared" si="87"/>
        <v>0</v>
      </c>
      <c r="O215" s="248">
        <f t="shared" si="87"/>
        <v>0</v>
      </c>
      <c r="P215" s="248">
        <f t="shared" si="87"/>
        <v>0</v>
      </c>
      <c r="Q215" s="248">
        <f t="shared" si="87"/>
        <v>0</v>
      </c>
      <c r="R215" s="248">
        <f t="shared" si="87"/>
        <v>0</v>
      </c>
      <c r="S215" s="248">
        <f t="shared" si="87"/>
        <v>0</v>
      </c>
      <c r="T215" s="248">
        <f t="shared" si="87"/>
        <v>0</v>
      </c>
      <c r="U215" s="248">
        <f t="shared" si="87"/>
        <v>0</v>
      </c>
      <c r="V215" s="248">
        <f t="shared" si="87"/>
        <v>0</v>
      </c>
      <c r="W215" s="248">
        <f t="shared" si="87"/>
        <v>0</v>
      </c>
      <c r="X215" s="248">
        <f t="shared" si="87"/>
        <v>0</v>
      </c>
      <c r="Y215" s="248">
        <f>SUM(C215:X215)</f>
        <v>0.24721000000000001</v>
      </c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</row>
    <row r="216" spans="1:47">
      <c r="A216" s="18"/>
      <c r="B216" s="245" t="s">
        <v>247</v>
      </c>
      <c r="C216" s="251">
        <f>ROUND(NPV(M17,E215:X215)+D215,0)</f>
        <v>0</v>
      </c>
      <c r="D216" s="241"/>
      <c r="E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5"/>
      <c r="Y216" s="245"/>
      <c r="Z216" s="245"/>
      <c r="AA216" s="245"/>
      <c r="AB216" s="245"/>
    </row>
    <row r="217" spans="1:47">
      <c r="A217" s="18"/>
      <c r="B217" s="245" t="s">
        <v>248</v>
      </c>
      <c r="C217" s="251">
        <f>C216/(1-C215)</f>
        <v>0</v>
      </c>
      <c r="D217" s="241"/>
      <c r="E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5"/>
      <c r="Y217" s="245"/>
      <c r="Z217" s="245"/>
      <c r="AA217" s="245"/>
      <c r="AB217" s="245"/>
    </row>
    <row r="218" spans="1:47">
      <c r="A218" s="18"/>
      <c r="B218" s="245" t="s">
        <v>249</v>
      </c>
      <c r="C218" s="251">
        <f>D8*(1+H8)</f>
        <v>0</v>
      </c>
      <c r="D218" s="241"/>
      <c r="E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5"/>
      <c r="Y218" s="245"/>
      <c r="Z218" s="245"/>
      <c r="AA218" s="245"/>
      <c r="AB218" s="245"/>
    </row>
    <row r="219" spans="1:47">
      <c r="A219" s="18"/>
      <c r="B219" s="245" t="s">
        <v>250</v>
      </c>
      <c r="C219" s="251">
        <f>C218-C217</f>
        <v>0</v>
      </c>
      <c r="D219" s="241"/>
      <c r="E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5"/>
      <c r="Y219" s="245"/>
      <c r="Z219" s="245"/>
      <c r="AA219" s="245"/>
      <c r="AB219" s="245"/>
    </row>
    <row r="220" spans="1:47">
      <c r="A220" s="18"/>
      <c r="B220" s="245" t="s">
        <v>241</v>
      </c>
      <c r="C220" s="251">
        <f>C219-D8</f>
        <v>0</v>
      </c>
      <c r="D220" s="241"/>
      <c r="E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5"/>
      <c r="Y220" s="245"/>
      <c r="Z220" s="245"/>
      <c r="AA220" s="245"/>
      <c r="AB220" s="245"/>
    </row>
    <row r="221" spans="1:47">
      <c r="A221" s="18"/>
      <c r="B221" s="245" t="s">
        <v>251</v>
      </c>
      <c r="C221" s="18" t="s">
        <v>243</v>
      </c>
      <c r="D221" s="252">
        <v>0.05</v>
      </c>
      <c r="E221" s="252">
        <v>9.5000000000000001E-2</v>
      </c>
      <c r="F221" s="252">
        <v>8.5500000000000007E-2</v>
      </c>
      <c r="G221" s="252">
        <v>7.6999999999999999E-2</v>
      </c>
      <c r="H221" s="252">
        <v>6.93E-2</v>
      </c>
      <c r="I221" s="252">
        <v>6.2300000000000001E-2</v>
      </c>
      <c r="J221" s="252">
        <v>5.8999999999999997E-2</v>
      </c>
      <c r="K221" s="252">
        <v>5.8999999999999997E-2</v>
      </c>
      <c r="L221" s="252">
        <v>5.91E-2</v>
      </c>
      <c r="M221" s="252">
        <v>5.8999999999999997E-2</v>
      </c>
      <c r="N221" s="252">
        <v>5.91E-2</v>
      </c>
      <c r="O221" s="252">
        <v>5.8999999999999997E-2</v>
      </c>
      <c r="P221" s="252">
        <v>5.91E-2</v>
      </c>
      <c r="Q221" s="252">
        <v>5.8999999999999997E-2</v>
      </c>
      <c r="R221" s="252">
        <v>5.91E-2</v>
      </c>
      <c r="S221" s="252">
        <v>2.9499999999999998E-2</v>
      </c>
      <c r="T221" s="241"/>
      <c r="U221" s="241"/>
      <c r="V221" s="241"/>
      <c r="W221" s="241"/>
      <c r="X221" s="241"/>
      <c r="Y221" s="245"/>
      <c r="Z221" s="245"/>
      <c r="AA221" s="245"/>
      <c r="AB221" s="245"/>
    </row>
    <row r="222" spans="1:47">
      <c r="A222" s="18"/>
      <c r="B222" s="245" t="s">
        <v>252</v>
      </c>
      <c r="C222" s="18" t="s">
        <v>253</v>
      </c>
      <c r="D222" s="252">
        <v>0.1429</v>
      </c>
      <c r="E222" s="253">
        <v>0.24490000000000001</v>
      </c>
      <c r="F222" s="253">
        <v>0.1749</v>
      </c>
      <c r="G222" s="208">
        <v>0.1249</v>
      </c>
      <c r="H222" s="208">
        <v>8.9300000000000004E-2</v>
      </c>
      <c r="I222" s="208">
        <v>8.9200000000000002E-2</v>
      </c>
      <c r="J222" s="253">
        <v>8.9300000000000004E-2</v>
      </c>
      <c r="K222" s="253">
        <v>4.4600000000000001E-2</v>
      </c>
      <c r="L222" s="253">
        <v>0</v>
      </c>
      <c r="M222" s="253">
        <v>0</v>
      </c>
      <c r="N222" s="253">
        <v>0</v>
      </c>
      <c r="O222" s="253">
        <v>0</v>
      </c>
      <c r="P222" s="253">
        <v>0</v>
      </c>
      <c r="Q222" s="253">
        <v>0</v>
      </c>
      <c r="R222" s="253">
        <v>0</v>
      </c>
      <c r="S222" s="253">
        <v>0</v>
      </c>
      <c r="T222" s="241"/>
      <c r="U222" s="241"/>
      <c r="V222" s="241"/>
      <c r="W222" s="241"/>
      <c r="X222" s="241"/>
      <c r="Y222" s="245"/>
      <c r="Z222" s="245"/>
      <c r="AA222" s="245"/>
      <c r="AB222" s="245"/>
    </row>
    <row r="223" spans="1:47">
      <c r="A223" s="18"/>
      <c r="B223" s="245" t="s">
        <v>254</v>
      </c>
      <c r="C223" s="18" t="s">
        <v>255</v>
      </c>
      <c r="D223" s="252">
        <v>3.7499999999999999E-2</v>
      </c>
      <c r="E223" s="254">
        <v>7.2190000000000004E-2</v>
      </c>
      <c r="F223" s="254">
        <v>6.6769999999999996E-2</v>
      </c>
      <c r="G223" s="255">
        <v>6.1769999999999999E-2</v>
      </c>
      <c r="H223" s="255">
        <v>5.713E-2</v>
      </c>
      <c r="I223" s="255">
        <v>5.2850000000000001E-2</v>
      </c>
      <c r="J223" s="254">
        <v>4.888E-2</v>
      </c>
      <c r="K223" s="254">
        <v>4.5220000000000003E-2</v>
      </c>
      <c r="L223" s="254">
        <v>4.462E-2</v>
      </c>
      <c r="M223" s="254">
        <v>4.4609999999999997E-2</v>
      </c>
      <c r="N223" s="254">
        <v>4.462E-2</v>
      </c>
      <c r="O223" s="254">
        <v>4.4609999999999997E-2</v>
      </c>
      <c r="P223" s="254">
        <v>4.462E-2</v>
      </c>
      <c r="Q223" s="254">
        <v>4.4609999999999997E-2</v>
      </c>
      <c r="R223" s="254">
        <v>4.462E-2</v>
      </c>
      <c r="S223" s="254">
        <v>4.4609999999999997E-2</v>
      </c>
      <c r="T223" s="254">
        <v>4.462E-2</v>
      </c>
      <c r="U223" s="254">
        <v>4.4609999999999997E-2</v>
      </c>
      <c r="V223" s="254">
        <v>4.462E-2</v>
      </c>
      <c r="W223" s="254">
        <v>4.4603999999999998E-2</v>
      </c>
      <c r="X223" s="254">
        <v>2.231E-2</v>
      </c>
      <c r="Y223" s="245"/>
      <c r="Z223" s="245"/>
      <c r="AA223" s="245"/>
      <c r="AB223" s="245"/>
    </row>
    <row r="224" spans="1:47">
      <c r="A224" s="18"/>
      <c r="B224" s="245" t="s">
        <v>256</v>
      </c>
      <c r="C224" s="18" t="s">
        <v>257</v>
      </c>
      <c r="D224" s="256">
        <v>0.51875000000000004</v>
      </c>
      <c r="E224" s="254">
        <v>3.61E-2</v>
      </c>
      <c r="F224" s="254">
        <v>3.3390000000000003E-2</v>
      </c>
      <c r="G224" s="255">
        <v>3.0890000000000001E-2</v>
      </c>
      <c r="H224" s="255">
        <v>2.8570000000000002E-2</v>
      </c>
      <c r="I224" s="255">
        <v>2.6429999999999999E-2</v>
      </c>
      <c r="J224" s="254">
        <v>2.444E-2</v>
      </c>
      <c r="K224" s="254">
        <v>2.2610000000000002E-2</v>
      </c>
      <c r="L224" s="254">
        <v>2.231E-2</v>
      </c>
      <c r="M224" s="254">
        <v>2.231E-2</v>
      </c>
      <c r="N224" s="254">
        <v>2.231E-2</v>
      </c>
      <c r="O224" s="254">
        <v>2.231E-2</v>
      </c>
      <c r="P224" s="254">
        <v>2.231E-2</v>
      </c>
      <c r="Q224" s="254">
        <v>2.231E-2</v>
      </c>
      <c r="R224" s="254">
        <v>2.231E-2</v>
      </c>
      <c r="S224" s="254">
        <v>2.231E-2</v>
      </c>
      <c r="T224" s="254">
        <v>2.231E-2</v>
      </c>
      <c r="U224" s="254">
        <v>2.231E-2</v>
      </c>
      <c r="V224" s="254">
        <v>2.231E-2</v>
      </c>
      <c r="W224" s="254">
        <v>2.231E-2</v>
      </c>
      <c r="X224" s="254">
        <v>1.11E-2</v>
      </c>
      <c r="Y224" s="245"/>
      <c r="Z224" s="245"/>
      <c r="AA224" s="245"/>
      <c r="AB224" s="245"/>
    </row>
    <row r="225" spans="1:28">
      <c r="A225" s="18"/>
      <c r="B225" s="245" t="s">
        <v>258</v>
      </c>
      <c r="C225" s="18" t="s">
        <v>259</v>
      </c>
      <c r="D225" s="252">
        <v>0.44</v>
      </c>
      <c r="E225" s="254">
        <v>0.224</v>
      </c>
      <c r="F225" s="254">
        <v>0.13439999999999999</v>
      </c>
      <c r="G225" s="255">
        <v>8.0640000000000003E-2</v>
      </c>
      <c r="H225" s="255">
        <v>8.0640000000000003E-2</v>
      </c>
      <c r="I225" s="255">
        <v>4.0320000000000002E-2</v>
      </c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5"/>
      <c r="Z225" s="245"/>
      <c r="AA225" s="245"/>
      <c r="AB225" s="245"/>
    </row>
    <row r="226" spans="1:28">
      <c r="A226" s="18"/>
      <c r="B226" s="151"/>
      <c r="C226" s="151"/>
      <c r="D226" s="241"/>
      <c r="E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151"/>
      <c r="Y226" s="151"/>
      <c r="Z226" s="151"/>
      <c r="AA226" s="151"/>
      <c r="AB226" s="151"/>
    </row>
    <row r="227" spans="1:28">
      <c r="A227" s="18"/>
      <c r="B227" s="151"/>
      <c r="C227" s="151"/>
      <c r="D227" s="241"/>
      <c r="E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1"/>
      <c r="W227" s="241"/>
      <c r="X227" s="151"/>
      <c r="Y227" s="151"/>
      <c r="Z227" s="151"/>
      <c r="AA227" s="151"/>
      <c r="AB227" s="151"/>
    </row>
    <row r="228" spans="1:28">
      <c r="A228" s="18"/>
      <c r="B228" s="151"/>
      <c r="C228" s="151"/>
      <c r="D228" s="241"/>
      <c r="E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151"/>
      <c r="Y228" s="151"/>
      <c r="Z228" s="151"/>
      <c r="AA228" s="151"/>
      <c r="AB228" s="151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  <row r="304" s="18" customFormat="1"/>
    <row r="305" s="18" customFormat="1"/>
    <row r="306" s="18" customFormat="1"/>
    <row r="307" s="18" customFormat="1"/>
    <row r="308" s="18" customFormat="1"/>
    <row r="309" s="18" customFormat="1"/>
    <row r="310" s="18" customFormat="1"/>
    <row r="311" s="18" customFormat="1"/>
    <row r="312" s="18" customFormat="1"/>
    <row r="313" s="18" customFormat="1"/>
    <row r="314" s="18" customFormat="1"/>
    <row r="315" s="18" customFormat="1"/>
    <row r="316" s="18" customFormat="1"/>
    <row r="317" s="18" customFormat="1"/>
    <row r="318" s="18" customFormat="1"/>
    <row r="319" s="18" customFormat="1"/>
    <row r="320" s="18" customFormat="1"/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="18" customFormat="1"/>
    <row r="338" s="18" customFormat="1"/>
    <row r="339" s="18" customFormat="1"/>
    <row r="340" s="18" customFormat="1"/>
    <row r="341" s="18" customFormat="1"/>
    <row r="342" s="18" customFormat="1"/>
    <row r="343" s="18" customFormat="1"/>
    <row r="344" s="18" customFormat="1"/>
    <row r="345" s="18" customFormat="1"/>
    <row r="346" s="18" customFormat="1"/>
    <row r="347" s="18" customFormat="1"/>
    <row r="348" s="18" customFormat="1"/>
    <row r="349" s="18" customFormat="1"/>
    <row r="350" s="18" customFormat="1"/>
    <row r="351" s="18" customFormat="1"/>
    <row r="352" s="18" customFormat="1"/>
    <row r="353" s="18" customFormat="1"/>
    <row r="354" s="18" customFormat="1"/>
    <row r="355" s="18" customFormat="1"/>
    <row r="356" s="18" customFormat="1"/>
    <row r="357" s="18" customFormat="1"/>
    <row r="358" s="18" customFormat="1"/>
    <row r="359" s="18" customFormat="1"/>
    <row r="360" s="18" customFormat="1"/>
    <row r="361" s="18" customFormat="1"/>
    <row r="362" s="18" customFormat="1"/>
    <row r="363" s="18" customFormat="1"/>
  </sheetData>
  <mergeCells count="5">
    <mergeCell ref="N2:O2"/>
    <mergeCell ref="N3:O3"/>
    <mergeCell ref="N4:O4"/>
    <mergeCell ref="BH2:BJ2"/>
    <mergeCell ref="BH12:BJ12"/>
  </mergeCells>
  <dataValidations count="2">
    <dataValidation type="list" allowBlank="1" showInputMessage="1" showErrorMessage="1" sqref="D211">
      <formula1>$C$221:$C$225</formula1>
    </dataValidation>
    <dataValidation type="list" allowBlank="1" showInputMessage="1" showErrorMessage="1" sqref="C21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3"/>
  <sheetViews>
    <sheetView workbookViewId="0">
      <selection activeCell="BL17" sqref="BL17"/>
    </sheetView>
  </sheetViews>
  <sheetFormatPr defaultColWidth="9.28515625" defaultRowHeight="11.25"/>
  <cols>
    <col min="1" max="1" width="4.140625" style="14" customWidth="1"/>
    <col min="2" max="2" width="23.28515625" style="18" customWidth="1"/>
    <col min="3" max="3" width="12.5703125" style="18" customWidth="1"/>
    <col min="4" max="4" width="13" style="18" customWidth="1"/>
    <col min="5" max="10" width="11" style="18" customWidth="1"/>
    <col min="11" max="11" width="11.5703125" style="18" customWidth="1"/>
    <col min="12" max="13" width="11" style="18" customWidth="1"/>
    <col min="14" max="14" width="10.7109375" style="18" customWidth="1"/>
    <col min="15" max="15" width="10.42578125" style="18" customWidth="1"/>
    <col min="16" max="16" width="10.5703125" style="18" customWidth="1"/>
    <col min="17" max="18" width="10.42578125" style="18" customWidth="1"/>
    <col min="19" max="19" width="10.5703125" style="18" customWidth="1"/>
    <col min="20" max="24" width="9.85546875" style="18" customWidth="1"/>
    <col min="25" max="25" width="10" style="18" customWidth="1"/>
    <col min="26" max="30" width="9.85546875" style="18" customWidth="1"/>
    <col min="31" max="32" width="9.7109375" style="18" customWidth="1"/>
    <col min="33" max="33" width="10" style="18" customWidth="1"/>
    <col min="34" max="47" width="9.28515625" style="18" customWidth="1"/>
    <col min="48" max="48" width="10" style="18" customWidth="1"/>
    <col min="49" max="49" width="10.5703125" style="18" customWidth="1"/>
    <col min="50" max="50" width="11.140625" style="18" customWidth="1"/>
    <col min="51" max="55" width="9.28515625" style="18"/>
    <col min="56" max="56" width="7.28515625" style="18" bestFit="1" customWidth="1"/>
    <col min="57" max="57" width="4.7109375" style="18" bestFit="1" customWidth="1"/>
    <col min="58" max="58" width="4" style="18" bestFit="1" customWidth="1"/>
    <col min="59" max="59" width="9.28515625" style="18"/>
    <col min="60" max="60" width="11.7109375" style="18" bestFit="1" customWidth="1"/>
    <col min="61" max="61" width="10.140625" style="18" bestFit="1" customWidth="1"/>
    <col min="62" max="62" width="11.7109375" style="18" bestFit="1" customWidth="1"/>
    <col min="63" max="63" width="9.28515625" style="18"/>
    <col min="64" max="64" width="9.7109375" style="18" bestFit="1" customWidth="1"/>
    <col min="65" max="65" width="12" style="18" bestFit="1" customWidth="1"/>
    <col min="66" max="66" width="13.5703125" style="18" bestFit="1" customWidth="1"/>
    <col min="67" max="67" width="9.28515625" style="18"/>
    <col min="68" max="68" width="3" style="18" bestFit="1" customWidth="1"/>
    <col min="69" max="69" width="9.5703125" style="18" bestFit="1" customWidth="1"/>
    <col min="70" max="71" width="6.5703125" style="18" bestFit="1" customWidth="1"/>
    <col min="72" max="72" width="15.28515625" style="18" bestFit="1" customWidth="1"/>
    <col min="73" max="73" width="15" style="18" bestFit="1" customWidth="1"/>
    <col min="74" max="74" width="8" style="18" bestFit="1" customWidth="1"/>
    <col min="75" max="75" width="9.28515625" style="18"/>
    <col min="76" max="76" width="8.85546875" style="18" bestFit="1" customWidth="1"/>
    <col min="77" max="77" width="4.7109375" style="18" bestFit="1" customWidth="1"/>
    <col min="78" max="79" width="8.85546875" style="18" bestFit="1" customWidth="1"/>
    <col min="80" max="16384" width="9.28515625" style="18"/>
  </cols>
  <sheetData>
    <row r="1" spans="2:81" s="18" customFormat="1" ht="15.75">
      <c r="B1" s="15" t="s">
        <v>139</v>
      </c>
      <c r="C1" s="16"/>
      <c r="D1" s="17"/>
      <c r="G1" s="19"/>
      <c r="H1" s="20"/>
      <c r="J1" s="21"/>
      <c r="K1" s="22"/>
      <c r="L1" s="23"/>
      <c r="M1" s="24"/>
      <c r="W1" s="135"/>
      <c r="BC1" t="s">
        <v>40</v>
      </c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8"/>
      <c r="BQ1" s="269" t="s">
        <v>1</v>
      </c>
      <c r="BR1" s="269"/>
      <c r="BS1" s="270" t="s">
        <v>62</v>
      </c>
      <c r="BT1" s="270" t="s">
        <v>270</v>
      </c>
      <c r="BU1" s="271" t="s">
        <v>271</v>
      </c>
      <c r="BV1" s="269"/>
      <c r="BW1" s="265"/>
      <c r="BX1" s="272"/>
      <c r="BY1" s="273"/>
      <c r="BZ1" s="274" t="s">
        <v>57</v>
      </c>
      <c r="CA1" s="274" t="s">
        <v>58</v>
      </c>
      <c r="CB1" s="265"/>
      <c r="CC1" s="265"/>
    </row>
    <row r="2" spans="2:81" s="18" customFormat="1" ht="12.75" customHeight="1" thickBot="1">
      <c r="B2" s="25"/>
      <c r="D2" s="26"/>
      <c r="G2" s="27"/>
      <c r="H2" s="20"/>
      <c r="J2" s="24"/>
      <c r="M2" s="28"/>
      <c r="N2" s="385"/>
      <c r="O2" s="385"/>
      <c r="W2" s="135"/>
      <c r="BC2" s="275" t="s">
        <v>272</v>
      </c>
      <c r="BD2" s="276"/>
      <c r="BE2" s="276"/>
      <c r="BF2" s="277"/>
      <c r="BG2" s="277"/>
      <c r="BH2" s="384" t="s">
        <v>273</v>
      </c>
      <c r="BI2" s="384"/>
      <c r="BJ2" s="384"/>
      <c r="BK2" s="276"/>
      <c r="BL2" s="278"/>
      <c r="BM2" s="279"/>
      <c r="BN2" s="278"/>
      <c r="BO2" s="265"/>
      <c r="BP2" s="280"/>
      <c r="BQ2" s="281" t="s">
        <v>274</v>
      </c>
      <c r="BR2" s="281" t="s">
        <v>63</v>
      </c>
      <c r="BS2" s="282" t="s">
        <v>64</v>
      </c>
      <c r="BT2" s="283">
        <v>43160</v>
      </c>
      <c r="BU2" s="282" t="s">
        <v>275</v>
      </c>
      <c r="BV2" s="281" t="s">
        <v>276</v>
      </c>
      <c r="BW2" s="265"/>
      <c r="BX2" s="273"/>
      <c r="BY2" s="284" t="s">
        <v>277</v>
      </c>
      <c r="BZ2" s="285" t="s">
        <v>278</v>
      </c>
      <c r="CA2" s="285" t="s">
        <v>278</v>
      </c>
      <c r="CB2" s="265"/>
      <c r="CC2" s="265"/>
    </row>
    <row r="3" spans="2:81" s="18" customFormat="1" ht="15">
      <c r="B3" s="29"/>
      <c r="C3" s="30"/>
      <c r="G3" s="31"/>
      <c r="H3" s="20"/>
      <c r="J3" s="24"/>
      <c r="K3" s="24"/>
      <c r="L3" s="32"/>
      <c r="M3" s="20"/>
      <c r="N3" s="386"/>
      <c r="O3" s="386"/>
      <c r="W3" s="27"/>
      <c r="BC3" s="275"/>
      <c r="BD3" s="276"/>
      <c r="BE3" s="276"/>
      <c r="BF3" s="277"/>
      <c r="BG3" s="277"/>
      <c r="BH3" s="347"/>
      <c r="BI3" s="347" t="s">
        <v>59</v>
      </c>
      <c r="BJ3" s="347"/>
      <c r="BK3" s="276"/>
      <c r="BL3" s="278"/>
      <c r="BM3" s="279" t="s">
        <v>279</v>
      </c>
      <c r="BN3" s="278"/>
      <c r="BO3" s="265"/>
      <c r="BP3" s="287"/>
      <c r="BQ3" s="287"/>
      <c r="BR3" s="288"/>
      <c r="BS3" s="287"/>
      <c r="BT3" s="287"/>
      <c r="BU3" s="287"/>
      <c r="BV3" s="287"/>
      <c r="BW3" s="265"/>
      <c r="BX3" s="273" t="s">
        <v>289</v>
      </c>
      <c r="BY3" s="289">
        <v>6.75</v>
      </c>
      <c r="BZ3" s="290">
        <v>6.9353300000000004</v>
      </c>
      <c r="CA3" s="290">
        <v>8.2994599999999998</v>
      </c>
      <c r="CB3" s="265"/>
      <c r="CC3" s="265"/>
    </row>
    <row r="4" spans="2:81" s="18" customFormat="1" ht="15.75" thickBot="1">
      <c r="B4" s="33" t="s">
        <v>79</v>
      </c>
      <c r="C4" s="34" t="s">
        <v>80</v>
      </c>
      <c r="D4" s="33" t="s">
        <v>81</v>
      </c>
      <c r="E4" s="348"/>
      <c r="F4" s="35" t="s">
        <v>82</v>
      </c>
      <c r="G4" s="36"/>
      <c r="H4" s="37"/>
      <c r="J4" s="35" t="s">
        <v>83</v>
      </c>
      <c r="K4" s="36"/>
      <c r="L4" s="38"/>
      <c r="M4" s="39"/>
      <c r="N4" s="387"/>
      <c r="O4" s="385"/>
      <c r="W4" s="27"/>
      <c r="BC4" s="291" t="s">
        <v>281</v>
      </c>
      <c r="BD4" s="292"/>
      <c r="BE4" s="292"/>
      <c r="BF4" s="293" t="s">
        <v>282</v>
      </c>
      <c r="BG4" s="293"/>
      <c r="BH4" s="294" t="s">
        <v>282</v>
      </c>
      <c r="BI4" s="294" t="s">
        <v>283</v>
      </c>
      <c r="BJ4" s="295" t="s">
        <v>83</v>
      </c>
      <c r="BK4" s="276"/>
      <c r="BL4" s="294" t="s">
        <v>195</v>
      </c>
      <c r="BM4" s="294" t="s">
        <v>284</v>
      </c>
      <c r="BN4" s="294" t="s">
        <v>285</v>
      </c>
      <c r="BO4" s="265"/>
      <c r="BP4" s="288">
        <v>1</v>
      </c>
      <c r="BQ4" s="288" t="s">
        <v>36</v>
      </c>
      <c r="BR4" s="288" t="s">
        <v>65</v>
      </c>
      <c r="BS4" s="296">
        <v>14.9</v>
      </c>
      <c r="BT4" s="297">
        <f>ROUND((BS4*CA3)+BY3,2)</f>
        <v>130.41</v>
      </c>
      <c r="BU4" s="297">
        <f>ROUND((BS4*CA5)+BY5,2)</f>
        <v>130.82</v>
      </c>
      <c r="BV4" s="297">
        <f t="shared" ref="BV4:BV15" si="0">BU4-BT4</f>
        <v>0.40999999999999659</v>
      </c>
      <c r="BW4" s="265"/>
      <c r="BX4" s="265"/>
      <c r="BY4" s="289"/>
      <c r="BZ4" s="298"/>
      <c r="CA4" s="298"/>
      <c r="CB4" s="265"/>
      <c r="CC4" s="265"/>
    </row>
    <row r="5" spans="2:81" s="18" customFormat="1" ht="15">
      <c r="B5" s="40" t="s">
        <v>84</v>
      </c>
      <c r="C5" s="126">
        <f>C19*D19*1000</f>
        <v>0</v>
      </c>
      <c r="D5" s="137">
        <v>27500000</v>
      </c>
      <c r="E5" s="348"/>
      <c r="F5" s="41" t="s">
        <v>85</v>
      </c>
      <c r="G5" s="42"/>
      <c r="H5" s="138">
        <v>0.21</v>
      </c>
      <c r="J5" s="43" t="s">
        <v>86</v>
      </c>
      <c r="L5" s="264">
        <f>C43</f>
        <v>2595747.5035215518</v>
      </c>
      <c r="M5" s="44"/>
      <c r="O5" s="125"/>
      <c r="W5" s="31"/>
      <c r="BC5" s="299" t="s">
        <v>58</v>
      </c>
      <c r="BD5" s="299" t="s">
        <v>286</v>
      </c>
      <c r="BE5" s="299" t="s">
        <v>287</v>
      </c>
      <c r="BF5" s="300">
        <v>45</v>
      </c>
      <c r="BG5" s="300"/>
      <c r="BH5" s="346">
        <v>62287423</v>
      </c>
      <c r="BI5" s="302">
        <f>2.34949+0.22671</f>
        <v>2.5762</v>
      </c>
      <c r="BJ5" s="303">
        <f>ROUND(BH5*BI5,0)</f>
        <v>160464859</v>
      </c>
      <c r="BK5" s="304"/>
      <c r="BL5" s="301">
        <f>BN5*BH5</f>
        <v>1695859.0501905275</v>
      </c>
      <c r="BM5" s="305">
        <f>BM10</f>
        <v>1.0568413915405339E-2</v>
      </c>
      <c r="BN5" s="306">
        <f>BM5*BI5</f>
        <v>2.7226347928867235E-2</v>
      </c>
      <c r="BO5" s="265"/>
      <c r="BP5" s="288">
        <f t="shared" ref="BP5:BP15" si="1">BP4+1</f>
        <v>2</v>
      </c>
      <c r="BQ5" s="287"/>
      <c r="BR5" s="288" t="s">
        <v>66</v>
      </c>
      <c r="BS5" s="296">
        <v>12.5</v>
      </c>
      <c r="BT5" s="297">
        <f>ROUND((BS5*CA3)+BY3,2)</f>
        <v>110.49</v>
      </c>
      <c r="BU5" s="297">
        <f>ROUND((BS5*CA5)+BY5,2)</f>
        <v>110.83</v>
      </c>
      <c r="BV5" s="307">
        <f t="shared" si="0"/>
        <v>0.34000000000000341</v>
      </c>
      <c r="BW5" s="265"/>
      <c r="BX5" s="13" t="s">
        <v>280</v>
      </c>
      <c r="BY5" s="289">
        <v>6.75</v>
      </c>
      <c r="BZ5" s="308">
        <f>BZ3+BN16+BN8</f>
        <v>6.9553392837501766</v>
      </c>
      <c r="CA5" s="308">
        <f>CA3+BN15+BN5</f>
        <v>8.3266863479288666</v>
      </c>
      <c r="CB5" s="265"/>
      <c r="CC5" s="265"/>
    </row>
    <row r="6" spans="2:81" s="18" customFormat="1" ht="15">
      <c r="B6" s="45" t="s">
        <v>87</v>
      </c>
      <c r="C6" s="127">
        <v>0</v>
      </c>
      <c r="D6" s="127"/>
      <c r="E6" s="46"/>
      <c r="F6" s="41" t="s">
        <v>88</v>
      </c>
      <c r="G6" s="42"/>
      <c r="H6" s="139">
        <v>4.7100000000000003E-2</v>
      </c>
      <c r="I6" s="47"/>
      <c r="J6" s="48" t="s">
        <v>89</v>
      </c>
      <c r="L6" s="49"/>
      <c r="M6" s="50"/>
      <c r="N6" s="140"/>
      <c r="BC6" s="299"/>
      <c r="BD6" s="299" t="s">
        <v>288</v>
      </c>
      <c r="BE6" s="299" t="s">
        <v>292</v>
      </c>
      <c r="BF6" s="300">
        <v>45</v>
      </c>
      <c r="BG6" s="300"/>
      <c r="BH6" s="346">
        <v>17131460</v>
      </c>
      <c r="BI6" s="302">
        <f>1.34949+0.13021</f>
        <v>1.4797</v>
      </c>
      <c r="BJ6" s="303">
        <f>ROUND(BH6*BI6,0)</f>
        <v>25349421</v>
      </c>
      <c r="BK6" s="309"/>
      <c r="BL6" s="301">
        <f>BN6*BH6</f>
        <v>267903.17746963416</v>
      </c>
      <c r="BM6" s="305">
        <f>BM10</f>
        <v>1.0568413915405339E-2</v>
      </c>
      <c r="BN6" s="306">
        <f>BM6*BI6</f>
        <v>1.5638082070625281E-2</v>
      </c>
      <c r="BO6" s="265"/>
      <c r="BP6" s="288">
        <f t="shared" si="1"/>
        <v>3</v>
      </c>
      <c r="BQ6" s="287"/>
      <c r="BR6" s="288" t="s">
        <v>67</v>
      </c>
      <c r="BS6" s="296">
        <v>10.1</v>
      </c>
      <c r="BT6" s="297">
        <f>ROUND((BS6*CA3)+BY3,2)</f>
        <v>90.57</v>
      </c>
      <c r="BU6" s="297">
        <f>ROUND((BS6*CA5)+BY5,2)</f>
        <v>90.85</v>
      </c>
      <c r="BV6" s="307">
        <f t="shared" si="0"/>
        <v>0.28000000000000114</v>
      </c>
      <c r="BW6" s="265"/>
      <c r="BX6" s="265"/>
      <c r="BY6" s="289"/>
      <c r="BZ6" s="298"/>
      <c r="CA6" s="298"/>
      <c r="CB6" s="265"/>
      <c r="CC6" s="265"/>
    </row>
    <row r="7" spans="2:81" s="18" customFormat="1" ht="15">
      <c r="B7" s="51" t="s">
        <v>90</v>
      </c>
      <c r="C7" s="128"/>
      <c r="D7" s="141"/>
      <c r="E7" s="17"/>
      <c r="F7" s="52" t="s">
        <v>91</v>
      </c>
      <c r="G7" s="42"/>
      <c r="H7" s="53">
        <f>ROUND(H5-(H5*H6)+H6,4)</f>
        <v>0.2472</v>
      </c>
      <c r="I7" s="54"/>
      <c r="J7" s="48" t="s">
        <v>92</v>
      </c>
      <c r="L7" s="49">
        <v>0</v>
      </c>
      <c r="M7" s="50"/>
      <c r="BC7" s="310"/>
      <c r="BD7" s="299"/>
      <c r="BE7" s="299"/>
      <c r="BF7" s="311"/>
      <c r="BG7" s="311"/>
      <c r="BH7" s="346"/>
      <c r="BI7" s="302"/>
      <c r="BJ7" s="303"/>
      <c r="BK7" s="309"/>
      <c r="BL7" s="301"/>
      <c r="BM7" s="302"/>
      <c r="BN7" s="303"/>
      <c r="BO7" s="265"/>
      <c r="BP7" s="288">
        <f t="shared" si="1"/>
        <v>4</v>
      </c>
      <c r="BQ7" s="287"/>
      <c r="BR7" s="288" t="s">
        <v>68</v>
      </c>
      <c r="BS7" s="296">
        <v>8.3000000000000007</v>
      </c>
      <c r="BT7" s="297">
        <f>ROUND((BS7*BZ3)+BY3,2)</f>
        <v>64.31</v>
      </c>
      <c r="BU7" s="297">
        <f>ROUND((BS7*BZ5)+BY5,2)</f>
        <v>64.48</v>
      </c>
      <c r="BV7" s="307">
        <f t="shared" si="0"/>
        <v>0.17000000000000171</v>
      </c>
      <c r="BW7" s="265"/>
      <c r="BX7" s="265"/>
      <c r="BY7" s="265"/>
      <c r="BZ7" s="265"/>
      <c r="CA7" s="265"/>
      <c r="CB7" s="265"/>
      <c r="CC7" s="265"/>
    </row>
    <row r="8" spans="2:81" s="18" customFormat="1" ht="15">
      <c r="B8" s="55" t="s">
        <v>93</v>
      </c>
      <c r="C8" s="56"/>
      <c r="D8" s="57"/>
      <c r="F8" s="58" t="s">
        <v>94</v>
      </c>
      <c r="G8" s="59"/>
      <c r="H8" s="60">
        <f>C215/(1-C215)</f>
        <v>0.32839171614925811</v>
      </c>
      <c r="I8" s="54"/>
      <c r="J8" s="41" t="s">
        <v>95</v>
      </c>
      <c r="K8" s="61"/>
      <c r="L8" s="62">
        <v>350</v>
      </c>
      <c r="M8" s="50"/>
      <c r="BC8" s="312" t="s">
        <v>57</v>
      </c>
      <c r="BD8" s="299" t="s">
        <v>286</v>
      </c>
      <c r="BE8" s="299" t="str">
        <f>BE5</f>
        <v>First</v>
      </c>
      <c r="BF8" s="311">
        <f>BF5</f>
        <v>45</v>
      </c>
      <c r="BG8" s="311"/>
      <c r="BH8" s="346">
        <v>25808736</v>
      </c>
      <c r="BI8" s="302">
        <f>1.7267+0.16661</f>
        <v>1.8933099999999998</v>
      </c>
      <c r="BJ8" s="301">
        <f>ROUND(BH8*BI8,0)</f>
        <v>48863938</v>
      </c>
      <c r="BK8" s="309"/>
      <c r="BL8" s="301">
        <f>BN8*BH8</f>
        <v>516414.32185738441</v>
      </c>
      <c r="BM8" s="305">
        <f>BM10</f>
        <v>1.0568413915405339E-2</v>
      </c>
      <c r="BN8" s="306">
        <f>BM8*BI8</f>
        <v>2.000928375017608E-2</v>
      </c>
      <c r="BO8" s="265"/>
      <c r="BP8" s="288">
        <f t="shared" si="1"/>
        <v>5</v>
      </c>
      <c r="BQ8" s="287"/>
      <c r="BR8" s="288" t="s">
        <v>69</v>
      </c>
      <c r="BS8" s="296">
        <v>4.4000000000000004</v>
      </c>
      <c r="BT8" s="297">
        <f>ROUND((BS8*BZ3)+BY3,2)</f>
        <v>37.270000000000003</v>
      </c>
      <c r="BU8" s="297">
        <f>ROUND((BS8*BZ5)+BY5,2)</f>
        <v>37.35</v>
      </c>
      <c r="BV8" s="307">
        <f t="shared" si="0"/>
        <v>7.9999999999998295E-2</v>
      </c>
      <c r="BW8" s="265"/>
      <c r="BX8" s="265"/>
      <c r="BY8" s="265"/>
      <c r="BZ8" s="265"/>
      <c r="CA8" s="265"/>
      <c r="CB8" s="265"/>
      <c r="CC8" s="265"/>
    </row>
    <row r="9" spans="2:81" s="18" customFormat="1" ht="15">
      <c r="B9" s="63" t="s">
        <v>96</v>
      </c>
      <c r="C9" s="142"/>
      <c r="D9" s="64">
        <f>+D5+D6</f>
        <v>27500000</v>
      </c>
      <c r="F9" s="65" t="s">
        <v>97</v>
      </c>
      <c r="G9" s="66"/>
      <c r="H9" s="67">
        <v>20</v>
      </c>
      <c r="J9" s="68" t="s">
        <v>98</v>
      </c>
      <c r="K9" s="61"/>
      <c r="L9" s="69">
        <v>12</v>
      </c>
      <c r="M9" s="70"/>
      <c r="BC9" s="312"/>
      <c r="BD9" s="299" t="s">
        <v>288</v>
      </c>
      <c r="BE9" s="299" t="str">
        <f>BE6</f>
        <v>Over</v>
      </c>
      <c r="BF9" s="311">
        <v>45</v>
      </c>
      <c r="BG9" s="311"/>
      <c r="BH9" s="346">
        <v>4737192</v>
      </c>
      <c r="BI9" s="302">
        <f>0.7267+0.07012</f>
        <v>0.79681999999999997</v>
      </c>
      <c r="BJ9" s="301">
        <f>ROUND(BH9*BI9,0)</f>
        <v>3774689</v>
      </c>
      <c r="BK9" s="309"/>
      <c r="BL9" s="301">
        <f>BN9*BH9</f>
        <v>39892.479235585743</v>
      </c>
      <c r="BM9" s="305">
        <f>BM10</f>
        <v>1.0568413915405339E-2</v>
      </c>
      <c r="BN9" s="306">
        <f>BM9*BI9</f>
        <v>8.4211235760732819E-3</v>
      </c>
      <c r="BO9" s="265"/>
      <c r="BP9" s="288">
        <f t="shared" si="1"/>
        <v>6</v>
      </c>
      <c r="BQ9" s="287"/>
      <c r="BR9" s="288" t="s">
        <v>70</v>
      </c>
      <c r="BS9" s="296">
        <v>3.1</v>
      </c>
      <c r="BT9" s="297">
        <f>ROUND((BS9*BZ3)+BY3,2)</f>
        <v>28.25</v>
      </c>
      <c r="BU9" s="297">
        <f>ROUND((BS9*BZ5)+BY5,2)</f>
        <v>28.31</v>
      </c>
      <c r="BV9" s="307">
        <f t="shared" si="0"/>
        <v>5.9999999999998721E-2</v>
      </c>
      <c r="BW9" s="265"/>
      <c r="BX9" s="265"/>
      <c r="BY9" s="265"/>
      <c r="BZ9" s="265"/>
      <c r="CA9" s="265"/>
      <c r="CB9" s="265"/>
      <c r="CC9" s="265"/>
    </row>
    <row r="10" spans="2:81" s="18" customFormat="1" ht="15.75" thickBot="1">
      <c r="B10" s="71" t="s">
        <v>99</v>
      </c>
      <c r="C10" s="50"/>
      <c r="D10" s="143">
        <v>2.5000000000000001E-2</v>
      </c>
      <c r="E10" s="72"/>
      <c r="F10" s="73" t="s">
        <v>100</v>
      </c>
      <c r="G10" s="129" t="s">
        <v>101</v>
      </c>
      <c r="H10" s="74">
        <v>0.5</v>
      </c>
      <c r="J10" s="75" t="s">
        <v>102</v>
      </c>
      <c r="K10" s="76" t="s">
        <v>103</v>
      </c>
      <c r="L10" s="77" t="s">
        <v>104</v>
      </c>
      <c r="M10" s="61"/>
      <c r="O10" s="72"/>
      <c r="BC10" s="313" t="s">
        <v>290</v>
      </c>
      <c r="BD10" s="314"/>
      <c r="BE10" s="299"/>
      <c r="BF10" s="311"/>
      <c r="BG10" s="311"/>
      <c r="BH10" s="315">
        <f>SUM(BH8:BH9,BH5:BH6)</f>
        <v>109964811</v>
      </c>
      <c r="BI10" s="316"/>
      <c r="BJ10" s="315">
        <f>SUM(BJ5:BJ9)</f>
        <v>238452907</v>
      </c>
      <c r="BK10" s="317"/>
      <c r="BL10" s="267">
        <v>2520069.0205076551</v>
      </c>
      <c r="BM10" s="318">
        <f>BL10/BJ10</f>
        <v>1.0568413915405339E-2</v>
      </c>
      <c r="BN10" s="315"/>
      <c r="BO10" s="265"/>
      <c r="BP10" s="288">
        <f t="shared" si="1"/>
        <v>7</v>
      </c>
      <c r="BQ10" s="287"/>
      <c r="BR10" s="288" t="s">
        <v>71</v>
      </c>
      <c r="BS10" s="296">
        <v>2</v>
      </c>
      <c r="BT10" s="297">
        <f>ROUND((BS10*BZ3)+BY3,2)</f>
        <v>20.62</v>
      </c>
      <c r="BU10" s="297">
        <f>ROUND((BS10*BZ5)+BY5,2)</f>
        <v>20.66</v>
      </c>
      <c r="BV10" s="307">
        <f t="shared" si="0"/>
        <v>3.9999999999999147E-2</v>
      </c>
      <c r="BW10" s="265"/>
      <c r="BX10" s="265"/>
      <c r="BY10" s="265"/>
      <c r="BZ10" s="265"/>
      <c r="CA10" s="265"/>
      <c r="CB10" s="265"/>
      <c r="CC10" s="265"/>
    </row>
    <row r="11" spans="2:81" s="18" customFormat="1" ht="15.75" thickTop="1">
      <c r="B11" s="78" t="s">
        <v>105</v>
      </c>
      <c r="C11" s="144"/>
      <c r="D11" s="79">
        <f>1/D10</f>
        <v>40</v>
      </c>
      <c r="F11" s="80" t="s">
        <v>106</v>
      </c>
      <c r="G11" s="81"/>
      <c r="H11" s="34"/>
      <c r="J11" s="82" t="s">
        <v>107</v>
      </c>
      <c r="K11" s="131">
        <v>0</v>
      </c>
      <c r="L11" s="132">
        <v>0</v>
      </c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88">
        <f t="shared" si="1"/>
        <v>8</v>
      </c>
      <c r="BQ11" s="287"/>
      <c r="BR11" s="288" t="s">
        <v>72</v>
      </c>
      <c r="BS11" s="296">
        <v>1.8</v>
      </c>
      <c r="BT11" s="297">
        <f>ROUND((BS11*BZ3)+BY3,2)</f>
        <v>19.23</v>
      </c>
      <c r="BU11" s="297">
        <f>ROUND((BS11*BZ5)+BY5,2)</f>
        <v>19.27</v>
      </c>
      <c r="BV11" s="307">
        <f t="shared" si="0"/>
        <v>3.9999999999999147E-2</v>
      </c>
      <c r="BW11" s="265"/>
      <c r="BX11" s="265"/>
      <c r="BY11" s="265"/>
      <c r="BZ11" s="265"/>
      <c r="CA11" s="265"/>
      <c r="CB11" s="265"/>
      <c r="CC11" s="265"/>
    </row>
    <row r="12" spans="2:81" s="18" customFormat="1" ht="15">
      <c r="B12" s="83" t="s">
        <v>140</v>
      </c>
      <c r="C12" s="145">
        <f>+'Working Gas'!$Z$9*0</f>
        <v>0</v>
      </c>
      <c r="D12" s="257">
        <f>+C12*C13</f>
        <v>0</v>
      </c>
      <c r="E12" s="84"/>
      <c r="F12" s="41" t="s">
        <v>108</v>
      </c>
      <c r="G12" s="69"/>
      <c r="H12" s="138">
        <v>1</v>
      </c>
      <c r="J12" s="68"/>
      <c r="K12" s="146"/>
      <c r="L12" s="147"/>
      <c r="N12" s="84"/>
      <c r="O12" s="148"/>
      <c r="BC12" s="275"/>
      <c r="BD12" s="276"/>
      <c r="BE12" s="276"/>
      <c r="BF12" s="277"/>
      <c r="BG12" s="277"/>
      <c r="BH12" s="384" t="s">
        <v>273</v>
      </c>
      <c r="BI12" s="384"/>
      <c r="BJ12" s="384"/>
      <c r="BK12" s="276"/>
      <c r="BL12" s="278"/>
      <c r="BM12" s="279"/>
      <c r="BN12" s="278"/>
      <c r="BO12" s="265"/>
      <c r="BP12" s="288">
        <f t="shared" si="1"/>
        <v>9</v>
      </c>
      <c r="BQ12" s="287"/>
      <c r="BR12" s="288" t="s">
        <v>73</v>
      </c>
      <c r="BS12" s="296">
        <v>2</v>
      </c>
      <c r="BT12" s="297">
        <f>ROUND((BS12*BZ3)+BY3,2)</f>
        <v>20.62</v>
      </c>
      <c r="BU12" s="297">
        <f>ROUND((BS12*BZ5)+BY5,2)</f>
        <v>20.66</v>
      </c>
      <c r="BV12" s="307">
        <f t="shared" si="0"/>
        <v>3.9999999999999147E-2</v>
      </c>
      <c r="BW12" s="265"/>
      <c r="BX12" s="265"/>
      <c r="BY12" s="265"/>
      <c r="BZ12" s="265"/>
      <c r="CA12" s="265"/>
      <c r="CB12" s="265"/>
      <c r="CC12" s="265"/>
    </row>
    <row r="13" spans="2:81" s="18" customFormat="1" ht="15">
      <c r="B13" s="78" t="s">
        <v>141</v>
      </c>
      <c r="C13" s="149">
        <f>'2A Demand Response 30yr'!C13</f>
        <v>4</v>
      </c>
      <c r="D13" s="150"/>
      <c r="E13" s="85"/>
      <c r="F13" s="41" t="s">
        <v>109</v>
      </c>
      <c r="G13" s="69"/>
      <c r="H13" s="139">
        <v>1.2E-2</v>
      </c>
      <c r="J13" s="86" t="s">
        <v>110</v>
      </c>
      <c r="K13" s="86" t="s">
        <v>111</v>
      </c>
      <c r="L13" s="86" t="s">
        <v>112</v>
      </c>
      <c r="M13" s="86" t="s">
        <v>113</v>
      </c>
      <c r="O13" s="151"/>
      <c r="BC13" s="275"/>
      <c r="BD13" s="276"/>
      <c r="BE13" s="276"/>
      <c r="BF13" s="277"/>
      <c r="BG13" s="277"/>
      <c r="BH13" s="347"/>
      <c r="BI13" s="347" t="s">
        <v>60</v>
      </c>
      <c r="BJ13" s="347"/>
      <c r="BK13" s="276"/>
      <c r="BL13" s="278"/>
      <c r="BM13" s="279" t="s">
        <v>279</v>
      </c>
      <c r="BN13" s="278"/>
      <c r="BO13" s="265"/>
      <c r="BP13" s="288">
        <f t="shared" si="1"/>
        <v>10</v>
      </c>
      <c r="BQ13" s="287"/>
      <c r="BR13" s="288" t="s">
        <v>74</v>
      </c>
      <c r="BS13" s="296">
        <v>3.1</v>
      </c>
      <c r="BT13" s="297">
        <f>ROUND((BS13*BZ3)+BY3,2)</f>
        <v>28.25</v>
      </c>
      <c r="BU13" s="297">
        <f>ROUND((BS13*BZ5)+BY5,2)</f>
        <v>28.31</v>
      </c>
      <c r="BV13" s="307">
        <f t="shared" si="0"/>
        <v>5.9999999999998721E-2</v>
      </c>
      <c r="BW13" s="265"/>
      <c r="BX13" s="265"/>
      <c r="BY13" s="265"/>
      <c r="BZ13" s="265"/>
      <c r="CA13" s="265"/>
      <c r="CB13" s="265"/>
      <c r="CC13" s="265"/>
    </row>
    <row r="14" spans="2:81" s="18" customFormat="1" ht="15.75" thickBot="1">
      <c r="B14" s="87" t="s">
        <v>114</v>
      </c>
      <c r="C14" s="88">
        <f>+D8</f>
        <v>0</v>
      </c>
      <c r="D14" s="88">
        <f>C219</f>
        <v>0</v>
      </c>
      <c r="F14" s="58" t="s">
        <v>115</v>
      </c>
      <c r="G14" s="59"/>
      <c r="H14" s="152">
        <v>0</v>
      </c>
      <c r="J14" s="89" t="s">
        <v>116</v>
      </c>
      <c r="K14" s="89" t="s">
        <v>112</v>
      </c>
      <c r="L14" s="89" t="s">
        <v>117</v>
      </c>
      <c r="M14" s="89" t="s">
        <v>112</v>
      </c>
      <c r="N14" s="84"/>
      <c r="O14" s="151"/>
      <c r="BC14" s="291" t="s">
        <v>281</v>
      </c>
      <c r="BD14" s="292"/>
      <c r="BE14" s="292"/>
      <c r="BF14" s="293" t="s">
        <v>282</v>
      </c>
      <c r="BG14" s="293"/>
      <c r="BH14" s="294" t="s">
        <v>282</v>
      </c>
      <c r="BI14" s="294" t="s">
        <v>283</v>
      </c>
      <c r="BJ14" s="295" t="s">
        <v>83</v>
      </c>
      <c r="BK14" s="276"/>
      <c r="BL14" s="294" t="s">
        <v>195</v>
      </c>
      <c r="BM14" s="294" t="s">
        <v>284</v>
      </c>
      <c r="BN14" s="294" t="s">
        <v>285</v>
      </c>
      <c r="BO14" s="265"/>
      <c r="BP14" s="288">
        <f t="shared" si="1"/>
        <v>11</v>
      </c>
      <c r="BQ14" s="287"/>
      <c r="BR14" s="288" t="s">
        <v>75</v>
      </c>
      <c r="BS14" s="296">
        <v>6.3</v>
      </c>
      <c r="BT14" s="297">
        <f>ROUND((BS14*CA3)+BY3,2)</f>
        <v>59.04</v>
      </c>
      <c r="BU14" s="297">
        <f>ROUND((BS14*CA5)+BY5,2)</f>
        <v>59.21</v>
      </c>
      <c r="BV14" s="307">
        <f t="shared" si="0"/>
        <v>0.17000000000000171</v>
      </c>
      <c r="BW14" s="265"/>
      <c r="BX14" s="265"/>
      <c r="BY14" s="265"/>
      <c r="BZ14" s="265"/>
      <c r="CA14" s="265"/>
      <c r="CB14" s="265"/>
      <c r="CC14" s="265"/>
    </row>
    <row r="15" spans="2:81" s="18" customFormat="1" ht="15">
      <c r="B15" s="35" t="s">
        <v>118</v>
      </c>
      <c r="C15" s="35"/>
      <c r="D15" s="262"/>
      <c r="E15" s="90"/>
      <c r="F15" s="91" t="s">
        <v>119</v>
      </c>
      <c r="G15" s="92"/>
      <c r="H15" s="93">
        <f>H16</f>
        <v>40</v>
      </c>
      <c r="J15" s="83" t="s">
        <v>120</v>
      </c>
      <c r="K15" s="153">
        <v>9.8500000000000004E-2</v>
      </c>
      <c r="L15" s="153">
        <v>0.52066570799982248</v>
      </c>
      <c r="M15" s="94">
        <f>K15*L15</f>
        <v>5.1285572237982517E-2</v>
      </c>
      <c r="N15" s="154"/>
      <c r="O15" s="84"/>
      <c r="BC15" s="265" t="s">
        <v>58</v>
      </c>
      <c r="BD15" s="265"/>
      <c r="BE15" s="265"/>
      <c r="BF15" s="265" t="s">
        <v>291</v>
      </c>
      <c r="BG15" s="265"/>
      <c r="BH15" s="319">
        <f>+BH5+BH6</f>
        <v>79418883</v>
      </c>
      <c r="BI15" s="320">
        <v>1.2336800000000001</v>
      </c>
      <c r="BJ15" s="321">
        <f>+BH15*BI15</f>
        <v>97977487.579440013</v>
      </c>
      <c r="BK15" s="321"/>
      <c r="BL15" s="321">
        <f>+BN15*BH15</f>
        <v>0</v>
      </c>
      <c r="BM15" s="322">
        <f>+BM17</f>
        <v>0</v>
      </c>
      <c r="BN15" s="323">
        <f>+BI15*BM15</f>
        <v>0</v>
      </c>
      <c r="BO15" s="320"/>
      <c r="BP15" s="288">
        <f t="shared" si="1"/>
        <v>12</v>
      </c>
      <c r="BQ15" s="287"/>
      <c r="BR15" s="288" t="s">
        <v>76</v>
      </c>
      <c r="BS15" s="296">
        <v>11.5</v>
      </c>
      <c r="BT15" s="297">
        <f>ROUND((BS15*CA3)+BY3,2)</f>
        <v>102.19</v>
      </c>
      <c r="BU15" s="297">
        <f>ROUND((BS15*CA5)+BY5,2)</f>
        <v>102.51</v>
      </c>
      <c r="BV15" s="307">
        <f t="shared" si="0"/>
        <v>0.32000000000000739</v>
      </c>
      <c r="BW15" s="265"/>
      <c r="BX15" s="265"/>
      <c r="BY15" s="265"/>
      <c r="BZ15" s="265"/>
      <c r="CA15" s="265"/>
      <c r="CB15" s="265"/>
      <c r="CC15" s="265"/>
    </row>
    <row r="16" spans="2:81" s="18" customFormat="1" ht="15.75" thickBot="1">
      <c r="B16" s="52" t="s">
        <v>121</v>
      </c>
      <c r="C16" s="95"/>
      <c r="D16" s="96">
        <f>C5+C7</f>
        <v>0</v>
      </c>
      <c r="E16" s="20"/>
      <c r="F16" s="97" t="s">
        <v>122</v>
      </c>
      <c r="G16" s="98"/>
      <c r="H16" s="130">
        <v>40</v>
      </c>
      <c r="J16" s="78" t="s">
        <v>123</v>
      </c>
      <c r="K16" s="152">
        <v>5.2455893909448444E-2</v>
      </c>
      <c r="L16" s="152">
        <f>1-L15</f>
        <v>0.47933429200017752</v>
      </c>
      <c r="M16" s="99">
        <f>K16*L16</f>
        <v>2.5143908768321895E-2</v>
      </c>
      <c r="N16" s="151"/>
      <c r="BC16" s="265" t="s">
        <v>57</v>
      </c>
      <c r="BD16" s="265"/>
      <c r="BE16" s="265"/>
      <c r="BF16" s="265" t="s">
        <v>291</v>
      </c>
      <c r="BG16" s="265"/>
      <c r="BH16" s="319">
        <f>+BH8+BH9</f>
        <v>30545928</v>
      </c>
      <c r="BI16" s="320">
        <v>0.57923000000000002</v>
      </c>
      <c r="BJ16" s="321">
        <f>+BH16*BI16</f>
        <v>17693117.875440001</v>
      </c>
      <c r="BK16" s="320"/>
      <c r="BL16" s="321">
        <f>+BN16*BH16</f>
        <v>0</v>
      </c>
      <c r="BM16" s="322">
        <f>+BM17</f>
        <v>0</v>
      </c>
      <c r="BN16" s="323">
        <f>+BI16*BM16</f>
        <v>0</v>
      </c>
      <c r="BO16" s="320"/>
      <c r="BP16" s="288"/>
      <c r="BQ16" s="287"/>
      <c r="BR16" s="288"/>
      <c r="BS16" s="324"/>
      <c r="BT16" s="325"/>
      <c r="BU16" s="325"/>
      <c r="BV16" s="326"/>
      <c r="BW16" s="265"/>
      <c r="BX16" s="265"/>
      <c r="BY16" s="265"/>
      <c r="BZ16" s="265"/>
      <c r="CA16" s="265"/>
      <c r="CB16" s="265"/>
      <c r="CC16" s="265"/>
    </row>
    <row r="17" spans="1:81" ht="16.5" thickTop="1" thickBot="1">
      <c r="B17" s="41" t="s">
        <v>124</v>
      </c>
      <c r="C17" s="50"/>
      <c r="D17" s="143">
        <v>0.02</v>
      </c>
      <c r="E17" s="20"/>
      <c r="F17" s="100" t="s">
        <v>125</v>
      </c>
      <c r="G17" s="92"/>
      <c r="H17" s="101" t="s">
        <v>126</v>
      </c>
      <c r="I17" s="47"/>
      <c r="J17" s="102" t="s">
        <v>127</v>
      </c>
      <c r="K17" s="103"/>
      <c r="L17" s="104"/>
      <c r="M17" s="94">
        <f>M15+M16</f>
        <v>7.6429481006304409E-2</v>
      </c>
      <c r="N17" s="155"/>
      <c r="BC17" s="265"/>
      <c r="BD17" s="265"/>
      <c r="BE17" s="265"/>
      <c r="BF17" s="265"/>
      <c r="BG17" s="265"/>
      <c r="BH17" s="315">
        <f>SUM(BH15:BH16)</f>
        <v>109964811</v>
      </c>
      <c r="BI17" s="316"/>
      <c r="BJ17" s="315">
        <f>SUM(BJ15:BJ16)</f>
        <v>115670605.45488001</v>
      </c>
      <c r="BK17" s="320"/>
      <c r="BL17" s="334">
        <v>0</v>
      </c>
      <c r="BM17" s="327">
        <f>+BL17/BJ17</f>
        <v>0</v>
      </c>
      <c r="BN17" s="315"/>
      <c r="BO17" s="320"/>
      <c r="BP17" s="288"/>
      <c r="BQ17" s="287"/>
      <c r="BR17" s="288"/>
      <c r="BS17" s="328"/>
      <c r="BT17" s="329"/>
      <c r="BU17" s="288"/>
      <c r="BV17" s="329" t="s">
        <v>269</v>
      </c>
      <c r="BW17" s="265"/>
      <c r="BX17" s="265"/>
      <c r="BY17" s="265"/>
      <c r="BZ17" s="265"/>
      <c r="CA17" s="265"/>
      <c r="CB17" s="265"/>
      <c r="CC17" s="265"/>
    </row>
    <row r="18" spans="1:81" ht="15.75" thickTop="1">
      <c r="B18" s="105" t="s">
        <v>128</v>
      </c>
      <c r="C18" s="156"/>
      <c r="D18" s="150">
        <f>39652833/(11547824+125886273-39652833)</f>
        <v>0.40552587865912637</v>
      </c>
      <c r="E18" s="20"/>
      <c r="F18" s="106" t="s">
        <v>129</v>
      </c>
      <c r="G18" s="92"/>
      <c r="H18" s="107">
        <f>D39</f>
        <v>3541799.3475781688</v>
      </c>
      <c r="I18" s="72"/>
      <c r="J18" s="108" t="s">
        <v>130</v>
      </c>
      <c r="K18" s="109"/>
      <c r="L18" s="110"/>
      <c r="M18" s="99">
        <f>(1+H8)*M15+M16</f>
        <v>9.3271238087232242E-2</v>
      </c>
      <c r="N18" s="157"/>
      <c r="O18" s="158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88">
        <f>BP15+1</f>
        <v>13</v>
      </c>
      <c r="BQ18" s="287"/>
      <c r="BR18" s="330" t="s">
        <v>37</v>
      </c>
      <c r="BS18" s="331">
        <f>SUM(BS4:BS17)</f>
        <v>80</v>
      </c>
      <c r="BT18" s="297">
        <f>SUM(BT4:BT15)</f>
        <v>711.25</v>
      </c>
      <c r="BU18" s="297">
        <f>SUM(BU4:BU15)</f>
        <v>713.26</v>
      </c>
      <c r="BV18" s="297">
        <f>SUM(BV4:BV15)</f>
        <v>2.0100000000000051</v>
      </c>
      <c r="BW18" s="265"/>
      <c r="BX18" s="265"/>
      <c r="BY18" s="265"/>
      <c r="BZ18" s="265"/>
      <c r="CA18" s="265"/>
      <c r="CB18" s="265"/>
      <c r="CC18" s="265"/>
    </row>
    <row r="19" spans="1:81" ht="15">
      <c r="B19" s="111" t="s">
        <v>131</v>
      </c>
      <c r="C19" s="159"/>
      <c r="D19" s="263">
        <f>(12729949+8535404)/(17670+1705)</f>
        <v>1097.5666064516129</v>
      </c>
      <c r="E19" s="20"/>
      <c r="F19" s="112" t="s">
        <v>132</v>
      </c>
      <c r="G19" s="92"/>
      <c r="H19" s="113" t="s">
        <v>126</v>
      </c>
      <c r="I19" s="114"/>
      <c r="J19" s="115" t="s">
        <v>133</v>
      </c>
      <c r="K19" s="116"/>
      <c r="L19" s="92"/>
      <c r="M19" s="99">
        <f>IF(L15=1,0.1,M17)</f>
        <v>7.6429481006304409E-2</v>
      </c>
      <c r="N19" s="157"/>
      <c r="O19" s="158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87"/>
      <c r="BQ19" s="287"/>
      <c r="BR19" s="288"/>
      <c r="BS19" s="287"/>
      <c r="BT19" s="332"/>
      <c r="BU19" s="287"/>
      <c r="BV19" s="287"/>
      <c r="BW19" s="265"/>
      <c r="BX19" s="265"/>
      <c r="BY19" s="265"/>
      <c r="BZ19" s="265"/>
      <c r="CA19" s="265"/>
      <c r="CB19" s="265"/>
      <c r="CC19" s="265"/>
    </row>
    <row r="20" spans="1:81" ht="15">
      <c r="B20" s="111" t="s">
        <v>134</v>
      </c>
      <c r="C20" s="111">
        <v>0</v>
      </c>
      <c r="D20" s="117"/>
      <c r="E20" s="90"/>
      <c r="F20" s="65" t="s">
        <v>135</v>
      </c>
      <c r="G20" s="118"/>
      <c r="H20" s="120">
        <v>420.25</v>
      </c>
      <c r="I20" s="90"/>
      <c r="J20"/>
      <c r="K20"/>
      <c r="L20"/>
      <c r="M20"/>
      <c r="N20" s="160"/>
      <c r="O20" s="20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87"/>
      <c r="BQ20" s="287" t="s">
        <v>269</v>
      </c>
      <c r="BR20" s="288"/>
      <c r="BS20" s="287"/>
      <c r="BT20" s="287"/>
      <c r="BU20" s="333" t="s">
        <v>77</v>
      </c>
      <c r="BV20" s="335">
        <f>ROUND(BV18/BT18,4)</f>
        <v>2.8E-3</v>
      </c>
      <c r="BW20" s="265"/>
      <c r="BX20" s="265"/>
      <c r="BY20" s="265"/>
      <c r="BZ20" s="265"/>
      <c r="CA20" s="265"/>
      <c r="CB20" s="265"/>
      <c r="CC20" s="265"/>
    </row>
    <row r="21" spans="1:81" ht="15">
      <c r="B21" s="111"/>
      <c r="C21" s="119"/>
      <c r="D21" s="111"/>
      <c r="E21" s="90"/>
      <c r="F21" s="65" t="s">
        <v>136</v>
      </c>
      <c r="G21" s="118"/>
      <c r="H21" s="120">
        <v>0</v>
      </c>
      <c r="I21" s="90"/>
      <c r="J21"/>
      <c r="K21"/>
      <c r="L21"/>
      <c r="M21"/>
      <c r="N21" s="160"/>
      <c r="O21" s="20"/>
    </row>
    <row r="22" spans="1:81" ht="15">
      <c r="B22" s="55" t="s">
        <v>137</v>
      </c>
      <c r="C22" s="121"/>
      <c r="D22" s="122"/>
      <c r="E22" s="90"/>
      <c r="F22" s="61"/>
      <c r="G22" s="61"/>
      <c r="H22" s="123"/>
      <c r="I22" s="90"/>
      <c r="J22"/>
      <c r="K22"/>
      <c r="L22"/>
      <c r="M22"/>
      <c r="N22" s="160"/>
      <c r="O22" s="20"/>
    </row>
    <row r="23" spans="1:81" ht="15">
      <c r="E23" s="90"/>
      <c r="F23" s="61"/>
      <c r="G23" s="61"/>
      <c r="H23" s="123"/>
      <c r="I23" s="90"/>
      <c r="J23"/>
      <c r="K23"/>
      <c r="L23"/>
      <c r="M23"/>
      <c r="N23" s="160"/>
      <c r="O23" s="20"/>
    </row>
    <row r="24" spans="1:81" ht="15">
      <c r="C24" s="125"/>
      <c r="D24" s="258"/>
      <c r="E24" s="90"/>
      <c r="F24" s="61"/>
      <c r="G24" s="61"/>
      <c r="H24" s="123"/>
      <c r="I24" s="90"/>
      <c r="J24"/>
      <c r="K24"/>
      <c r="L24"/>
      <c r="M24"/>
      <c r="N24" s="160"/>
      <c r="O24" s="20"/>
    </row>
    <row r="25" spans="1:81">
      <c r="B25" s="161"/>
      <c r="C25" s="162"/>
      <c r="D25" s="259"/>
      <c r="E25" s="90"/>
      <c r="F25" s="61"/>
      <c r="G25" s="61"/>
      <c r="H25" s="123"/>
      <c r="I25" s="90"/>
      <c r="J25" s="163"/>
      <c r="K25" s="163"/>
      <c r="L25" s="163"/>
      <c r="M25" s="164"/>
      <c r="N25" s="160"/>
      <c r="O25" s="20"/>
    </row>
    <row r="26" spans="1:81">
      <c r="D26" s="85"/>
      <c r="H26" s="27"/>
      <c r="W26" s="27"/>
    </row>
    <row r="27" spans="1:81">
      <c r="H27" s="348"/>
      <c r="W27" s="31"/>
    </row>
    <row r="28" spans="1:81">
      <c r="B28" s="61"/>
      <c r="C28" s="61"/>
      <c r="H28" s="31"/>
    </row>
    <row r="29" spans="1:81">
      <c r="B29" s="24" t="s">
        <v>145</v>
      </c>
      <c r="C29" s="24"/>
      <c r="P29" s="24" t="s">
        <v>146</v>
      </c>
      <c r="AY29" s="18" t="s">
        <v>147</v>
      </c>
      <c r="AZ29" s="18" t="s">
        <v>148</v>
      </c>
      <c r="BA29" s="18" t="s">
        <v>149</v>
      </c>
    </row>
    <row r="30" spans="1:81" s="172" customFormat="1">
      <c r="A30" s="171" t="s">
        <v>142</v>
      </c>
      <c r="B30" s="166" t="s">
        <v>143</v>
      </c>
      <c r="C30" s="166"/>
      <c r="D30" s="166">
        <v>1</v>
      </c>
      <c r="E30" s="166">
        <f>D30+1</f>
        <v>2</v>
      </c>
      <c r="F30" s="166">
        <f t="shared" ref="F30:AU30" si="2">E30+1</f>
        <v>3</v>
      </c>
      <c r="G30" s="166">
        <f t="shared" si="2"/>
        <v>4</v>
      </c>
      <c r="H30" s="166">
        <f t="shared" si="2"/>
        <v>5</v>
      </c>
      <c r="I30" s="166">
        <f t="shared" si="2"/>
        <v>6</v>
      </c>
      <c r="J30" s="166">
        <f t="shared" si="2"/>
        <v>7</v>
      </c>
      <c r="K30" s="166">
        <f t="shared" si="2"/>
        <v>8</v>
      </c>
      <c r="L30" s="166">
        <f t="shared" si="2"/>
        <v>9</v>
      </c>
      <c r="M30" s="166">
        <f t="shared" si="2"/>
        <v>10</v>
      </c>
      <c r="N30" s="166">
        <f t="shared" si="2"/>
        <v>11</v>
      </c>
      <c r="O30" s="166">
        <f t="shared" si="2"/>
        <v>12</v>
      </c>
      <c r="P30" s="166">
        <f t="shared" si="2"/>
        <v>13</v>
      </c>
      <c r="Q30" s="166">
        <f t="shared" si="2"/>
        <v>14</v>
      </c>
      <c r="R30" s="166">
        <f t="shared" si="2"/>
        <v>15</v>
      </c>
      <c r="S30" s="166">
        <f t="shared" si="2"/>
        <v>16</v>
      </c>
      <c r="T30" s="166">
        <f t="shared" si="2"/>
        <v>17</v>
      </c>
      <c r="U30" s="166">
        <f t="shared" si="2"/>
        <v>18</v>
      </c>
      <c r="V30" s="166">
        <f t="shared" si="2"/>
        <v>19</v>
      </c>
      <c r="W30" s="166">
        <f t="shared" si="2"/>
        <v>20</v>
      </c>
      <c r="X30" s="166">
        <f t="shared" si="2"/>
        <v>21</v>
      </c>
      <c r="Y30" s="166">
        <f t="shared" si="2"/>
        <v>22</v>
      </c>
      <c r="Z30" s="166">
        <f t="shared" si="2"/>
        <v>23</v>
      </c>
      <c r="AA30" s="166">
        <f t="shared" si="2"/>
        <v>24</v>
      </c>
      <c r="AB30" s="166">
        <f t="shared" si="2"/>
        <v>25</v>
      </c>
      <c r="AC30" s="166">
        <f t="shared" si="2"/>
        <v>26</v>
      </c>
      <c r="AD30" s="166">
        <f t="shared" si="2"/>
        <v>27</v>
      </c>
      <c r="AE30" s="166">
        <f t="shared" si="2"/>
        <v>28</v>
      </c>
      <c r="AF30" s="166">
        <f t="shared" si="2"/>
        <v>29</v>
      </c>
      <c r="AG30" s="166">
        <f t="shared" si="2"/>
        <v>30</v>
      </c>
      <c r="AH30" s="166">
        <f t="shared" si="2"/>
        <v>31</v>
      </c>
      <c r="AI30" s="166">
        <f t="shared" si="2"/>
        <v>32</v>
      </c>
      <c r="AJ30" s="166">
        <f t="shared" si="2"/>
        <v>33</v>
      </c>
      <c r="AK30" s="166">
        <f t="shared" si="2"/>
        <v>34</v>
      </c>
      <c r="AL30" s="166">
        <f t="shared" si="2"/>
        <v>35</v>
      </c>
      <c r="AM30" s="166">
        <f t="shared" si="2"/>
        <v>36</v>
      </c>
      <c r="AN30" s="166">
        <f t="shared" si="2"/>
        <v>37</v>
      </c>
      <c r="AO30" s="166">
        <f t="shared" si="2"/>
        <v>38</v>
      </c>
      <c r="AP30" s="166">
        <f t="shared" si="2"/>
        <v>39</v>
      </c>
      <c r="AQ30" s="166">
        <f t="shared" si="2"/>
        <v>40</v>
      </c>
      <c r="AR30" s="166">
        <f t="shared" si="2"/>
        <v>41</v>
      </c>
      <c r="AS30" s="166">
        <f t="shared" si="2"/>
        <v>42</v>
      </c>
      <c r="AT30" s="166">
        <f t="shared" si="2"/>
        <v>43</v>
      </c>
      <c r="AU30" s="166">
        <f t="shared" si="2"/>
        <v>44</v>
      </c>
      <c r="AY30" s="18" t="s">
        <v>144</v>
      </c>
      <c r="BA30" s="172" t="s">
        <v>144</v>
      </c>
    </row>
    <row r="31" spans="1:81" s="146" customFormat="1">
      <c r="A31" s="173">
        <v>1</v>
      </c>
      <c r="B31" s="174" t="s">
        <v>150</v>
      </c>
      <c r="C31" s="174"/>
      <c r="D31" s="175">
        <f>D16</f>
        <v>0</v>
      </c>
      <c r="E31" s="175">
        <f t="shared" ref="E31:AU31" si="3">D31*(1+$D$17)</f>
        <v>0</v>
      </c>
      <c r="F31" s="175">
        <f t="shared" si="3"/>
        <v>0</v>
      </c>
      <c r="G31" s="175">
        <f t="shared" si="3"/>
        <v>0</v>
      </c>
      <c r="H31" s="175">
        <f t="shared" si="3"/>
        <v>0</v>
      </c>
      <c r="I31" s="175">
        <f t="shared" si="3"/>
        <v>0</v>
      </c>
      <c r="J31" s="175">
        <f t="shared" si="3"/>
        <v>0</v>
      </c>
      <c r="K31" s="175">
        <f t="shared" si="3"/>
        <v>0</v>
      </c>
      <c r="L31" s="175">
        <f t="shared" si="3"/>
        <v>0</v>
      </c>
      <c r="M31" s="175">
        <f t="shared" si="3"/>
        <v>0</v>
      </c>
      <c r="N31" s="175">
        <f t="shared" si="3"/>
        <v>0</v>
      </c>
      <c r="O31" s="175">
        <f t="shared" si="3"/>
        <v>0</v>
      </c>
      <c r="P31" s="175">
        <f t="shared" si="3"/>
        <v>0</v>
      </c>
      <c r="Q31" s="175">
        <f t="shared" si="3"/>
        <v>0</v>
      </c>
      <c r="R31" s="175">
        <f t="shared" si="3"/>
        <v>0</v>
      </c>
      <c r="S31" s="175">
        <f t="shared" si="3"/>
        <v>0</v>
      </c>
      <c r="T31" s="175">
        <f t="shared" si="3"/>
        <v>0</v>
      </c>
      <c r="U31" s="175">
        <f t="shared" si="3"/>
        <v>0</v>
      </c>
      <c r="V31" s="175">
        <f t="shared" si="3"/>
        <v>0</v>
      </c>
      <c r="W31" s="175">
        <f t="shared" si="3"/>
        <v>0</v>
      </c>
      <c r="X31" s="175">
        <f t="shared" si="3"/>
        <v>0</v>
      </c>
      <c r="Y31" s="175">
        <f t="shared" si="3"/>
        <v>0</v>
      </c>
      <c r="Z31" s="175">
        <f t="shared" si="3"/>
        <v>0</v>
      </c>
      <c r="AA31" s="175">
        <f t="shared" si="3"/>
        <v>0</v>
      </c>
      <c r="AB31" s="175">
        <f t="shared" si="3"/>
        <v>0</v>
      </c>
      <c r="AC31" s="175">
        <f t="shared" si="3"/>
        <v>0</v>
      </c>
      <c r="AD31" s="175">
        <f t="shared" si="3"/>
        <v>0</v>
      </c>
      <c r="AE31" s="175">
        <f t="shared" si="3"/>
        <v>0</v>
      </c>
      <c r="AF31" s="175">
        <f t="shared" si="3"/>
        <v>0</v>
      </c>
      <c r="AG31" s="175">
        <f t="shared" si="3"/>
        <v>0</v>
      </c>
      <c r="AH31" s="175">
        <f t="shared" si="3"/>
        <v>0</v>
      </c>
      <c r="AI31" s="175">
        <f t="shared" si="3"/>
        <v>0</v>
      </c>
      <c r="AJ31" s="175">
        <f t="shared" si="3"/>
        <v>0</v>
      </c>
      <c r="AK31" s="175">
        <f t="shared" si="3"/>
        <v>0</v>
      </c>
      <c r="AL31" s="175">
        <f t="shared" si="3"/>
        <v>0</v>
      </c>
      <c r="AM31" s="175">
        <f t="shared" si="3"/>
        <v>0</v>
      </c>
      <c r="AN31" s="175">
        <f t="shared" si="3"/>
        <v>0</v>
      </c>
      <c r="AO31" s="175">
        <f t="shared" si="3"/>
        <v>0</v>
      </c>
      <c r="AP31" s="175">
        <f t="shared" si="3"/>
        <v>0</v>
      </c>
      <c r="AQ31" s="175">
        <f t="shared" si="3"/>
        <v>0</v>
      </c>
      <c r="AR31" s="175">
        <f t="shared" si="3"/>
        <v>0</v>
      </c>
      <c r="AS31" s="175">
        <f t="shared" si="3"/>
        <v>0</v>
      </c>
      <c r="AT31" s="175">
        <f t="shared" si="3"/>
        <v>0</v>
      </c>
      <c r="AU31" s="175">
        <f t="shared" si="3"/>
        <v>0</v>
      </c>
      <c r="AY31" s="146">
        <f>SUM(D31:M31)/10</f>
        <v>0</v>
      </c>
      <c r="BA31" s="146">
        <f>SUM(D31:AJ31)/33</f>
        <v>0</v>
      </c>
    </row>
    <row r="32" spans="1:81" s="146" customFormat="1">
      <c r="A32" s="176">
        <f>A31+1</f>
        <v>2</v>
      </c>
      <c r="B32" s="177" t="s">
        <v>151</v>
      </c>
      <c r="C32" s="178"/>
      <c r="D32" s="70">
        <f t="shared" ref="D32:AU32" si="4">$D$18*D31</f>
        <v>0</v>
      </c>
      <c r="E32" s="70">
        <f t="shared" si="4"/>
        <v>0</v>
      </c>
      <c r="F32" s="70">
        <f t="shared" si="4"/>
        <v>0</v>
      </c>
      <c r="G32" s="70">
        <f t="shared" si="4"/>
        <v>0</v>
      </c>
      <c r="H32" s="70">
        <f t="shared" si="4"/>
        <v>0</v>
      </c>
      <c r="I32" s="70">
        <f t="shared" si="4"/>
        <v>0</v>
      </c>
      <c r="J32" s="70">
        <f t="shared" si="4"/>
        <v>0</v>
      </c>
      <c r="K32" s="70">
        <f t="shared" si="4"/>
        <v>0</v>
      </c>
      <c r="L32" s="70">
        <f t="shared" si="4"/>
        <v>0</v>
      </c>
      <c r="M32" s="70">
        <f t="shared" si="4"/>
        <v>0</v>
      </c>
      <c r="N32" s="70">
        <f t="shared" si="4"/>
        <v>0</v>
      </c>
      <c r="O32" s="70">
        <f t="shared" si="4"/>
        <v>0</v>
      </c>
      <c r="P32" s="70">
        <f t="shared" si="4"/>
        <v>0</v>
      </c>
      <c r="Q32" s="70">
        <f t="shared" si="4"/>
        <v>0</v>
      </c>
      <c r="R32" s="70">
        <f t="shared" si="4"/>
        <v>0</v>
      </c>
      <c r="S32" s="70">
        <f t="shared" si="4"/>
        <v>0</v>
      </c>
      <c r="T32" s="70">
        <f t="shared" si="4"/>
        <v>0</v>
      </c>
      <c r="U32" s="70">
        <f t="shared" si="4"/>
        <v>0</v>
      </c>
      <c r="V32" s="70">
        <f t="shared" si="4"/>
        <v>0</v>
      </c>
      <c r="W32" s="70">
        <f t="shared" si="4"/>
        <v>0</v>
      </c>
      <c r="X32" s="70">
        <f t="shared" si="4"/>
        <v>0</v>
      </c>
      <c r="Y32" s="70">
        <f t="shared" si="4"/>
        <v>0</v>
      </c>
      <c r="Z32" s="70">
        <f t="shared" si="4"/>
        <v>0</v>
      </c>
      <c r="AA32" s="70">
        <f t="shared" si="4"/>
        <v>0</v>
      </c>
      <c r="AB32" s="70">
        <f t="shared" si="4"/>
        <v>0</v>
      </c>
      <c r="AC32" s="70">
        <f t="shared" si="4"/>
        <v>0</v>
      </c>
      <c r="AD32" s="70">
        <f t="shared" si="4"/>
        <v>0</v>
      </c>
      <c r="AE32" s="70">
        <f t="shared" si="4"/>
        <v>0</v>
      </c>
      <c r="AF32" s="70">
        <f t="shared" si="4"/>
        <v>0</v>
      </c>
      <c r="AG32" s="70">
        <f t="shared" si="4"/>
        <v>0</v>
      </c>
      <c r="AH32" s="70">
        <f t="shared" si="4"/>
        <v>0</v>
      </c>
      <c r="AI32" s="70">
        <f t="shared" si="4"/>
        <v>0</v>
      </c>
      <c r="AJ32" s="175">
        <f t="shared" si="4"/>
        <v>0</v>
      </c>
      <c r="AK32" s="179">
        <f t="shared" si="4"/>
        <v>0</v>
      </c>
      <c r="AL32" s="179">
        <f t="shared" si="4"/>
        <v>0</v>
      </c>
      <c r="AM32" s="179">
        <f t="shared" si="4"/>
        <v>0</v>
      </c>
      <c r="AN32" s="179">
        <f t="shared" si="4"/>
        <v>0</v>
      </c>
      <c r="AO32" s="179">
        <f t="shared" si="4"/>
        <v>0</v>
      </c>
      <c r="AP32" s="179">
        <f t="shared" si="4"/>
        <v>0</v>
      </c>
      <c r="AQ32" s="179">
        <f t="shared" si="4"/>
        <v>0</v>
      </c>
      <c r="AR32" s="179">
        <f t="shared" si="4"/>
        <v>0</v>
      </c>
      <c r="AS32" s="179">
        <f t="shared" si="4"/>
        <v>0</v>
      </c>
      <c r="AT32" s="179">
        <f t="shared" si="4"/>
        <v>0</v>
      </c>
      <c r="AU32" s="179">
        <f t="shared" si="4"/>
        <v>0</v>
      </c>
      <c r="AY32" s="146">
        <f>SUM(D32:M32)/10</f>
        <v>0</v>
      </c>
      <c r="BA32" s="146">
        <f>SUM(D32:AJ32)/33</f>
        <v>0</v>
      </c>
    </row>
    <row r="33" spans="1:53" s="146" customFormat="1">
      <c r="A33" s="173"/>
      <c r="B33" s="174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</row>
    <row r="34" spans="1:53" s="146" customFormat="1">
      <c r="A34" s="173">
        <f>A32+1</f>
        <v>3</v>
      </c>
      <c r="B34" s="180" t="s">
        <v>152</v>
      </c>
      <c r="C34" s="180"/>
      <c r="D34" s="181">
        <f t="shared" ref="D34:AU34" si="5">SUM(D31:D33)</f>
        <v>0</v>
      </c>
      <c r="E34" s="181">
        <f t="shared" si="5"/>
        <v>0</v>
      </c>
      <c r="F34" s="181">
        <f t="shared" si="5"/>
        <v>0</v>
      </c>
      <c r="G34" s="181">
        <f t="shared" si="5"/>
        <v>0</v>
      </c>
      <c r="H34" s="181">
        <f t="shared" si="5"/>
        <v>0</v>
      </c>
      <c r="I34" s="181">
        <f t="shared" si="5"/>
        <v>0</v>
      </c>
      <c r="J34" s="181">
        <f t="shared" si="5"/>
        <v>0</v>
      </c>
      <c r="K34" s="181">
        <f t="shared" si="5"/>
        <v>0</v>
      </c>
      <c r="L34" s="181">
        <f t="shared" si="5"/>
        <v>0</v>
      </c>
      <c r="M34" s="181">
        <f t="shared" si="5"/>
        <v>0</v>
      </c>
      <c r="N34" s="181">
        <f t="shared" si="5"/>
        <v>0</v>
      </c>
      <c r="O34" s="181">
        <f t="shared" si="5"/>
        <v>0</v>
      </c>
      <c r="P34" s="181">
        <f t="shared" si="5"/>
        <v>0</v>
      </c>
      <c r="Q34" s="181">
        <f t="shared" si="5"/>
        <v>0</v>
      </c>
      <c r="R34" s="181">
        <f t="shared" si="5"/>
        <v>0</v>
      </c>
      <c r="S34" s="181">
        <f t="shared" si="5"/>
        <v>0</v>
      </c>
      <c r="T34" s="181">
        <f t="shared" si="5"/>
        <v>0</v>
      </c>
      <c r="U34" s="181">
        <f t="shared" si="5"/>
        <v>0</v>
      </c>
      <c r="V34" s="181">
        <f t="shared" si="5"/>
        <v>0</v>
      </c>
      <c r="W34" s="181">
        <f t="shared" si="5"/>
        <v>0</v>
      </c>
      <c r="X34" s="181">
        <f t="shared" si="5"/>
        <v>0</v>
      </c>
      <c r="Y34" s="181">
        <f t="shared" si="5"/>
        <v>0</v>
      </c>
      <c r="Z34" s="181">
        <f t="shared" si="5"/>
        <v>0</v>
      </c>
      <c r="AA34" s="181">
        <f t="shared" si="5"/>
        <v>0</v>
      </c>
      <c r="AB34" s="181">
        <f t="shared" si="5"/>
        <v>0</v>
      </c>
      <c r="AC34" s="181">
        <f t="shared" si="5"/>
        <v>0</v>
      </c>
      <c r="AD34" s="181">
        <f t="shared" si="5"/>
        <v>0</v>
      </c>
      <c r="AE34" s="181">
        <f t="shared" si="5"/>
        <v>0</v>
      </c>
      <c r="AF34" s="181">
        <f t="shared" si="5"/>
        <v>0</v>
      </c>
      <c r="AG34" s="181">
        <f t="shared" si="5"/>
        <v>0</v>
      </c>
      <c r="AH34" s="181">
        <f t="shared" si="5"/>
        <v>0</v>
      </c>
      <c r="AI34" s="181">
        <f t="shared" si="5"/>
        <v>0</v>
      </c>
      <c r="AJ34" s="181">
        <f t="shared" si="5"/>
        <v>0</v>
      </c>
      <c r="AK34" s="181">
        <f t="shared" si="5"/>
        <v>0</v>
      </c>
      <c r="AL34" s="181">
        <f t="shared" si="5"/>
        <v>0</v>
      </c>
      <c r="AM34" s="181">
        <f t="shared" si="5"/>
        <v>0</v>
      </c>
      <c r="AN34" s="181">
        <f t="shared" si="5"/>
        <v>0</v>
      </c>
      <c r="AO34" s="181">
        <f t="shared" si="5"/>
        <v>0</v>
      </c>
      <c r="AP34" s="181">
        <f t="shared" si="5"/>
        <v>0</v>
      </c>
      <c r="AQ34" s="181">
        <f t="shared" si="5"/>
        <v>0</v>
      </c>
      <c r="AR34" s="181">
        <f t="shared" si="5"/>
        <v>0</v>
      </c>
      <c r="AS34" s="181">
        <f t="shared" si="5"/>
        <v>0</v>
      </c>
      <c r="AT34" s="181">
        <f t="shared" si="5"/>
        <v>0</v>
      </c>
      <c r="AU34" s="181">
        <f t="shared" si="5"/>
        <v>0</v>
      </c>
      <c r="AY34" s="146">
        <f t="shared" ref="AY34:AY39" si="6">SUM(D34:M34)/10</f>
        <v>0</v>
      </c>
      <c r="BA34" s="146">
        <f t="shared" ref="BA34:BA39" si="7">SUM(D34:AJ34)/33</f>
        <v>0</v>
      </c>
    </row>
    <row r="35" spans="1:53" s="146" customFormat="1">
      <c r="A35" s="173">
        <f t="shared" ref="A35:A68" si="8">A34+1</f>
        <v>4</v>
      </c>
      <c r="B35" s="174" t="s">
        <v>153</v>
      </c>
      <c r="C35" s="174"/>
      <c r="D35" s="175">
        <f>(D5*$D$10)</f>
        <v>687500</v>
      </c>
      <c r="E35" s="175">
        <f>IF(SUM($D$35:D35)&gt;=(E46-$D$6),0,IF((E46-$D$6)*$D$10+SUM($D$35:D35)&gt;(E46-$D$6),(E46-$D$6)-SUM($D$35:D35),(E46-$D$6)*$D$10))</f>
        <v>687500</v>
      </c>
      <c r="F35" s="175">
        <f>IF(SUM($D$35:E35)&gt;=$D$5,0,IF($D$5*$D$10+SUM($D$35:E35)&gt;$D$5,$D$5-SUM($D$35:E35),$D$5*$D$10))</f>
        <v>687500</v>
      </c>
      <c r="G35" s="175">
        <f>IF(SUM($D$35:F35)&gt;=$D$5,0,IF($D$5*$D$10+SUM($D$35:F35)&gt;$D$5,$D$5-SUM($D$35:F35),$D$5*$D$10))</f>
        <v>687500</v>
      </c>
      <c r="H35" s="175">
        <f>IF(SUM($D$35:G35)&gt;=$D$5,0,IF($D$5*$D$10+SUM($D$35:G35)&gt;$D$5,$D$5-SUM($D$35:G35),$D$5*$D$10))</f>
        <v>687500</v>
      </c>
      <c r="I35" s="175">
        <f>IF(SUM($D$35:H35)&gt;=$D$5,0,IF($D$5*$D$10+SUM($D$35:H35)&gt;$D$5,$D$5-SUM($D$35:H35),$D$5*$D$10))</f>
        <v>687500</v>
      </c>
      <c r="J35" s="175">
        <f>IF(SUM($D$35:I35)&gt;=$D$5,0,IF($D$5*$D$10+SUM($D$35:I35)&gt;$D$5,$D$5-SUM($D$35:I35),$D$5*$D$10))</f>
        <v>687500</v>
      </c>
      <c r="K35" s="175">
        <f>IF(SUM($D$35:J35)&gt;=$D$5,0,IF($D$5*$D$10+SUM($D$35:J35)&gt;$D$5,$D$5-SUM($D$35:J35),$D$5*$D$10))</f>
        <v>687500</v>
      </c>
      <c r="L35" s="175">
        <f>IF(SUM($D$35:K35)&gt;=$D$5,0,IF($D$5*$D$10+SUM($D$35:K35)&gt;$D$5,$D$5-SUM($D$35:K35),$D$5*$D$10))</f>
        <v>687500</v>
      </c>
      <c r="M35" s="175">
        <f>IF(SUM($D$35:L35)&gt;=$D$5,0,IF($D$5*$D$10+SUM($D$35:L35)&gt;$D$5,$D$5-SUM($D$35:L35),$D$5*$D$10))</f>
        <v>687500</v>
      </c>
      <c r="N35" s="175">
        <f>IF(SUM($D$35:M35)&gt;=$D$5,0,IF($D$5*$D$10+SUM($D$35:M35)&gt;$D$5,$D$5-SUM($D$35:M35),$D$5*$D$10))</f>
        <v>687500</v>
      </c>
      <c r="O35" s="175">
        <f>IF(SUM($D$35:N35)&gt;=$D$5,0,IF($D$5*$D$10+SUM($D$35:N35)&gt;$D$5,$D$5-SUM($D$35:N35),$D$5*$D$10))</f>
        <v>687500</v>
      </c>
      <c r="P35" s="175">
        <f>IF(SUM($D$35:O35)&gt;=$D$5,0,IF($D$5*$D$10+SUM($D$35:O35)&gt;$D$5,$D$5-SUM($D$35:O35),$D$5*$D$10))</f>
        <v>687500</v>
      </c>
      <c r="Q35" s="175">
        <f>IF(SUM($D$35:P35)&gt;=$D$5,0,IF($D$5*$D$10+SUM($D$35:P35)&gt;$D$5,$D$5-SUM($D$35:P35),$D$5*$D$10))</f>
        <v>687500</v>
      </c>
      <c r="R35" s="175">
        <f>IF(SUM($D$35:Q35)&gt;=$D$5,0,IF($D$5*$D$10+SUM($D$35:Q35)&gt;$D$5,$D$5-SUM($D$35:Q35),$D$5*$D$10))</f>
        <v>687500</v>
      </c>
      <c r="S35" s="175">
        <f>IF(SUM($D$35:R35)&gt;=$D$5,0,IF($D$5*$D$10+SUM($D$35:R35)&gt;$D$5,$D$5-SUM($D$35:R35),$D$5*$D$10))</f>
        <v>687500</v>
      </c>
      <c r="T35" s="175">
        <f>IF(SUM($D$35:S35)&gt;=$D$5,0,IF($D$5*$D$10+SUM($D$35:S35)&gt;$D$5,$D$5-SUM($D$35:S35),$D$5*$D$10))</f>
        <v>687500</v>
      </c>
      <c r="U35" s="175">
        <f>IF(SUM($D$35:T35)&gt;=$D$5,0,IF($D$5*$D$10+SUM($D$35:T35)&gt;$D$5,$D$5-SUM($D$35:T35),$D$5*$D$10))</f>
        <v>687500</v>
      </c>
      <c r="V35" s="175">
        <f>IF(SUM($D$35:U35)&gt;=$D$5,0,IF($D$5*$D$10+SUM($D$35:U35)&gt;$D$5,$D$5-SUM($D$35:U35),$D$5*$D$10))</f>
        <v>687500</v>
      </c>
      <c r="W35" s="175">
        <f>IF(SUM($D$35:V35)&gt;=$D$5,0,IF($D$5*$D$10+SUM($D$35:V35)&gt;$D$5,$D$5-SUM($D$35:V35),$D$5*$D$10))</f>
        <v>687500</v>
      </c>
      <c r="X35" s="175">
        <f>IF(SUM($D$35:W35)&gt;=$D$5,0,IF($D$5*$D$10+SUM($D$35:W35)&gt;$D$5,$D$5-SUM($D$35:W35),$D$5*$D$10))</f>
        <v>687500</v>
      </c>
      <c r="Y35" s="175">
        <f>IF(SUM($D$35:X35)&gt;=$D$5,0,IF($D$5*$D$10+SUM($D$35:X35)&gt;$D$5,$D$5-SUM($D$35:X35),$D$5*$D$10))</f>
        <v>687500</v>
      </c>
      <c r="Z35" s="175">
        <f>IF(SUM($D$35:Y35)&gt;=$D$5,0,IF($D$5*$D$10+SUM($D$35:Y35)&gt;$D$5,$D$5-SUM($D$35:Y35),$D$5*$D$10))</f>
        <v>687500</v>
      </c>
      <c r="AA35" s="175">
        <f>IF(SUM($D$35:Z35)&gt;=$D$5,0,IF($D$5*$D$10+SUM($D$35:Z35)&gt;$D$5,$D$5-SUM($D$35:Z35),$D$5*$D$10))</f>
        <v>687500</v>
      </c>
      <c r="AB35" s="175">
        <f>IF(SUM($D$35:AA35)&gt;=$D$5,0,IF($D$5*$D$10+SUM($D$35:AA35)&gt;$D$5,$D$5-SUM($D$35:AA35),$D$5*$D$10))</f>
        <v>687500</v>
      </c>
      <c r="AC35" s="175">
        <f>IF(SUM($D$35:AB35)&gt;=$D$5,0,IF($D$5*$D$10+SUM($D$35:AB35)&gt;$D$5,$D$5-SUM($D$35:AB35),$D$5*$D$10))</f>
        <v>687500</v>
      </c>
      <c r="AD35" s="175">
        <f>IF(SUM($D$35:AC35)&gt;=$D$5,0,IF($D$5*$D$10+SUM($D$35:AC35)&gt;$D$5,$D$5-SUM($D$35:AC35),$D$5*$D$10))</f>
        <v>687500</v>
      </c>
      <c r="AE35" s="175">
        <f>IF(SUM($D$35:AD35)&gt;=$D$5,0,IF($D$5*$D$10+SUM($D$35:AD35)&gt;$D$5,$D$5-SUM($D$35:AD35),$D$5*$D$10))</f>
        <v>687500</v>
      </c>
      <c r="AF35" s="175">
        <f>IF(SUM($D$35:AE35)&gt;=$D$5,0,IF($D$5*$D$10+SUM($D$35:AE35)&gt;$D$5,$D$5-SUM($D$35:AE35),$D$5*$D$10))</f>
        <v>687500</v>
      </c>
      <c r="AG35" s="175">
        <f>IF(SUM($D$35:AF35)&gt;=$D$5,0,IF($D$5*$D$10+SUM($D$35:AF35)&gt;$D$5,$D$5-SUM($D$35:AF35),$D$5*$D$10))</f>
        <v>687500</v>
      </c>
      <c r="AH35" s="175">
        <f>IF(SUM($D$35:AG35)&gt;=$D$5,0,IF($D$5*$D$10+SUM($D$35:AG35)&gt;$D$5,$D$5-SUM($D$35:AG35),$D$5*$D$10))</f>
        <v>687500</v>
      </c>
      <c r="AI35" s="175">
        <f>IF(SUM($D$35:AH35)&gt;=$D$5,0,IF($D$5*$D$10+SUM($D$35:AH35)&gt;$D$5,$D$5-SUM($D$35:AH35),$D$5*$D$10))</f>
        <v>687500</v>
      </c>
      <c r="AJ35" s="175">
        <f>IF(SUM($D$35:AI35)&gt;=$D$5,0,IF($D$5*$D$10+SUM($D$35:AI35)&gt;$D$5,$D$5-SUM($D$35:AI35),$D$5*$D$10))</f>
        <v>687500</v>
      </c>
      <c r="AK35" s="175">
        <f>IF(SUM($D$35:AJ35)&gt;=$D$5,0,IF($D$5*$D$10+SUM($D$35:AJ35)&gt;$D$5,$D$5-SUM($D$35:AJ35),$D$5*$D$10))</f>
        <v>687500</v>
      </c>
      <c r="AL35" s="175">
        <f>IF(SUM($D$35:AK35)&gt;=$D$5,0,IF($D$5*$D$10+SUM($D$35:AK35)&gt;$D$5,$D$5-SUM($D$35:AK35),$D$5*$D$10))</f>
        <v>687500</v>
      </c>
      <c r="AM35" s="175">
        <f>IF(SUM($D$35:AL35)&gt;=$D$5,0,IF($D$5*$D$10+SUM($D$35:AL35)&gt;$D$5,$D$5-SUM($D$35:AL35),$D$5*$D$10))</f>
        <v>687500</v>
      </c>
      <c r="AN35" s="175">
        <f>IF(SUM($D$35:AM35)&gt;=$D$5,0,IF($D$5*$D$10+SUM($D$35:AM35)&gt;$D$5,$D$5-SUM($D$35:AM35),$D$5*$D$10))</f>
        <v>687500</v>
      </c>
      <c r="AO35" s="175">
        <f>IF(SUM($D$35:AN35)&gt;=$D$5,0,IF($D$5*$D$10+SUM($D$35:AN35)&gt;$D$5,$D$5-SUM($D$35:AN35),$D$5*$D$10))</f>
        <v>687500</v>
      </c>
      <c r="AP35" s="175">
        <f>IF(SUM($D$35:AO35)&gt;=$D$5,0,IF($D$5*$D$10+SUM($D$35:AO35)&gt;$D$5,$D$5-SUM($D$35:AO35),$D$5*$D$10))</f>
        <v>687500</v>
      </c>
      <c r="AQ35" s="175">
        <f>IF(SUM($D$35:AP35)&gt;=$D$5,0,IF($D$5*$D$10+SUM($D$35:AP35)&gt;$D$5,$D$5-SUM($D$35:AP35),$D$5*$D$10))</f>
        <v>687500</v>
      </c>
      <c r="AR35" s="175">
        <f>IF(SUM($D$35:AQ35)&gt;=$D$5,0,IF($D$5*$D$10+SUM($D$35:AQ35)&gt;$D$5,$D$5-SUM($D$35:AQ35),$D$5*$D$10))</f>
        <v>0</v>
      </c>
      <c r="AS35" s="175">
        <f>IF(SUM($D$35:AR35)&gt;=$D$5,0,IF($D$5*$D$10+SUM($D$35:AR35)&gt;$D$5,$D$5-SUM($D$35:AR35),$D$5*$D$10))</f>
        <v>0</v>
      </c>
      <c r="AT35" s="175">
        <f>IF(SUM($D$35:AS35)&gt;=$D$5,0,IF($D$5*$D$10+SUM($D$35:AS35)&gt;$D$5,$D$5-SUM($D$35:AS35),$D$5*$D$10))</f>
        <v>0</v>
      </c>
      <c r="AU35" s="175">
        <f>IF(SUM($D$35:AT35)&gt;=$D$5,0,IF($D$5*$D$10+SUM($D$35:AT35)&gt;$D$5,$D$5-SUM($D$35:AT35),$D$5*$D$10))</f>
        <v>0</v>
      </c>
      <c r="AY35" s="146">
        <f t="shared" si="6"/>
        <v>687500</v>
      </c>
      <c r="BA35" s="146">
        <f t="shared" si="7"/>
        <v>687500</v>
      </c>
    </row>
    <row r="36" spans="1:53" s="146" customFormat="1">
      <c r="A36" s="173">
        <f t="shared" si="8"/>
        <v>5</v>
      </c>
      <c r="B36" s="174" t="s">
        <v>106</v>
      </c>
      <c r="C36" s="174"/>
      <c r="D36" s="175">
        <f>(D57*$H$12*($H$13))</f>
        <v>325365.15000000002</v>
      </c>
      <c r="E36" s="175">
        <f t="shared" ref="E36:AU36" si="9">(E57*$H$12*($H$13))</f>
        <v>314680.51428</v>
      </c>
      <c r="F36" s="175">
        <f t="shared" si="9"/>
        <v>302802.01380000002</v>
      </c>
      <c r="G36" s="175">
        <f t="shared" si="9"/>
        <v>291348.52428000001</v>
      </c>
      <c r="H36" s="175">
        <f t="shared" si="9"/>
        <v>280288.23108</v>
      </c>
      <c r="I36" s="175">
        <f t="shared" si="9"/>
        <v>269591.76684</v>
      </c>
      <c r="J36" s="175">
        <f t="shared" si="9"/>
        <v>259231.80360000001</v>
      </c>
      <c r="K36" s="175">
        <f t="shared" si="9"/>
        <v>249183.05279999998</v>
      </c>
      <c r="L36" s="175">
        <f t="shared" si="9"/>
        <v>239308.05888</v>
      </c>
      <c r="M36" s="175">
        <f t="shared" si="9"/>
        <v>229457.94563999999</v>
      </c>
      <c r="N36" s="175">
        <f t="shared" si="9"/>
        <v>219607.83239999998</v>
      </c>
      <c r="O36" s="175">
        <f t="shared" si="9"/>
        <v>209757.71916000001</v>
      </c>
      <c r="P36" s="175">
        <f t="shared" si="9"/>
        <v>199907.60592</v>
      </c>
      <c r="Q36" s="175">
        <f t="shared" si="9"/>
        <v>190057.49268000002</v>
      </c>
      <c r="R36" s="175">
        <f t="shared" si="9"/>
        <v>180207.37944000002</v>
      </c>
      <c r="S36" s="175">
        <f t="shared" si="9"/>
        <v>170357.26620000001</v>
      </c>
      <c r="T36" s="175">
        <f t="shared" si="9"/>
        <v>160507.15296000001</v>
      </c>
      <c r="U36" s="175">
        <f t="shared" si="9"/>
        <v>150657.03972</v>
      </c>
      <c r="V36" s="175">
        <f t="shared" si="9"/>
        <v>140806.92647999999</v>
      </c>
      <c r="W36" s="175">
        <f t="shared" si="9"/>
        <v>130956.81324</v>
      </c>
      <c r="X36" s="175">
        <f t="shared" si="9"/>
        <v>122016.68028000002</v>
      </c>
      <c r="Y36" s="175">
        <f t="shared" si="9"/>
        <v>114896.1</v>
      </c>
      <c r="Z36" s="175">
        <f t="shared" si="9"/>
        <v>108685.5</v>
      </c>
      <c r="AA36" s="175">
        <f t="shared" si="9"/>
        <v>102474.90000000001</v>
      </c>
      <c r="AB36" s="175">
        <f t="shared" si="9"/>
        <v>96264.3</v>
      </c>
      <c r="AC36" s="175">
        <f t="shared" si="9"/>
        <v>90053.7</v>
      </c>
      <c r="AD36" s="175">
        <f t="shared" si="9"/>
        <v>83843.100000000006</v>
      </c>
      <c r="AE36" s="175">
        <f t="shared" si="9"/>
        <v>77632.5</v>
      </c>
      <c r="AF36" s="175">
        <f t="shared" si="9"/>
        <v>71421.900000000009</v>
      </c>
      <c r="AG36" s="175">
        <f t="shared" si="9"/>
        <v>65211.3</v>
      </c>
      <c r="AH36" s="175">
        <f t="shared" si="9"/>
        <v>59000.700000000004</v>
      </c>
      <c r="AI36" s="175">
        <f t="shared" si="9"/>
        <v>52790.1</v>
      </c>
      <c r="AJ36" s="175">
        <f t="shared" si="9"/>
        <v>46579.500000000007</v>
      </c>
      <c r="AK36" s="175">
        <f t="shared" si="9"/>
        <v>40368.900000000009</v>
      </c>
      <c r="AL36" s="175">
        <f t="shared" si="9"/>
        <v>34158.300000000003</v>
      </c>
      <c r="AM36" s="175">
        <f t="shared" si="9"/>
        <v>27947.700000000004</v>
      </c>
      <c r="AN36" s="175">
        <f t="shared" si="9"/>
        <v>21737.100000000006</v>
      </c>
      <c r="AO36" s="175">
        <f t="shared" si="9"/>
        <v>15526.500000000005</v>
      </c>
      <c r="AP36" s="175">
        <f t="shared" si="9"/>
        <v>9315.9000000000051</v>
      </c>
      <c r="AQ36" s="175">
        <f t="shared" si="9"/>
        <v>3105.3000000000056</v>
      </c>
      <c r="AR36" s="175">
        <f t="shared" si="9"/>
        <v>5.5879354476928712E-12</v>
      </c>
      <c r="AS36" s="175">
        <f t="shared" si="9"/>
        <v>5.5879354476928712E-12</v>
      </c>
      <c r="AT36" s="175">
        <f t="shared" si="9"/>
        <v>5.5879354476928712E-12</v>
      </c>
      <c r="AU36" s="175">
        <f t="shared" si="9"/>
        <v>5.5879354476928712E-12</v>
      </c>
      <c r="AY36" s="146">
        <f t="shared" si="6"/>
        <v>276125.70611999999</v>
      </c>
      <c r="BA36" s="146">
        <f t="shared" si="7"/>
        <v>169846.98695999998</v>
      </c>
    </row>
    <row r="37" spans="1:53" s="146" customFormat="1">
      <c r="A37" s="173">
        <f t="shared" si="8"/>
        <v>6</v>
      </c>
      <c r="B37" s="182" t="s">
        <v>154</v>
      </c>
      <c r="C37" s="182"/>
      <c r="D37" s="175">
        <f>D61</f>
        <v>2072290.7960031987</v>
      </c>
      <c r="E37" s="175">
        <f t="shared" ref="E37:AU37" si="10">E61</f>
        <v>2004239.0324347804</v>
      </c>
      <c r="F37" s="175">
        <f t="shared" si="10"/>
        <v>1928583.3968664855</v>
      </c>
      <c r="G37" s="175">
        <f t="shared" si="10"/>
        <v>1855634.70855609</v>
      </c>
      <c r="H37" s="175">
        <f t="shared" si="10"/>
        <v>1785190.3361349602</v>
      </c>
      <c r="I37" s="175">
        <f t="shared" si="10"/>
        <v>1717063.2352628191</v>
      </c>
      <c r="J37" s="175">
        <f t="shared" si="10"/>
        <v>1651079.3507896862</v>
      </c>
      <c r="K37" s="175">
        <f t="shared" si="10"/>
        <v>1587077.616755879</v>
      </c>
      <c r="L37" s="175">
        <f t="shared" si="10"/>
        <v>1524182.5617353781</v>
      </c>
      <c r="M37" s="175">
        <f t="shared" si="10"/>
        <v>1461445.9748365008</v>
      </c>
      <c r="N37" s="175">
        <f t="shared" si="10"/>
        <v>1398709.3879376235</v>
      </c>
      <c r="O37" s="175">
        <f t="shared" si="10"/>
        <v>1335972.8010387463</v>
      </c>
      <c r="P37" s="175">
        <f t="shared" si="10"/>
        <v>1273236.214139869</v>
      </c>
      <c r="Q37" s="175">
        <f t="shared" si="10"/>
        <v>1210499.6272409917</v>
      </c>
      <c r="R37" s="175">
        <f t="shared" si="10"/>
        <v>1147763.0403421144</v>
      </c>
      <c r="S37" s="175">
        <f t="shared" si="10"/>
        <v>1085026.4534432371</v>
      </c>
      <c r="T37" s="175">
        <f t="shared" si="10"/>
        <v>1022289.8665443598</v>
      </c>
      <c r="U37" s="175">
        <f t="shared" si="10"/>
        <v>959553.27964548254</v>
      </c>
      <c r="V37" s="175">
        <f t="shared" si="10"/>
        <v>896816.69274660514</v>
      </c>
      <c r="W37" s="175">
        <f t="shared" si="10"/>
        <v>834080.10584772786</v>
      </c>
      <c r="X37" s="175">
        <f t="shared" si="10"/>
        <v>777139.29565938166</v>
      </c>
      <c r="Y37" s="175">
        <f t="shared" si="10"/>
        <v>731787.44105403766</v>
      </c>
      <c r="Z37" s="175">
        <f t="shared" si="10"/>
        <v>692231.36315922486</v>
      </c>
      <c r="AA37" s="175">
        <f t="shared" si="10"/>
        <v>652675.28526441194</v>
      </c>
      <c r="AB37" s="175">
        <f t="shared" si="10"/>
        <v>613119.20736959914</v>
      </c>
      <c r="AC37" s="175">
        <f t="shared" si="10"/>
        <v>573563.12947478634</v>
      </c>
      <c r="AD37" s="175">
        <f t="shared" si="10"/>
        <v>534007.05157997343</v>
      </c>
      <c r="AE37" s="175">
        <f t="shared" si="10"/>
        <v>494450.97368516063</v>
      </c>
      <c r="AF37" s="175">
        <f t="shared" si="10"/>
        <v>454894.89579034777</v>
      </c>
      <c r="AG37" s="175">
        <f t="shared" si="10"/>
        <v>415338.81789553491</v>
      </c>
      <c r="AH37" s="175">
        <f t="shared" si="10"/>
        <v>375782.74000072206</v>
      </c>
      <c r="AI37" s="175">
        <f t="shared" si="10"/>
        <v>336226.6621059092</v>
      </c>
      <c r="AJ37" s="175">
        <f t="shared" si="10"/>
        <v>296670.5842110964</v>
      </c>
      <c r="AK37" s="175">
        <f t="shared" si="10"/>
        <v>257114.50631628354</v>
      </c>
      <c r="AL37" s="175">
        <f t="shared" si="10"/>
        <v>217558.42842147071</v>
      </c>
      <c r="AM37" s="175">
        <f t="shared" si="10"/>
        <v>178002.35052665786</v>
      </c>
      <c r="AN37" s="175">
        <f t="shared" si="10"/>
        <v>138446.272631845</v>
      </c>
      <c r="AO37" s="175">
        <f t="shared" si="10"/>
        <v>98890.194737032158</v>
      </c>
      <c r="AP37" s="175">
        <f t="shared" si="10"/>
        <v>59334.1168422193</v>
      </c>
      <c r="AQ37" s="175">
        <f t="shared" si="10"/>
        <v>19778.038947406458</v>
      </c>
      <c r="AR37" s="175">
        <f t="shared" si="10"/>
        <v>3.5590250513658118E-11</v>
      </c>
      <c r="AS37" s="175">
        <f t="shared" si="10"/>
        <v>3.5590250513658118E-11</v>
      </c>
      <c r="AT37" s="175">
        <f t="shared" si="10"/>
        <v>3.5590250513658118E-11</v>
      </c>
      <c r="AU37" s="175">
        <f t="shared" si="10"/>
        <v>3.5590250513658118E-11</v>
      </c>
      <c r="AY37" s="146">
        <f t="shared" si="6"/>
        <v>1758678.700937578</v>
      </c>
      <c r="BA37" s="146">
        <f t="shared" si="7"/>
        <v>1081776.4219864463</v>
      </c>
    </row>
    <row r="38" spans="1:53" s="146" customFormat="1">
      <c r="A38" s="173">
        <f t="shared" si="8"/>
        <v>7</v>
      </c>
      <c r="B38" s="183" t="s">
        <v>82</v>
      </c>
      <c r="C38" s="183"/>
      <c r="D38" s="184">
        <f>$H$8*D59</f>
        <v>456643.40157497034</v>
      </c>
      <c r="E38" s="184">
        <f t="shared" ref="E38:AU38" si="11">$H$8*E59</f>
        <v>441647.73163376667</v>
      </c>
      <c r="F38" s="184">
        <f t="shared" si="11"/>
        <v>424976.49666961294</v>
      </c>
      <c r="G38" s="184">
        <f t="shared" si="11"/>
        <v>408901.75598421355</v>
      </c>
      <c r="H38" s="184">
        <f t="shared" si="11"/>
        <v>393378.85837436042</v>
      </c>
      <c r="I38" s="184">
        <f t="shared" si="11"/>
        <v>378366.58734478452</v>
      </c>
      <c r="J38" s="184">
        <f t="shared" si="11"/>
        <v>363826.58865683264</v>
      </c>
      <c r="K38" s="184">
        <f t="shared" si="11"/>
        <v>349723.37032846763</v>
      </c>
      <c r="L38" s="184">
        <f t="shared" si="11"/>
        <v>335864.01626377774</v>
      </c>
      <c r="M38" s="184">
        <f t="shared" si="11"/>
        <v>322039.58172980184</v>
      </c>
      <c r="N38" s="184">
        <f t="shared" si="11"/>
        <v>308215.14719582594</v>
      </c>
      <c r="O38" s="184">
        <f t="shared" si="11"/>
        <v>294390.71266185003</v>
      </c>
      <c r="P38" s="184">
        <f t="shared" si="11"/>
        <v>280566.27812787413</v>
      </c>
      <c r="Q38" s="184">
        <f t="shared" si="11"/>
        <v>266741.84359389823</v>
      </c>
      <c r="R38" s="184">
        <f t="shared" si="11"/>
        <v>252917.40905992233</v>
      </c>
      <c r="S38" s="184">
        <f t="shared" si="11"/>
        <v>239092.97452594643</v>
      </c>
      <c r="T38" s="184">
        <f t="shared" si="11"/>
        <v>225268.53999197047</v>
      </c>
      <c r="U38" s="184">
        <f t="shared" si="11"/>
        <v>211444.10545799456</v>
      </c>
      <c r="V38" s="184">
        <f t="shared" si="11"/>
        <v>197619.67092401866</v>
      </c>
      <c r="W38" s="184">
        <f t="shared" si="11"/>
        <v>183795.23639004276</v>
      </c>
      <c r="X38" s="184">
        <f t="shared" si="11"/>
        <v>171247.94075808307</v>
      </c>
      <c r="Y38" s="184">
        <f t="shared" si="11"/>
        <v>161254.35047883264</v>
      </c>
      <c r="Z38" s="184">
        <f t="shared" si="11"/>
        <v>152537.89910159845</v>
      </c>
      <c r="AA38" s="184">
        <f t="shared" si="11"/>
        <v>143821.44772436423</v>
      </c>
      <c r="AB38" s="184">
        <f t="shared" si="11"/>
        <v>135104.99634713004</v>
      </c>
      <c r="AC38" s="184">
        <f t="shared" si="11"/>
        <v>126388.54496989584</v>
      </c>
      <c r="AD38" s="184">
        <f t="shared" si="11"/>
        <v>117672.09359266165</v>
      </c>
      <c r="AE38" s="184">
        <f t="shared" si="11"/>
        <v>108955.64221542746</v>
      </c>
      <c r="AF38" s="184">
        <f t="shared" si="11"/>
        <v>100239.19083819327</v>
      </c>
      <c r="AG38" s="184">
        <f t="shared" si="11"/>
        <v>91522.739460959056</v>
      </c>
      <c r="AH38" s="184">
        <f t="shared" si="11"/>
        <v>82806.288083724867</v>
      </c>
      <c r="AI38" s="184">
        <f t="shared" si="11"/>
        <v>74089.836706490678</v>
      </c>
      <c r="AJ38" s="184">
        <f t="shared" si="11"/>
        <v>65373.385329256482</v>
      </c>
      <c r="AK38" s="184">
        <f t="shared" si="11"/>
        <v>56656.933952022286</v>
      </c>
      <c r="AL38" s="184">
        <f t="shared" si="11"/>
        <v>47940.48257478809</v>
      </c>
      <c r="AM38" s="184">
        <f t="shared" si="11"/>
        <v>39224.031197553893</v>
      </c>
      <c r="AN38" s="184">
        <f t="shared" si="11"/>
        <v>30507.579820319694</v>
      </c>
      <c r="AO38" s="184">
        <f t="shared" si="11"/>
        <v>21791.128443085498</v>
      </c>
      <c r="AP38" s="184">
        <f t="shared" si="11"/>
        <v>13074.677065851301</v>
      </c>
      <c r="AQ38" s="184">
        <f t="shared" si="11"/>
        <v>4358.2256886171062</v>
      </c>
      <c r="AR38" s="184">
        <f t="shared" si="11"/>
        <v>7.8425542828290843E-12</v>
      </c>
      <c r="AS38" s="184">
        <f t="shared" si="11"/>
        <v>7.8425542828290843E-12</v>
      </c>
      <c r="AT38" s="184">
        <f t="shared" si="11"/>
        <v>7.8425542828290843E-12</v>
      </c>
      <c r="AU38" s="184">
        <f t="shared" si="11"/>
        <v>7.8425542828290843E-12</v>
      </c>
      <c r="AV38" s="146" t="s">
        <v>155</v>
      </c>
      <c r="AW38" s="146" t="s">
        <v>155</v>
      </c>
      <c r="AX38" s="146" t="s">
        <v>156</v>
      </c>
      <c r="AY38" s="146">
        <f t="shared" si="6"/>
        <v>387536.83885605889</v>
      </c>
      <c r="BA38" s="146">
        <f t="shared" si="7"/>
        <v>238376.80794231969</v>
      </c>
    </row>
    <row r="39" spans="1:53" s="146" customFormat="1">
      <c r="A39" s="173">
        <f t="shared" si="8"/>
        <v>8</v>
      </c>
      <c r="B39" s="183" t="s">
        <v>157</v>
      </c>
      <c r="C39" s="183"/>
      <c r="D39" s="184">
        <f>SUM(D34:D38)</f>
        <v>3541799.3475781688</v>
      </c>
      <c r="E39" s="184">
        <f t="shared" ref="E39:AU39" si="12">SUM(E34:E38)</f>
        <v>3448067.2783485469</v>
      </c>
      <c r="F39" s="184">
        <f t="shared" si="12"/>
        <v>3343861.9073360981</v>
      </c>
      <c r="G39" s="184">
        <f t="shared" si="12"/>
        <v>3243384.9888203037</v>
      </c>
      <c r="H39" s="184">
        <f t="shared" si="12"/>
        <v>3146357.4255893207</v>
      </c>
      <c r="I39" s="184">
        <f t="shared" si="12"/>
        <v>3052521.5894476036</v>
      </c>
      <c r="J39" s="184">
        <f t="shared" si="12"/>
        <v>2961637.7430465184</v>
      </c>
      <c r="K39" s="184">
        <f t="shared" si="12"/>
        <v>2873484.039884347</v>
      </c>
      <c r="L39" s="184">
        <f t="shared" si="12"/>
        <v>2786854.6368791559</v>
      </c>
      <c r="M39" s="184">
        <f t="shared" si="12"/>
        <v>2700443.5022063027</v>
      </c>
      <c r="N39" s="184">
        <f t="shared" si="12"/>
        <v>2614032.3675334495</v>
      </c>
      <c r="O39" s="184">
        <f t="shared" si="12"/>
        <v>2527621.2328605959</v>
      </c>
      <c r="P39" s="184">
        <f t="shared" si="12"/>
        <v>2441210.0981877432</v>
      </c>
      <c r="Q39" s="184">
        <f t="shared" si="12"/>
        <v>2354798.9635148901</v>
      </c>
      <c r="R39" s="184">
        <f t="shared" si="12"/>
        <v>2268387.8288420369</v>
      </c>
      <c r="S39" s="184">
        <f t="shared" si="12"/>
        <v>2181976.6941691833</v>
      </c>
      <c r="T39" s="184">
        <f t="shared" si="12"/>
        <v>2095565.5594963303</v>
      </c>
      <c r="U39" s="184">
        <f t="shared" si="12"/>
        <v>2009154.4248234772</v>
      </c>
      <c r="V39" s="184">
        <f t="shared" si="12"/>
        <v>1922743.2901506238</v>
      </c>
      <c r="W39" s="184">
        <f t="shared" si="12"/>
        <v>1836332.1554777708</v>
      </c>
      <c r="X39" s="184">
        <f t="shared" si="12"/>
        <v>1757903.9166974647</v>
      </c>
      <c r="Y39" s="184">
        <f t="shared" si="12"/>
        <v>1695437.8915328702</v>
      </c>
      <c r="Z39" s="184">
        <f t="shared" si="12"/>
        <v>1640954.7622608233</v>
      </c>
      <c r="AA39" s="184">
        <f t="shared" si="12"/>
        <v>1586471.6329887761</v>
      </c>
      <c r="AB39" s="184">
        <f t="shared" si="12"/>
        <v>1531988.5037167293</v>
      </c>
      <c r="AC39" s="184">
        <f t="shared" si="12"/>
        <v>1477505.3744446822</v>
      </c>
      <c r="AD39" s="184">
        <f t="shared" si="12"/>
        <v>1423022.245172635</v>
      </c>
      <c r="AE39" s="184">
        <f t="shared" si="12"/>
        <v>1368539.1159005882</v>
      </c>
      <c r="AF39" s="184">
        <f t="shared" si="12"/>
        <v>1314055.986628541</v>
      </c>
      <c r="AG39" s="184">
        <f t="shared" si="12"/>
        <v>1259572.8573564941</v>
      </c>
      <c r="AH39" s="184">
        <f t="shared" si="12"/>
        <v>1205089.7280844469</v>
      </c>
      <c r="AI39" s="184">
        <f t="shared" si="12"/>
        <v>1150606.5988123999</v>
      </c>
      <c r="AJ39" s="184">
        <f t="shared" si="12"/>
        <v>1096123.4695403529</v>
      </c>
      <c r="AK39" s="184">
        <f t="shared" si="12"/>
        <v>1041640.340268306</v>
      </c>
      <c r="AL39" s="184">
        <f t="shared" si="12"/>
        <v>987157.21099625877</v>
      </c>
      <c r="AM39" s="184">
        <f t="shared" si="12"/>
        <v>932674.08172421169</v>
      </c>
      <c r="AN39" s="184">
        <f t="shared" si="12"/>
        <v>878190.95245216461</v>
      </c>
      <c r="AO39" s="184">
        <f t="shared" si="12"/>
        <v>823707.82318011764</v>
      </c>
      <c r="AP39" s="184">
        <f t="shared" si="12"/>
        <v>769224.69390807056</v>
      </c>
      <c r="AQ39" s="184">
        <f t="shared" si="12"/>
        <v>714741.5646360236</v>
      </c>
      <c r="AR39" s="184">
        <f t="shared" si="12"/>
        <v>4.9020740244180075E-11</v>
      </c>
      <c r="AS39" s="184">
        <f t="shared" si="12"/>
        <v>4.9020740244180075E-11</v>
      </c>
      <c r="AT39" s="184">
        <f t="shared" si="12"/>
        <v>4.9020740244180075E-11</v>
      </c>
      <c r="AU39" s="184">
        <f t="shared" si="12"/>
        <v>4.9020740244180075E-11</v>
      </c>
      <c r="AV39" s="146" t="s">
        <v>158</v>
      </c>
      <c r="AW39" s="185" t="s">
        <v>159</v>
      </c>
      <c r="AX39" s="146">
        <f>SUM(D39:AK39)/AK30</f>
        <v>2144092.5734587521</v>
      </c>
      <c r="AY39" s="186">
        <f t="shared" si="6"/>
        <v>3109841.2459136369</v>
      </c>
      <c r="AZ39" s="146">
        <f>SUM(AY34:AY38)</f>
        <v>3109841.2459136369</v>
      </c>
      <c r="BA39" s="146">
        <f t="shared" si="7"/>
        <v>2177500.2168887658</v>
      </c>
    </row>
    <row r="40" spans="1:53" s="146" customFormat="1">
      <c r="A40" s="173">
        <f t="shared" si="8"/>
        <v>9</v>
      </c>
      <c r="B40" s="183" t="s">
        <v>160</v>
      </c>
      <c r="C40" s="183"/>
      <c r="D40" s="184">
        <f>+$C$43</f>
        <v>2595747.5035215518</v>
      </c>
      <c r="E40" s="184">
        <f t="shared" ref="E40:AU40" si="13">+$C$43</f>
        <v>2595747.5035215518</v>
      </c>
      <c r="F40" s="184">
        <f t="shared" si="13"/>
        <v>2595747.5035215518</v>
      </c>
      <c r="G40" s="184">
        <f t="shared" si="13"/>
        <v>2595747.5035215518</v>
      </c>
      <c r="H40" s="184">
        <f t="shared" si="13"/>
        <v>2595747.5035215518</v>
      </c>
      <c r="I40" s="184">
        <f t="shared" si="13"/>
        <v>2595747.5035215518</v>
      </c>
      <c r="J40" s="184">
        <f t="shared" si="13"/>
        <v>2595747.5035215518</v>
      </c>
      <c r="K40" s="184">
        <f t="shared" si="13"/>
        <v>2595747.5035215518</v>
      </c>
      <c r="L40" s="184">
        <f t="shared" si="13"/>
        <v>2595747.5035215518</v>
      </c>
      <c r="M40" s="184">
        <f t="shared" si="13"/>
        <v>2595747.5035215518</v>
      </c>
      <c r="N40" s="184">
        <f t="shared" si="13"/>
        <v>2595747.5035215518</v>
      </c>
      <c r="O40" s="184">
        <f t="shared" si="13"/>
        <v>2595747.5035215518</v>
      </c>
      <c r="P40" s="184">
        <f t="shared" si="13"/>
        <v>2595747.5035215518</v>
      </c>
      <c r="Q40" s="184">
        <f t="shared" si="13"/>
        <v>2595747.5035215518</v>
      </c>
      <c r="R40" s="184">
        <f t="shared" si="13"/>
        <v>2595747.5035215518</v>
      </c>
      <c r="S40" s="184">
        <f t="shared" si="13"/>
        <v>2595747.5035215518</v>
      </c>
      <c r="T40" s="184">
        <f t="shared" si="13"/>
        <v>2595747.5035215518</v>
      </c>
      <c r="U40" s="184">
        <f t="shared" si="13"/>
        <v>2595747.5035215518</v>
      </c>
      <c r="V40" s="184">
        <f t="shared" si="13"/>
        <v>2595747.5035215518</v>
      </c>
      <c r="W40" s="184">
        <f t="shared" si="13"/>
        <v>2595747.5035215518</v>
      </c>
      <c r="X40" s="184">
        <f t="shared" si="13"/>
        <v>2595747.5035215518</v>
      </c>
      <c r="Y40" s="184">
        <f t="shared" si="13"/>
        <v>2595747.5035215518</v>
      </c>
      <c r="Z40" s="184">
        <f t="shared" si="13"/>
        <v>2595747.5035215518</v>
      </c>
      <c r="AA40" s="184">
        <f t="shared" si="13"/>
        <v>2595747.5035215518</v>
      </c>
      <c r="AB40" s="184">
        <f t="shared" si="13"/>
        <v>2595747.5035215518</v>
      </c>
      <c r="AC40" s="184">
        <f t="shared" si="13"/>
        <v>2595747.5035215518</v>
      </c>
      <c r="AD40" s="184">
        <f t="shared" si="13"/>
        <v>2595747.5035215518</v>
      </c>
      <c r="AE40" s="184">
        <f t="shared" si="13"/>
        <v>2595747.5035215518</v>
      </c>
      <c r="AF40" s="184">
        <f t="shared" si="13"/>
        <v>2595747.5035215518</v>
      </c>
      <c r="AG40" s="184">
        <f t="shared" si="13"/>
        <v>2595747.5035215518</v>
      </c>
      <c r="AH40" s="184">
        <f t="shared" si="13"/>
        <v>2595747.5035215518</v>
      </c>
      <c r="AI40" s="184">
        <f t="shared" si="13"/>
        <v>2595747.5035215518</v>
      </c>
      <c r="AJ40" s="184">
        <f t="shared" si="13"/>
        <v>2595747.5035215518</v>
      </c>
      <c r="AK40" s="184">
        <f t="shared" si="13"/>
        <v>2595747.5035215518</v>
      </c>
      <c r="AL40" s="184">
        <f t="shared" si="13"/>
        <v>2595747.5035215518</v>
      </c>
      <c r="AM40" s="184">
        <f t="shared" si="13"/>
        <v>2595747.5035215518</v>
      </c>
      <c r="AN40" s="184">
        <f t="shared" si="13"/>
        <v>2595747.5035215518</v>
      </c>
      <c r="AO40" s="184">
        <f t="shared" si="13"/>
        <v>2595747.5035215518</v>
      </c>
      <c r="AP40" s="184">
        <f t="shared" si="13"/>
        <v>2595747.5035215518</v>
      </c>
      <c r="AQ40" s="184">
        <f t="shared" si="13"/>
        <v>2595747.5035215518</v>
      </c>
      <c r="AR40" s="184">
        <f t="shared" si="13"/>
        <v>2595747.5035215518</v>
      </c>
      <c r="AS40" s="184">
        <f t="shared" si="13"/>
        <v>2595747.5035215518</v>
      </c>
      <c r="AT40" s="184">
        <f t="shared" si="13"/>
        <v>2595747.5035215518</v>
      </c>
      <c r="AU40" s="184">
        <f t="shared" si="13"/>
        <v>2595747.5035215518</v>
      </c>
      <c r="AW40" s="185"/>
    </row>
    <row r="41" spans="1:53" s="191" customFormat="1">
      <c r="A41" s="187">
        <f t="shared" si="8"/>
        <v>10</v>
      </c>
      <c r="B41" s="188" t="s">
        <v>161</v>
      </c>
      <c r="C41" s="189"/>
      <c r="D41" s="189">
        <f t="shared" ref="D41:AU41" si="14">D40-D39</f>
        <v>-946051.844056617</v>
      </c>
      <c r="E41" s="189">
        <f t="shared" si="14"/>
        <v>-852319.7748269951</v>
      </c>
      <c r="F41" s="189">
        <f t="shared" si="14"/>
        <v>-748114.4038145463</v>
      </c>
      <c r="G41" s="189">
        <f t="shared" si="14"/>
        <v>-647637.48529875185</v>
      </c>
      <c r="H41" s="189">
        <f t="shared" si="14"/>
        <v>-550609.92206776887</v>
      </c>
      <c r="I41" s="189">
        <f t="shared" si="14"/>
        <v>-456774.08592605172</v>
      </c>
      <c r="J41" s="189">
        <f t="shared" si="14"/>
        <v>-365890.23952496657</v>
      </c>
      <c r="K41" s="189">
        <f t="shared" si="14"/>
        <v>-277736.53636279516</v>
      </c>
      <c r="L41" s="189">
        <f t="shared" si="14"/>
        <v>-191107.13335760403</v>
      </c>
      <c r="M41" s="189">
        <f t="shared" si="14"/>
        <v>-104695.99868475087</v>
      </c>
      <c r="N41" s="189">
        <f t="shared" si="14"/>
        <v>-18284.864011897705</v>
      </c>
      <c r="O41" s="189">
        <f t="shared" si="14"/>
        <v>68126.270660955925</v>
      </c>
      <c r="P41" s="189">
        <f t="shared" si="14"/>
        <v>154537.40533380862</v>
      </c>
      <c r="Q41" s="189">
        <f t="shared" si="14"/>
        <v>240948.54000666179</v>
      </c>
      <c r="R41" s="189">
        <f t="shared" si="14"/>
        <v>327359.67467951495</v>
      </c>
      <c r="S41" s="189">
        <f t="shared" si="14"/>
        <v>413770.80935236858</v>
      </c>
      <c r="T41" s="189">
        <f t="shared" si="14"/>
        <v>500181.94402522151</v>
      </c>
      <c r="U41" s="189">
        <f t="shared" si="14"/>
        <v>586593.07869807468</v>
      </c>
      <c r="V41" s="189">
        <f t="shared" si="14"/>
        <v>673004.21337092808</v>
      </c>
      <c r="W41" s="189">
        <f t="shared" si="14"/>
        <v>759415.34804378101</v>
      </c>
      <c r="X41" s="189">
        <f t="shared" si="14"/>
        <v>837843.58682408719</v>
      </c>
      <c r="Y41" s="189">
        <f t="shared" si="14"/>
        <v>900309.6119886816</v>
      </c>
      <c r="Z41" s="189">
        <f t="shared" si="14"/>
        <v>954792.74126072857</v>
      </c>
      <c r="AA41" s="189">
        <f t="shared" si="14"/>
        <v>1009275.8705327758</v>
      </c>
      <c r="AB41" s="189">
        <f t="shared" si="14"/>
        <v>1063758.9998048225</v>
      </c>
      <c r="AC41" s="189">
        <f t="shared" si="14"/>
        <v>1118242.1290768697</v>
      </c>
      <c r="AD41" s="189">
        <f t="shared" si="14"/>
        <v>1172725.2583489169</v>
      </c>
      <c r="AE41" s="189">
        <f t="shared" si="14"/>
        <v>1227208.3876209636</v>
      </c>
      <c r="AF41" s="189">
        <f t="shared" si="14"/>
        <v>1281691.5168930108</v>
      </c>
      <c r="AG41" s="189">
        <f t="shared" si="14"/>
        <v>1336174.6461650578</v>
      </c>
      <c r="AH41" s="189">
        <f t="shared" si="14"/>
        <v>1390657.775437105</v>
      </c>
      <c r="AI41" s="189">
        <f t="shared" si="14"/>
        <v>1445140.9047091519</v>
      </c>
      <c r="AJ41" s="189">
        <f t="shared" si="14"/>
        <v>1499624.0339811989</v>
      </c>
      <c r="AK41" s="189">
        <f t="shared" si="14"/>
        <v>1554107.1632532459</v>
      </c>
      <c r="AL41" s="189">
        <f t="shared" si="14"/>
        <v>1608590.2925252931</v>
      </c>
      <c r="AM41" s="189">
        <f t="shared" si="14"/>
        <v>1663073.4217973403</v>
      </c>
      <c r="AN41" s="189">
        <f t="shared" si="14"/>
        <v>1717556.5510693872</v>
      </c>
      <c r="AO41" s="189">
        <f t="shared" si="14"/>
        <v>1772039.6803414342</v>
      </c>
      <c r="AP41" s="189">
        <f t="shared" si="14"/>
        <v>1826522.8096134812</v>
      </c>
      <c r="AQ41" s="189">
        <f t="shared" si="14"/>
        <v>1881005.9388855281</v>
      </c>
      <c r="AR41" s="189">
        <f t="shared" si="14"/>
        <v>2595747.5035215518</v>
      </c>
      <c r="AS41" s="189">
        <f t="shared" si="14"/>
        <v>2595747.5035215518</v>
      </c>
      <c r="AT41" s="189">
        <f t="shared" si="14"/>
        <v>2595747.5035215518</v>
      </c>
      <c r="AU41" s="189">
        <f t="shared" si="14"/>
        <v>2595747.5035215518</v>
      </c>
      <c r="AV41" s="190">
        <f>SUM(D41:AK41)</f>
        <v>15356267.622135188</v>
      </c>
    </row>
    <row r="42" spans="1:53" s="191" customFormat="1">
      <c r="A42" s="187">
        <f t="shared" si="8"/>
        <v>11</v>
      </c>
      <c r="B42" s="188" t="s">
        <v>162</v>
      </c>
      <c r="C42" s="192">
        <f>NPV(M19,D41:AQ41)</f>
        <v>-3.1092984367127099E-9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</row>
    <row r="43" spans="1:53">
      <c r="A43" s="187">
        <f t="shared" si="8"/>
        <v>12</v>
      </c>
      <c r="B43" s="167" t="s">
        <v>163</v>
      </c>
      <c r="C43" s="167">
        <f>AV43</f>
        <v>2595747.5035215518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24">
        <f>PMT(M19,40,-NPV($M$19,D39:AQ39,,))</f>
        <v>2595747.5035215518</v>
      </c>
    </row>
    <row r="44" spans="1:53">
      <c r="A44" s="187">
        <f t="shared" si="8"/>
        <v>13</v>
      </c>
      <c r="B44" s="169" t="s">
        <v>164</v>
      </c>
      <c r="C44" s="167"/>
      <c r="D44" s="194">
        <f>D39</f>
        <v>3541799.3475781688</v>
      </c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W44" s="107">
        <f>SUM(D39:AK39)/34</f>
        <v>2144092.5734587521</v>
      </c>
    </row>
    <row r="45" spans="1:53">
      <c r="A45" s="187">
        <f t="shared" si="8"/>
        <v>14</v>
      </c>
      <c r="B45" s="25" t="s">
        <v>165</v>
      </c>
      <c r="C45" s="25"/>
      <c r="D45" s="195"/>
      <c r="E45" s="165"/>
    </row>
    <row r="46" spans="1:53">
      <c r="A46" s="187">
        <f t="shared" si="8"/>
        <v>15</v>
      </c>
      <c r="B46" s="196" t="s">
        <v>166</v>
      </c>
      <c r="C46" s="196"/>
      <c r="D46" s="167">
        <f>D9</f>
        <v>27500000</v>
      </c>
      <c r="E46" s="167">
        <f>D46+$D$22</f>
        <v>27500000</v>
      </c>
      <c r="F46" s="167">
        <f>E46+$D$22</f>
        <v>27500000</v>
      </c>
      <c r="G46" s="167">
        <f t="shared" ref="G46:AU46" si="15">F46+$D$22</f>
        <v>27500000</v>
      </c>
      <c r="H46" s="167">
        <f t="shared" si="15"/>
        <v>27500000</v>
      </c>
      <c r="I46" s="167">
        <f t="shared" si="15"/>
        <v>27500000</v>
      </c>
      <c r="J46" s="167">
        <f t="shared" si="15"/>
        <v>27500000</v>
      </c>
      <c r="K46" s="167">
        <f t="shared" si="15"/>
        <v>27500000</v>
      </c>
      <c r="L46" s="167">
        <f t="shared" si="15"/>
        <v>27500000</v>
      </c>
      <c r="M46" s="167">
        <f t="shared" si="15"/>
        <v>27500000</v>
      </c>
      <c r="N46" s="167">
        <f t="shared" si="15"/>
        <v>27500000</v>
      </c>
      <c r="O46" s="167">
        <f t="shared" si="15"/>
        <v>27500000</v>
      </c>
      <c r="P46" s="167">
        <f t="shared" si="15"/>
        <v>27500000</v>
      </c>
      <c r="Q46" s="167">
        <f t="shared" si="15"/>
        <v>27500000</v>
      </c>
      <c r="R46" s="167">
        <f t="shared" si="15"/>
        <v>27500000</v>
      </c>
      <c r="S46" s="167">
        <f t="shared" si="15"/>
        <v>27500000</v>
      </c>
      <c r="T46" s="167">
        <f t="shared" si="15"/>
        <v>27500000</v>
      </c>
      <c r="U46" s="167">
        <f t="shared" si="15"/>
        <v>27500000</v>
      </c>
      <c r="V46" s="167">
        <f t="shared" si="15"/>
        <v>27500000</v>
      </c>
      <c r="W46" s="167">
        <f t="shared" si="15"/>
        <v>27500000</v>
      </c>
      <c r="X46" s="167">
        <f t="shared" si="15"/>
        <v>27500000</v>
      </c>
      <c r="Y46" s="167">
        <f t="shared" si="15"/>
        <v>27500000</v>
      </c>
      <c r="Z46" s="167">
        <f t="shared" si="15"/>
        <v>27500000</v>
      </c>
      <c r="AA46" s="167">
        <f t="shared" si="15"/>
        <v>27500000</v>
      </c>
      <c r="AB46" s="167">
        <f t="shared" si="15"/>
        <v>27500000</v>
      </c>
      <c r="AC46" s="167">
        <f t="shared" si="15"/>
        <v>27500000</v>
      </c>
      <c r="AD46" s="167">
        <f t="shared" si="15"/>
        <v>27500000</v>
      </c>
      <c r="AE46" s="167">
        <f t="shared" si="15"/>
        <v>27500000</v>
      </c>
      <c r="AF46" s="167">
        <f t="shared" si="15"/>
        <v>27500000</v>
      </c>
      <c r="AG46" s="167">
        <f t="shared" si="15"/>
        <v>27500000</v>
      </c>
      <c r="AH46" s="167">
        <f t="shared" si="15"/>
        <v>27500000</v>
      </c>
      <c r="AI46" s="167">
        <f t="shared" si="15"/>
        <v>27500000</v>
      </c>
      <c r="AJ46" s="167">
        <f t="shared" si="15"/>
        <v>27500000</v>
      </c>
      <c r="AK46" s="167">
        <f t="shared" si="15"/>
        <v>27500000</v>
      </c>
      <c r="AL46" s="167">
        <f t="shared" si="15"/>
        <v>27500000</v>
      </c>
      <c r="AM46" s="167">
        <f t="shared" si="15"/>
        <v>27500000</v>
      </c>
      <c r="AN46" s="167">
        <f t="shared" si="15"/>
        <v>27500000</v>
      </c>
      <c r="AO46" s="167">
        <f t="shared" si="15"/>
        <v>27500000</v>
      </c>
      <c r="AP46" s="167">
        <f t="shared" si="15"/>
        <v>27500000</v>
      </c>
      <c r="AQ46" s="167">
        <f t="shared" si="15"/>
        <v>27500000</v>
      </c>
      <c r="AR46" s="167">
        <f t="shared" si="15"/>
        <v>27500000</v>
      </c>
      <c r="AS46" s="167">
        <f t="shared" si="15"/>
        <v>27500000</v>
      </c>
      <c r="AT46" s="167">
        <f t="shared" si="15"/>
        <v>27500000</v>
      </c>
      <c r="AU46" s="167">
        <f t="shared" si="15"/>
        <v>27500000</v>
      </c>
      <c r="AY46" s="18">
        <f>SUM(D46:M46)/10</f>
        <v>27500000</v>
      </c>
    </row>
    <row r="47" spans="1:53">
      <c r="A47" s="187">
        <f t="shared" si="8"/>
        <v>16</v>
      </c>
      <c r="B47" s="197" t="s">
        <v>167</v>
      </c>
      <c r="C47" s="19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</row>
    <row r="48" spans="1:53">
      <c r="A48" s="187">
        <f t="shared" si="8"/>
        <v>17</v>
      </c>
      <c r="B48" s="199" t="s">
        <v>168</v>
      </c>
      <c r="C48" s="199"/>
      <c r="D48" s="71">
        <v>0</v>
      </c>
      <c r="E48" s="71">
        <f>(D49)</f>
        <v>687500</v>
      </c>
      <c r="F48" s="71">
        <f t="shared" ref="F48:AU48" si="16">(E49)</f>
        <v>1375000</v>
      </c>
      <c r="G48" s="71">
        <f t="shared" si="16"/>
        <v>2062500</v>
      </c>
      <c r="H48" s="71">
        <f t="shared" si="16"/>
        <v>2750000</v>
      </c>
      <c r="I48" s="71">
        <f t="shared" si="16"/>
        <v>3437500</v>
      </c>
      <c r="J48" s="71">
        <f t="shared" si="16"/>
        <v>4125000</v>
      </c>
      <c r="K48" s="71">
        <f t="shared" si="16"/>
        <v>4812500</v>
      </c>
      <c r="L48" s="71">
        <f t="shared" si="16"/>
        <v>5500000</v>
      </c>
      <c r="M48" s="71">
        <f t="shared" si="16"/>
        <v>6187500</v>
      </c>
      <c r="N48" s="71">
        <f t="shared" si="16"/>
        <v>6875000</v>
      </c>
      <c r="O48" s="71">
        <f t="shared" si="16"/>
        <v>7562500</v>
      </c>
      <c r="P48" s="71">
        <f t="shared" si="16"/>
        <v>8250000</v>
      </c>
      <c r="Q48" s="71">
        <f t="shared" si="16"/>
        <v>8937500</v>
      </c>
      <c r="R48" s="71">
        <f t="shared" si="16"/>
        <v>9625000</v>
      </c>
      <c r="S48" s="71">
        <f t="shared" si="16"/>
        <v>10312500</v>
      </c>
      <c r="T48" s="71">
        <f t="shared" si="16"/>
        <v>11000000</v>
      </c>
      <c r="U48" s="71">
        <f t="shared" si="16"/>
        <v>11687500</v>
      </c>
      <c r="V48" s="71">
        <f t="shared" si="16"/>
        <v>12375000</v>
      </c>
      <c r="W48" s="71">
        <f t="shared" si="16"/>
        <v>13062500</v>
      </c>
      <c r="X48" s="71">
        <f t="shared" si="16"/>
        <v>13750000</v>
      </c>
      <c r="Y48" s="71">
        <f t="shared" si="16"/>
        <v>14437500</v>
      </c>
      <c r="Z48" s="71">
        <f t="shared" si="16"/>
        <v>15125000</v>
      </c>
      <c r="AA48" s="71">
        <f t="shared" si="16"/>
        <v>15812500</v>
      </c>
      <c r="AB48" s="71">
        <f t="shared" si="16"/>
        <v>16500000</v>
      </c>
      <c r="AC48" s="71">
        <f t="shared" si="16"/>
        <v>17187500</v>
      </c>
      <c r="AD48" s="71">
        <f t="shared" si="16"/>
        <v>17875000</v>
      </c>
      <c r="AE48" s="71">
        <f t="shared" si="16"/>
        <v>18562500</v>
      </c>
      <c r="AF48" s="71">
        <f t="shared" si="16"/>
        <v>19250000</v>
      </c>
      <c r="AG48" s="71">
        <f t="shared" si="16"/>
        <v>19937500</v>
      </c>
      <c r="AH48" s="71">
        <f t="shared" si="16"/>
        <v>20625000</v>
      </c>
      <c r="AI48" s="71">
        <f t="shared" si="16"/>
        <v>21312500</v>
      </c>
      <c r="AJ48" s="71">
        <f t="shared" si="16"/>
        <v>22000000</v>
      </c>
      <c r="AK48" s="71">
        <f t="shared" si="16"/>
        <v>22687500</v>
      </c>
      <c r="AL48" s="71">
        <f t="shared" si="16"/>
        <v>23375000</v>
      </c>
      <c r="AM48" s="71">
        <f t="shared" si="16"/>
        <v>24062500</v>
      </c>
      <c r="AN48" s="71">
        <f t="shared" si="16"/>
        <v>24750000</v>
      </c>
      <c r="AO48" s="71">
        <f t="shared" si="16"/>
        <v>25437500</v>
      </c>
      <c r="AP48" s="71">
        <f t="shared" si="16"/>
        <v>26125000</v>
      </c>
      <c r="AQ48" s="71">
        <f t="shared" si="16"/>
        <v>26812500</v>
      </c>
      <c r="AR48" s="71">
        <f t="shared" si="16"/>
        <v>27500000</v>
      </c>
      <c r="AS48" s="71">
        <f t="shared" si="16"/>
        <v>27500000</v>
      </c>
      <c r="AT48" s="71">
        <f t="shared" si="16"/>
        <v>27500000</v>
      </c>
      <c r="AU48" s="71">
        <f t="shared" si="16"/>
        <v>27500000</v>
      </c>
      <c r="AY48" s="18">
        <f>SUM(D48:M48)/10</f>
        <v>3093750</v>
      </c>
    </row>
    <row r="49" spans="1:51">
      <c r="A49" s="187">
        <f t="shared" si="8"/>
        <v>18</v>
      </c>
      <c r="B49" s="200" t="s">
        <v>169</v>
      </c>
      <c r="C49" s="200"/>
      <c r="D49" s="184">
        <f t="shared" ref="D49:AU49" si="17">(D35+D48)</f>
        <v>687500</v>
      </c>
      <c r="E49" s="78">
        <f t="shared" si="17"/>
        <v>1375000</v>
      </c>
      <c r="F49" s="78">
        <f t="shared" si="17"/>
        <v>2062500</v>
      </c>
      <c r="G49" s="78">
        <f t="shared" si="17"/>
        <v>2750000</v>
      </c>
      <c r="H49" s="78">
        <f t="shared" si="17"/>
        <v>3437500</v>
      </c>
      <c r="I49" s="78">
        <f t="shared" si="17"/>
        <v>4125000</v>
      </c>
      <c r="J49" s="78">
        <f t="shared" si="17"/>
        <v>4812500</v>
      </c>
      <c r="K49" s="78">
        <f t="shared" si="17"/>
        <v>5500000</v>
      </c>
      <c r="L49" s="78">
        <f t="shared" si="17"/>
        <v>6187500</v>
      </c>
      <c r="M49" s="78">
        <f t="shared" si="17"/>
        <v>6875000</v>
      </c>
      <c r="N49" s="78">
        <f t="shared" si="17"/>
        <v>7562500</v>
      </c>
      <c r="O49" s="78">
        <f t="shared" si="17"/>
        <v>8250000</v>
      </c>
      <c r="P49" s="78">
        <f t="shared" si="17"/>
        <v>8937500</v>
      </c>
      <c r="Q49" s="78">
        <f t="shared" si="17"/>
        <v>9625000</v>
      </c>
      <c r="R49" s="78">
        <f t="shared" si="17"/>
        <v>10312500</v>
      </c>
      <c r="S49" s="78">
        <f t="shared" si="17"/>
        <v>11000000</v>
      </c>
      <c r="T49" s="78">
        <f t="shared" si="17"/>
        <v>11687500</v>
      </c>
      <c r="U49" s="78">
        <f t="shared" si="17"/>
        <v>12375000</v>
      </c>
      <c r="V49" s="78">
        <f t="shared" si="17"/>
        <v>13062500</v>
      </c>
      <c r="W49" s="78">
        <f t="shared" si="17"/>
        <v>13750000</v>
      </c>
      <c r="X49" s="78">
        <f t="shared" si="17"/>
        <v>14437500</v>
      </c>
      <c r="Y49" s="78">
        <f t="shared" si="17"/>
        <v>15125000</v>
      </c>
      <c r="Z49" s="78">
        <f t="shared" si="17"/>
        <v>15812500</v>
      </c>
      <c r="AA49" s="78">
        <f t="shared" si="17"/>
        <v>16500000</v>
      </c>
      <c r="AB49" s="78">
        <f t="shared" si="17"/>
        <v>17187500</v>
      </c>
      <c r="AC49" s="78">
        <f t="shared" si="17"/>
        <v>17875000</v>
      </c>
      <c r="AD49" s="78">
        <f t="shared" si="17"/>
        <v>18562500</v>
      </c>
      <c r="AE49" s="78">
        <f t="shared" si="17"/>
        <v>19250000</v>
      </c>
      <c r="AF49" s="78">
        <f t="shared" si="17"/>
        <v>19937500</v>
      </c>
      <c r="AG49" s="78">
        <f t="shared" si="17"/>
        <v>20625000</v>
      </c>
      <c r="AH49" s="78">
        <f t="shared" si="17"/>
        <v>21312500</v>
      </c>
      <c r="AI49" s="78">
        <f t="shared" si="17"/>
        <v>22000000</v>
      </c>
      <c r="AJ49" s="78">
        <f t="shared" si="17"/>
        <v>22687500</v>
      </c>
      <c r="AK49" s="78">
        <f t="shared" si="17"/>
        <v>23375000</v>
      </c>
      <c r="AL49" s="78">
        <f t="shared" si="17"/>
        <v>24062500</v>
      </c>
      <c r="AM49" s="78">
        <f t="shared" si="17"/>
        <v>24750000</v>
      </c>
      <c r="AN49" s="78">
        <f t="shared" si="17"/>
        <v>25437500</v>
      </c>
      <c r="AO49" s="78">
        <f t="shared" si="17"/>
        <v>26125000</v>
      </c>
      <c r="AP49" s="78">
        <f t="shared" si="17"/>
        <v>26812500</v>
      </c>
      <c r="AQ49" s="78">
        <f t="shared" si="17"/>
        <v>27500000</v>
      </c>
      <c r="AR49" s="78">
        <f t="shared" si="17"/>
        <v>27500000</v>
      </c>
      <c r="AS49" s="78">
        <f t="shared" si="17"/>
        <v>27500000</v>
      </c>
      <c r="AT49" s="78">
        <f t="shared" si="17"/>
        <v>27500000</v>
      </c>
      <c r="AU49" s="78">
        <f t="shared" si="17"/>
        <v>27500000</v>
      </c>
      <c r="AY49" s="18">
        <f>SUM(D49:M49)/10</f>
        <v>3781250</v>
      </c>
    </row>
    <row r="50" spans="1:51">
      <c r="A50" s="187">
        <f t="shared" si="8"/>
        <v>19</v>
      </c>
      <c r="B50" s="169" t="s">
        <v>170</v>
      </c>
      <c r="C50" s="169"/>
      <c r="D50" s="122">
        <f t="shared" ref="D50:AU50" si="18">(D48+D49)/2</f>
        <v>343750</v>
      </c>
      <c r="E50" s="167">
        <f t="shared" si="18"/>
        <v>1031250</v>
      </c>
      <c r="F50" s="167">
        <f t="shared" si="18"/>
        <v>1718750</v>
      </c>
      <c r="G50" s="167">
        <f t="shared" si="18"/>
        <v>2406250</v>
      </c>
      <c r="H50" s="167">
        <f t="shared" si="18"/>
        <v>3093750</v>
      </c>
      <c r="I50" s="167">
        <f t="shared" si="18"/>
        <v>3781250</v>
      </c>
      <c r="J50" s="167">
        <f t="shared" si="18"/>
        <v>4468750</v>
      </c>
      <c r="K50" s="167">
        <f t="shared" si="18"/>
        <v>5156250</v>
      </c>
      <c r="L50" s="167">
        <f t="shared" si="18"/>
        <v>5843750</v>
      </c>
      <c r="M50" s="167">
        <f t="shared" si="18"/>
        <v>6531250</v>
      </c>
      <c r="N50" s="167">
        <f t="shared" si="18"/>
        <v>7218750</v>
      </c>
      <c r="O50" s="167">
        <f t="shared" si="18"/>
        <v>7906250</v>
      </c>
      <c r="P50" s="167">
        <f t="shared" si="18"/>
        <v>8593750</v>
      </c>
      <c r="Q50" s="167">
        <f t="shared" si="18"/>
        <v>9281250</v>
      </c>
      <c r="R50" s="167">
        <f t="shared" si="18"/>
        <v>9968750</v>
      </c>
      <c r="S50" s="167">
        <f t="shared" si="18"/>
        <v>10656250</v>
      </c>
      <c r="T50" s="167">
        <f t="shared" si="18"/>
        <v>11343750</v>
      </c>
      <c r="U50" s="167">
        <f t="shared" si="18"/>
        <v>12031250</v>
      </c>
      <c r="V50" s="167">
        <f t="shared" si="18"/>
        <v>12718750</v>
      </c>
      <c r="W50" s="167">
        <f t="shared" si="18"/>
        <v>13406250</v>
      </c>
      <c r="X50" s="167">
        <f t="shared" si="18"/>
        <v>14093750</v>
      </c>
      <c r="Y50" s="167">
        <f t="shared" si="18"/>
        <v>14781250</v>
      </c>
      <c r="Z50" s="167">
        <f t="shared" si="18"/>
        <v>15468750</v>
      </c>
      <c r="AA50" s="167">
        <f t="shared" si="18"/>
        <v>16156250</v>
      </c>
      <c r="AB50" s="167">
        <f t="shared" si="18"/>
        <v>16843750</v>
      </c>
      <c r="AC50" s="167">
        <f t="shared" si="18"/>
        <v>17531250</v>
      </c>
      <c r="AD50" s="167">
        <f t="shared" si="18"/>
        <v>18218750</v>
      </c>
      <c r="AE50" s="167">
        <f t="shared" si="18"/>
        <v>18906250</v>
      </c>
      <c r="AF50" s="167">
        <f t="shared" si="18"/>
        <v>19593750</v>
      </c>
      <c r="AG50" s="167">
        <f t="shared" si="18"/>
        <v>20281250</v>
      </c>
      <c r="AH50" s="167">
        <f t="shared" si="18"/>
        <v>20968750</v>
      </c>
      <c r="AI50" s="167">
        <f t="shared" si="18"/>
        <v>21656250</v>
      </c>
      <c r="AJ50" s="167">
        <f t="shared" si="18"/>
        <v>22343750</v>
      </c>
      <c r="AK50" s="167">
        <f t="shared" si="18"/>
        <v>23031250</v>
      </c>
      <c r="AL50" s="167">
        <f t="shared" si="18"/>
        <v>23718750</v>
      </c>
      <c r="AM50" s="167">
        <f t="shared" si="18"/>
        <v>24406250</v>
      </c>
      <c r="AN50" s="167">
        <f t="shared" si="18"/>
        <v>25093750</v>
      </c>
      <c r="AO50" s="167">
        <f t="shared" si="18"/>
        <v>25781250</v>
      </c>
      <c r="AP50" s="167">
        <f t="shared" si="18"/>
        <v>26468750</v>
      </c>
      <c r="AQ50" s="167">
        <f t="shared" si="18"/>
        <v>27156250</v>
      </c>
      <c r="AR50" s="167">
        <f t="shared" si="18"/>
        <v>27500000</v>
      </c>
      <c r="AS50" s="167">
        <f t="shared" si="18"/>
        <v>27500000</v>
      </c>
      <c r="AT50" s="167">
        <f t="shared" si="18"/>
        <v>27500000</v>
      </c>
      <c r="AU50" s="167">
        <f t="shared" si="18"/>
        <v>27500000</v>
      </c>
      <c r="AY50" s="18">
        <f>SUM(D50:M50)/10</f>
        <v>3437500</v>
      </c>
    </row>
    <row r="51" spans="1:51">
      <c r="A51" s="187">
        <f t="shared" si="8"/>
        <v>20</v>
      </c>
      <c r="B51" s="201" t="s">
        <v>171</v>
      </c>
      <c r="C51" s="201"/>
      <c r="D51" s="181">
        <f t="shared" ref="D51:AU51" si="19">(D46-D50)</f>
        <v>27156250</v>
      </c>
      <c r="E51" s="83">
        <f t="shared" si="19"/>
        <v>26468750</v>
      </c>
      <c r="F51" s="83">
        <f t="shared" si="19"/>
        <v>25781250</v>
      </c>
      <c r="G51" s="83">
        <f t="shared" si="19"/>
        <v>25093750</v>
      </c>
      <c r="H51" s="83">
        <f t="shared" si="19"/>
        <v>24406250</v>
      </c>
      <c r="I51" s="83">
        <f t="shared" si="19"/>
        <v>23718750</v>
      </c>
      <c r="J51" s="83">
        <f t="shared" si="19"/>
        <v>23031250</v>
      </c>
      <c r="K51" s="83">
        <f t="shared" si="19"/>
        <v>22343750</v>
      </c>
      <c r="L51" s="83">
        <f t="shared" si="19"/>
        <v>21656250</v>
      </c>
      <c r="M51" s="83">
        <f t="shared" si="19"/>
        <v>20968750</v>
      </c>
      <c r="N51" s="83">
        <f t="shared" si="19"/>
        <v>20281250</v>
      </c>
      <c r="O51" s="83">
        <f t="shared" si="19"/>
        <v>19593750</v>
      </c>
      <c r="P51" s="83">
        <f t="shared" si="19"/>
        <v>18906250</v>
      </c>
      <c r="Q51" s="83">
        <f t="shared" si="19"/>
        <v>18218750</v>
      </c>
      <c r="R51" s="83">
        <f t="shared" si="19"/>
        <v>17531250</v>
      </c>
      <c r="S51" s="83">
        <f t="shared" si="19"/>
        <v>16843750</v>
      </c>
      <c r="T51" s="83">
        <f t="shared" si="19"/>
        <v>16156250</v>
      </c>
      <c r="U51" s="83">
        <f t="shared" si="19"/>
        <v>15468750</v>
      </c>
      <c r="V51" s="83">
        <f t="shared" si="19"/>
        <v>14781250</v>
      </c>
      <c r="W51" s="83">
        <f t="shared" si="19"/>
        <v>14093750</v>
      </c>
      <c r="X51" s="83">
        <f t="shared" si="19"/>
        <v>13406250</v>
      </c>
      <c r="Y51" s="83">
        <f t="shared" si="19"/>
        <v>12718750</v>
      </c>
      <c r="Z51" s="83">
        <f t="shared" si="19"/>
        <v>12031250</v>
      </c>
      <c r="AA51" s="83">
        <f t="shared" si="19"/>
        <v>11343750</v>
      </c>
      <c r="AB51" s="83">
        <f t="shared" si="19"/>
        <v>10656250</v>
      </c>
      <c r="AC51" s="83">
        <f t="shared" si="19"/>
        <v>9968750</v>
      </c>
      <c r="AD51" s="83">
        <f t="shared" si="19"/>
        <v>9281250</v>
      </c>
      <c r="AE51" s="83">
        <f t="shared" si="19"/>
        <v>8593750</v>
      </c>
      <c r="AF51" s="83">
        <f t="shared" si="19"/>
        <v>7906250</v>
      </c>
      <c r="AG51" s="83">
        <f t="shared" si="19"/>
        <v>7218750</v>
      </c>
      <c r="AH51" s="83">
        <f t="shared" si="19"/>
        <v>6531250</v>
      </c>
      <c r="AI51" s="83">
        <f t="shared" si="19"/>
        <v>5843750</v>
      </c>
      <c r="AJ51" s="83">
        <f t="shared" si="19"/>
        <v>5156250</v>
      </c>
      <c r="AK51" s="83">
        <f t="shared" si="19"/>
        <v>4468750</v>
      </c>
      <c r="AL51" s="83">
        <f t="shared" si="19"/>
        <v>3781250</v>
      </c>
      <c r="AM51" s="83">
        <f t="shared" si="19"/>
        <v>3093750</v>
      </c>
      <c r="AN51" s="83">
        <f t="shared" si="19"/>
        <v>2406250</v>
      </c>
      <c r="AO51" s="83">
        <f t="shared" si="19"/>
        <v>1718750</v>
      </c>
      <c r="AP51" s="83">
        <f t="shared" si="19"/>
        <v>1031250</v>
      </c>
      <c r="AQ51" s="83">
        <f t="shared" si="19"/>
        <v>343750</v>
      </c>
      <c r="AR51" s="83">
        <f t="shared" si="19"/>
        <v>0</v>
      </c>
      <c r="AS51" s="83">
        <f t="shared" si="19"/>
        <v>0</v>
      </c>
      <c r="AT51" s="83">
        <f t="shared" si="19"/>
        <v>0</v>
      </c>
      <c r="AU51" s="83">
        <f t="shared" si="19"/>
        <v>0</v>
      </c>
      <c r="AY51" s="18">
        <f>SUM(D51:M51)/10</f>
        <v>24062500</v>
      </c>
    </row>
    <row r="52" spans="1:51">
      <c r="A52" s="187">
        <f t="shared" si="8"/>
        <v>21</v>
      </c>
      <c r="B52" s="200" t="s">
        <v>172</v>
      </c>
      <c r="C52" s="200"/>
      <c r="D52" s="184">
        <f>($D$12)</f>
        <v>0</v>
      </c>
      <c r="E52" s="78">
        <f t="shared" ref="E52:AU52" si="20">D52*(1+$D$13)</f>
        <v>0</v>
      </c>
      <c r="F52" s="78">
        <f t="shared" si="20"/>
        <v>0</v>
      </c>
      <c r="G52" s="78">
        <f t="shared" si="20"/>
        <v>0</v>
      </c>
      <c r="H52" s="78">
        <f t="shared" si="20"/>
        <v>0</v>
      </c>
      <c r="I52" s="78">
        <f t="shared" si="20"/>
        <v>0</v>
      </c>
      <c r="J52" s="78">
        <f t="shared" si="20"/>
        <v>0</v>
      </c>
      <c r="K52" s="78">
        <f t="shared" si="20"/>
        <v>0</v>
      </c>
      <c r="L52" s="78">
        <f t="shared" si="20"/>
        <v>0</v>
      </c>
      <c r="M52" s="78">
        <f t="shared" si="20"/>
        <v>0</v>
      </c>
      <c r="N52" s="78">
        <f t="shared" si="20"/>
        <v>0</v>
      </c>
      <c r="O52" s="78">
        <f t="shared" si="20"/>
        <v>0</v>
      </c>
      <c r="P52" s="78">
        <f t="shared" si="20"/>
        <v>0</v>
      </c>
      <c r="Q52" s="78">
        <f t="shared" si="20"/>
        <v>0</v>
      </c>
      <c r="R52" s="78">
        <f t="shared" si="20"/>
        <v>0</v>
      </c>
      <c r="S52" s="78">
        <f t="shared" si="20"/>
        <v>0</v>
      </c>
      <c r="T52" s="78">
        <f t="shared" si="20"/>
        <v>0</v>
      </c>
      <c r="U52" s="78">
        <f t="shared" si="20"/>
        <v>0</v>
      </c>
      <c r="V52" s="78">
        <f t="shared" si="20"/>
        <v>0</v>
      </c>
      <c r="W52" s="78">
        <f t="shared" si="20"/>
        <v>0</v>
      </c>
      <c r="X52" s="78">
        <f t="shared" si="20"/>
        <v>0</v>
      </c>
      <c r="Y52" s="78">
        <f t="shared" si="20"/>
        <v>0</v>
      </c>
      <c r="Z52" s="78">
        <f t="shared" si="20"/>
        <v>0</v>
      </c>
      <c r="AA52" s="78">
        <f t="shared" si="20"/>
        <v>0</v>
      </c>
      <c r="AB52" s="78">
        <f t="shared" si="20"/>
        <v>0</v>
      </c>
      <c r="AC52" s="78">
        <f t="shared" si="20"/>
        <v>0</v>
      </c>
      <c r="AD52" s="78">
        <f t="shared" si="20"/>
        <v>0</v>
      </c>
      <c r="AE52" s="78">
        <f t="shared" si="20"/>
        <v>0</v>
      </c>
      <c r="AF52" s="78">
        <f t="shared" si="20"/>
        <v>0</v>
      </c>
      <c r="AG52" s="78">
        <f t="shared" si="20"/>
        <v>0</v>
      </c>
      <c r="AH52" s="78">
        <f t="shared" si="20"/>
        <v>0</v>
      </c>
      <c r="AI52" s="78">
        <f t="shared" si="20"/>
        <v>0</v>
      </c>
      <c r="AJ52" s="78">
        <f t="shared" si="20"/>
        <v>0</v>
      </c>
      <c r="AK52" s="78">
        <f t="shared" si="20"/>
        <v>0</v>
      </c>
      <c r="AL52" s="78">
        <f t="shared" si="20"/>
        <v>0</v>
      </c>
      <c r="AM52" s="78">
        <f t="shared" si="20"/>
        <v>0</v>
      </c>
      <c r="AN52" s="78">
        <f t="shared" si="20"/>
        <v>0</v>
      </c>
      <c r="AO52" s="78">
        <f t="shared" si="20"/>
        <v>0</v>
      </c>
      <c r="AP52" s="78">
        <f t="shared" si="20"/>
        <v>0</v>
      </c>
      <c r="AQ52" s="78">
        <f t="shared" si="20"/>
        <v>0</v>
      </c>
      <c r="AR52" s="78">
        <f t="shared" si="20"/>
        <v>0</v>
      </c>
      <c r="AS52" s="78">
        <f t="shared" si="20"/>
        <v>0</v>
      </c>
      <c r="AT52" s="78">
        <f t="shared" si="20"/>
        <v>0</v>
      </c>
      <c r="AU52" s="78">
        <f t="shared" si="20"/>
        <v>0</v>
      </c>
      <c r="AY52" s="18">
        <f>SUM(D52:M52)/10</f>
        <v>0</v>
      </c>
    </row>
    <row r="53" spans="1:51">
      <c r="A53" s="187">
        <f t="shared" si="8"/>
        <v>22</v>
      </c>
      <c r="B53" s="202" t="s">
        <v>173</v>
      </c>
      <c r="C53" s="202"/>
      <c r="D53" s="181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</row>
    <row r="54" spans="1:51">
      <c r="A54" s="187">
        <f t="shared" si="8"/>
        <v>23</v>
      </c>
      <c r="B54" s="199" t="s">
        <v>168</v>
      </c>
      <c r="C54" s="199"/>
      <c r="D54" s="175">
        <v>0</v>
      </c>
      <c r="E54" s="71">
        <f>(D55)</f>
        <v>84975</v>
      </c>
      <c r="F54" s="71">
        <f t="shared" ref="F54:AU54" si="21">(E55)</f>
        <v>405772.62</v>
      </c>
      <c r="G54" s="71">
        <f t="shared" si="21"/>
        <v>689725.08000000007</v>
      </c>
      <c r="H54" s="71">
        <f t="shared" si="21"/>
        <v>939687.54</v>
      </c>
      <c r="I54" s="71">
        <f t="shared" si="21"/>
        <v>1158107.28</v>
      </c>
      <c r="J54" s="71">
        <f t="shared" si="21"/>
        <v>1347431.58</v>
      </c>
      <c r="K54" s="71">
        <f t="shared" si="21"/>
        <v>1509767.82</v>
      </c>
      <c r="L54" s="71">
        <f t="shared" si="21"/>
        <v>1647223.3800000001</v>
      </c>
      <c r="M54" s="71">
        <f t="shared" si="21"/>
        <v>1780600.1400000001</v>
      </c>
      <c r="N54" s="71">
        <f t="shared" si="21"/>
        <v>1913908.9200000002</v>
      </c>
      <c r="O54" s="71">
        <f t="shared" si="21"/>
        <v>2047285.6800000002</v>
      </c>
      <c r="P54" s="71">
        <f t="shared" si="21"/>
        <v>2180594.46</v>
      </c>
      <c r="Q54" s="71">
        <f t="shared" si="21"/>
        <v>2313971.2199999997</v>
      </c>
      <c r="R54" s="71">
        <f t="shared" si="21"/>
        <v>2447279.9999999995</v>
      </c>
      <c r="S54" s="71">
        <f t="shared" si="21"/>
        <v>2580656.7599999998</v>
      </c>
      <c r="T54" s="71">
        <f t="shared" si="21"/>
        <v>2713965.5399999996</v>
      </c>
      <c r="U54" s="71">
        <f t="shared" si="21"/>
        <v>2847342.3</v>
      </c>
      <c r="V54" s="71">
        <f t="shared" si="21"/>
        <v>2980651.0799999996</v>
      </c>
      <c r="W54" s="71">
        <f t="shared" si="21"/>
        <v>3114027.84</v>
      </c>
      <c r="X54" s="71">
        <f t="shared" si="21"/>
        <v>3247336.6199999996</v>
      </c>
      <c r="Y54" s="71">
        <f t="shared" si="21"/>
        <v>3229049.9999999995</v>
      </c>
      <c r="Z54" s="71">
        <f t="shared" si="21"/>
        <v>3059099.9999999995</v>
      </c>
      <c r="AA54" s="71">
        <f t="shared" si="21"/>
        <v>2889149.9999999995</v>
      </c>
      <c r="AB54" s="71">
        <f t="shared" si="21"/>
        <v>2719199.9999999995</v>
      </c>
      <c r="AC54" s="71">
        <f t="shared" si="21"/>
        <v>2549249.9999999995</v>
      </c>
      <c r="AD54" s="71">
        <f t="shared" si="21"/>
        <v>2379299.9999999995</v>
      </c>
      <c r="AE54" s="71">
        <f t="shared" si="21"/>
        <v>2209349.9999999995</v>
      </c>
      <c r="AF54" s="71">
        <f t="shared" si="21"/>
        <v>2039399.9999999995</v>
      </c>
      <c r="AG54" s="71">
        <f t="shared" si="21"/>
        <v>1869449.9999999995</v>
      </c>
      <c r="AH54" s="71">
        <f t="shared" si="21"/>
        <v>1699499.9999999995</v>
      </c>
      <c r="AI54" s="71">
        <f t="shared" si="21"/>
        <v>1529549.9999999995</v>
      </c>
      <c r="AJ54" s="71">
        <f t="shared" si="21"/>
        <v>1359599.9999999995</v>
      </c>
      <c r="AK54" s="71">
        <f t="shared" si="21"/>
        <v>1189649.9999999995</v>
      </c>
      <c r="AL54" s="71">
        <f t="shared" si="21"/>
        <v>1019699.9999999995</v>
      </c>
      <c r="AM54" s="71">
        <f t="shared" si="21"/>
        <v>849749.99999999953</v>
      </c>
      <c r="AN54" s="71">
        <f t="shared" si="21"/>
        <v>679799.99999999953</v>
      </c>
      <c r="AO54" s="71">
        <f t="shared" si="21"/>
        <v>509849.99999999953</v>
      </c>
      <c r="AP54" s="71">
        <f t="shared" si="21"/>
        <v>339899.99999999953</v>
      </c>
      <c r="AQ54" s="71">
        <f t="shared" si="21"/>
        <v>169949.99999999953</v>
      </c>
      <c r="AR54" s="71">
        <f t="shared" si="21"/>
        <v>-4.6566128730773926E-10</v>
      </c>
      <c r="AS54" s="71">
        <f t="shared" si="21"/>
        <v>-4.6566128730773926E-10</v>
      </c>
      <c r="AT54" s="71">
        <f t="shared" si="21"/>
        <v>-4.6566128730773926E-10</v>
      </c>
      <c r="AU54" s="71">
        <f t="shared" si="21"/>
        <v>-4.6566128730773926E-10</v>
      </c>
      <c r="AY54" s="18">
        <f>SUM(D54:M54)/10</f>
        <v>956329.04400000011</v>
      </c>
    </row>
    <row r="55" spans="1:51">
      <c r="A55" s="187">
        <f t="shared" si="8"/>
        <v>24</v>
      </c>
      <c r="B55" s="200" t="s">
        <v>169</v>
      </c>
      <c r="C55" s="200"/>
      <c r="D55" s="184">
        <f t="shared" ref="D55:AU55" si="22">(D68+D54)</f>
        <v>84975</v>
      </c>
      <c r="E55" s="78">
        <f t="shared" si="22"/>
        <v>405772.62</v>
      </c>
      <c r="F55" s="78">
        <f t="shared" si="22"/>
        <v>689725.08000000007</v>
      </c>
      <c r="G55" s="78">
        <f t="shared" si="22"/>
        <v>939687.54</v>
      </c>
      <c r="H55" s="78">
        <f t="shared" si="22"/>
        <v>1158107.28</v>
      </c>
      <c r="I55" s="78">
        <f t="shared" si="22"/>
        <v>1347431.58</v>
      </c>
      <c r="J55" s="78">
        <f t="shared" si="22"/>
        <v>1509767.82</v>
      </c>
      <c r="K55" s="78">
        <f t="shared" si="22"/>
        <v>1647223.3800000001</v>
      </c>
      <c r="L55" s="78">
        <f t="shared" si="22"/>
        <v>1780600.1400000001</v>
      </c>
      <c r="M55" s="78">
        <f t="shared" si="22"/>
        <v>1913908.9200000002</v>
      </c>
      <c r="N55" s="78">
        <f t="shared" si="22"/>
        <v>2047285.6800000002</v>
      </c>
      <c r="O55" s="78">
        <f t="shared" si="22"/>
        <v>2180594.46</v>
      </c>
      <c r="P55" s="78">
        <f t="shared" si="22"/>
        <v>2313971.2199999997</v>
      </c>
      <c r="Q55" s="78">
        <f t="shared" si="22"/>
        <v>2447279.9999999995</v>
      </c>
      <c r="R55" s="78">
        <f t="shared" si="22"/>
        <v>2580656.7599999998</v>
      </c>
      <c r="S55" s="78">
        <f t="shared" si="22"/>
        <v>2713965.5399999996</v>
      </c>
      <c r="T55" s="78">
        <f t="shared" si="22"/>
        <v>2847342.3</v>
      </c>
      <c r="U55" s="78">
        <f t="shared" si="22"/>
        <v>2980651.0799999996</v>
      </c>
      <c r="V55" s="78">
        <f t="shared" si="22"/>
        <v>3114027.84</v>
      </c>
      <c r="W55" s="78">
        <f t="shared" si="22"/>
        <v>3247336.6199999996</v>
      </c>
      <c r="X55" s="78">
        <f t="shared" si="22"/>
        <v>3229049.9999999995</v>
      </c>
      <c r="Y55" s="78">
        <f t="shared" si="22"/>
        <v>3059099.9999999995</v>
      </c>
      <c r="Z55" s="78">
        <f t="shared" si="22"/>
        <v>2889149.9999999995</v>
      </c>
      <c r="AA55" s="78">
        <f t="shared" si="22"/>
        <v>2719199.9999999995</v>
      </c>
      <c r="AB55" s="78">
        <f t="shared" si="22"/>
        <v>2549249.9999999995</v>
      </c>
      <c r="AC55" s="78">
        <f t="shared" si="22"/>
        <v>2379299.9999999995</v>
      </c>
      <c r="AD55" s="78">
        <f t="shared" si="22"/>
        <v>2209349.9999999995</v>
      </c>
      <c r="AE55" s="78">
        <f t="shared" si="22"/>
        <v>2039399.9999999995</v>
      </c>
      <c r="AF55" s="78">
        <f t="shared" si="22"/>
        <v>1869449.9999999995</v>
      </c>
      <c r="AG55" s="78">
        <f t="shared" si="22"/>
        <v>1699499.9999999995</v>
      </c>
      <c r="AH55" s="78">
        <f t="shared" si="22"/>
        <v>1529549.9999999995</v>
      </c>
      <c r="AI55" s="78">
        <f t="shared" si="22"/>
        <v>1359599.9999999995</v>
      </c>
      <c r="AJ55" s="78">
        <f t="shared" si="22"/>
        <v>1189649.9999999995</v>
      </c>
      <c r="AK55" s="78">
        <f t="shared" si="22"/>
        <v>1019699.9999999995</v>
      </c>
      <c r="AL55" s="78">
        <f t="shared" si="22"/>
        <v>849749.99999999953</v>
      </c>
      <c r="AM55" s="78">
        <f t="shared" si="22"/>
        <v>679799.99999999953</v>
      </c>
      <c r="AN55" s="78">
        <f t="shared" si="22"/>
        <v>509849.99999999953</v>
      </c>
      <c r="AO55" s="78">
        <f t="shared" si="22"/>
        <v>339899.99999999953</v>
      </c>
      <c r="AP55" s="78">
        <f t="shared" si="22"/>
        <v>169949.99999999953</v>
      </c>
      <c r="AQ55" s="78">
        <f t="shared" si="22"/>
        <v>-4.6566128730773926E-10</v>
      </c>
      <c r="AR55" s="78">
        <f t="shared" si="22"/>
        <v>-4.6566128730773926E-10</v>
      </c>
      <c r="AS55" s="78">
        <f t="shared" si="22"/>
        <v>-4.6566128730773926E-10</v>
      </c>
      <c r="AT55" s="78">
        <f t="shared" si="22"/>
        <v>-4.6566128730773926E-10</v>
      </c>
      <c r="AU55" s="78">
        <f t="shared" si="22"/>
        <v>-4.6566128730773926E-10</v>
      </c>
      <c r="AY55" s="18">
        <f>SUM(D55:M55)/10</f>
        <v>1147719.9360000002</v>
      </c>
    </row>
    <row r="56" spans="1:51">
      <c r="A56" s="187">
        <f t="shared" si="8"/>
        <v>25</v>
      </c>
      <c r="B56" s="169" t="s">
        <v>174</v>
      </c>
      <c r="C56" s="169"/>
      <c r="D56" s="122">
        <f t="shared" ref="D56:AU56" si="23">(D54+D55)/2</f>
        <v>42487.5</v>
      </c>
      <c r="E56" s="167">
        <f t="shared" si="23"/>
        <v>245373.81</v>
      </c>
      <c r="F56" s="167">
        <f t="shared" si="23"/>
        <v>547748.85000000009</v>
      </c>
      <c r="G56" s="167">
        <f t="shared" si="23"/>
        <v>814706.31</v>
      </c>
      <c r="H56" s="167">
        <f t="shared" si="23"/>
        <v>1048897.4100000001</v>
      </c>
      <c r="I56" s="167">
        <f t="shared" si="23"/>
        <v>1252769.4300000002</v>
      </c>
      <c r="J56" s="167">
        <f t="shared" si="23"/>
        <v>1428599.7000000002</v>
      </c>
      <c r="K56" s="167">
        <f t="shared" si="23"/>
        <v>1578495.6</v>
      </c>
      <c r="L56" s="167">
        <f t="shared" si="23"/>
        <v>1713911.7600000002</v>
      </c>
      <c r="M56" s="167">
        <f t="shared" si="23"/>
        <v>1847254.5300000003</v>
      </c>
      <c r="N56" s="167">
        <f t="shared" si="23"/>
        <v>1980597.3000000003</v>
      </c>
      <c r="O56" s="167">
        <f t="shared" si="23"/>
        <v>2113940.0700000003</v>
      </c>
      <c r="P56" s="167">
        <f t="shared" si="23"/>
        <v>2247282.84</v>
      </c>
      <c r="Q56" s="167">
        <f t="shared" si="23"/>
        <v>2380625.6099999994</v>
      </c>
      <c r="R56" s="167">
        <f t="shared" si="23"/>
        <v>2513968.38</v>
      </c>
      <c r="S56" s="167">
        <f t="shared" si="23"/>
        <v>2647311.1499999994</v>
      </c>
      <c r="T56" s="167">
        <f t="shared" si="23"/>
        <v>2780653.92</v>
      </c>
      <c r="U56" s="167">
        <f t="shared" si="23"/>
        <v>2913996.6899999995</v>
      </c>
      <c r="V56" s="167">
        <f t="shared" si="23"/>
        <v>3047339.46</v>
      </c>
      <c r="W56" s="167">
        <f t="shared" si="23"/>
        <v>3180682.2299999995</v>
      </c>
      <c r="X56" s="167">
        <f t="shared" si="23"/>
        <v>3238193.3099999996</v>
      </c>
      <c r="Y56" s="167">
        <f t="shared" si="23"/>
        <v>3144074.9999999995</v>
      </c>
      <c r="Z56" s="167">
        <f t="shared" si="23"/>
        <v>2974124.9999999995</v>
      </c>
      <c r="AA56" s="167">
        <f t="shared" si="23"/>
        <v>2804174.9999999995</v>
      </c>
      <c r="AB56" s="167">
        <f t="shared" si="23"/>
        <v>2634224.9999999995</v>
      </c>
      <c r="AC56" s="167">
        <f t="shared" si="23"/>
        <v>2464274.9999999995</v>
      </c>
      <c r="AD56" s="167">
        <f t="shared" si="23"/>
        <v>2294324.9999999995</v>
      </c>
      <c r="AE56" s="167">
        <f t="shared" si="23"/>
        <v>2124374.9999999995</v>
      </c>
      <c r="AF56" s="167">
        <f t="shared" si="23"/>
        <v>1954424.9999999995</v>
      </c>
      <c r="AG56" s="167">
        <f t="shared" si="23"/>
        <v>1784474.9999999995</v>
      </c>
      <c r="AH56" s="167">
        <f t="shared" si="23"/>
        <v>1614524.9999999995</v>
      </c>
      <c r="AI56" s="167">
        <f t="shared" si="23"/>
        <v>1444574.9999999995</v>
      </c>
      <c r="AJ56" s="167">
        <f t="shared" si="23"/>
        <v>1274624.9999999995</v>
      </c>
      <c r="AK56" s="167">
        <f t="shared" si="23"/>
        <v>1104674.9999999995</v>
      </c>
      <c r="AL56" s="167">
        <f t="shared" si="23"/>
        <v>934724.99999999953</v>
      </c>
      <c r="AM56" s="167">
        <f t="shared" si="23"/>
        <v>764774.99999999953</v>
      </c>
      <c r="AN56" s="167">
        <f t="shared" si="23"/>
        <v>594824.99999999953</v>
      </c>
      <c r="AO56" s="167">
        <f t="shared" si="23"/>
        <v>424874.99999999953</v>
      </c>
      <c r="AP56" s="167">
        <f t="shared" si="23"/>
        <v>254924.99999999953</v>
      </c>
      <c r="AQ56" s="167">
        <f t="shared" si="23"/>
        <v>84974.999999999534</v>
      </c>
      <c r="AR56" s="167">
        <f t="shared" si="23"/>
        <v>-4.6566128730773926E-10</v>
      </c>
      <c r="AS56" s="167">
        <f t="shared" si="23"/>
        <v>-4.6566128730773926E-10</v>
      </c>
      <c r="AT56" s="167">
        <f t="shared" si="23"/>
        <v>-4.6566128730773926E-10</v>
      </c>
      <c r="AU56" s="167">
        <f t="shared" si="23"/>
        <v>-4.6566128730773926E-10</v>
      </c>
      <c r="AY56" s="18">
        <f>SUM(D56:M56)/10</f>
        <v>1052024.4900000002</v>
      </c>
    </row>
    <row r="57" spans="1:51" ht="9.75" customHeight="1">
      <c r="A57" s="187">
        <f t="shared" si="8"/>
        <v>26</v>
      </c>
      <c r="B57" s="196" t="s">
        <v>165</v>
      </c>
      <c r="C57" s="196"/>
      <c r="D57" s="122">
        <f>(D51-D56)+(D52/2)</f>
        <v>27113762.5</v>
      </c>
      <c r="E57" s="167">
        <f t="shared" ref="E57:AU57" si="24">(E51+E52-E56)</f>
        <v>26223376.190000001</v>
      </c>
      <c r="F57" s="167">
        <f t="shared" si="24"/>
        <v>25233501.149999999</v>
      </c>
      <c r="G57" s="167">
        <f t="shared" si="24"/>
        <v>24279043.690000001</v>
      </c>
      <c r="H57" s="167">
        <f t="shared" si="24"/>
        <v>23357352.59</v>
      </c>
      <c r="I57" s="167">
        <f t="shared" si="24"/>
        <v>22465980.57</v>
      </c>
      <c r="J57" s="167">
        <f t="shared" si="24"/>
        <v>21602650.300000001</v>
      </c>
      <c r="K57" s="167">
        <f t="shared" si="24"/>
        <v>20765254.399999999</v>
      </c>
      <c r="L57" s="167">
        <f t="shared" si="24"/>
        <v>19942338.239999998</v>
      </c>
      <c r="M57" s="167">
        <f t="shared" si="24"/>
        <v>19121495.469999999</v>
      </c>
      <c r="N57" s="167">
        <f t="shared" si="24"/>
        <v>18300652.699999999</v>
      </c>
      <c r="O57" s="167">
        <f t="shared" si="24"/>
        <v>17479809.93</v>
      </c>
      <c r="P57" s="167">
        <f t="shared" si="24"/>
        <v>16658967.16</v>
      </c>
      <c r="Q57" s="167">
        <f t="shared" si="24"/>
        <v>15838124.390000001</v>
      </c>
      <c r="R57" s="167">
        <f t="shared" si="24"/>
        <v>15017281.620000001</v>
      </c>
      <c r="S57" s="167">
        <f t="shared" si="24"/>
        <v>14196438.850000001</v>
      </c>
      <c r="T57" s="167">
        <f t="shared" si="24"/>
        <v>13375596.08</v>
      </c>
      <c r="U57" s="167">
        <f t="shared" si="24"/>
        <v>12554753.310000001</v>
      </c>
      <c r="V57" s="167">
        <f t="shared" si="24"/>
        <v>11733910.539999999</v>
      </c>
      <c r="W57" s="167">
        <f t="shared" si="24"/>
        <v>10913067.77</v>
      </c>
      <c r="X57" s="167">
        <f t="shared" si="24"/>
        <v>10168056.690000001</v>
      </c>
      <c r="Y57" s="167">
        <f t="shared" si="24"/>
        <v>9574675</v>
      </c>
      <c r="Z57" s="167">
        <f t="shared" si="24"/>
        <v>9057125</v>
      </c>
      <c r="AA57" s="167">
        <f t="shared" si="24"/>
        <v>8539575</v>
      </c>
      <c r="AB57" s="167">
        <f t="shared" si="24"/>
        <v>8022025</v>
      </c>
      <c r="AC57" s="167">
        <f t="shared" si="24"/>
        <v>7504475</v>
      </c>
      <c r="AD57" s="167">
        <f t="shared" si="24"/>
        <v>6986925</v>
      </c>
      <c r="AE57" s="167">
        <f t="shared" si="24"/>
        <v>6469375</v>
      </c>
      <c r="AF57" s="167">
        <f t="shared" si="24"/>
        <v>5951825</v>
      </c>
      <c r="AG57" s="167">
        <f t="shared" si="24"/>
        <v>5434275</v>
      </c>
      <c r="AH57" s="167">
        <f t="shared" si="24"/>
        <v>4916725</v>
      </c>
      <c r="AI57" s="167">
        <f t="shared" si="24"/>
        <v>4399175</v>
      </c>
      <c r="AJ57" s="167">
        <f t="shared" si="24"/>
        <v>3881625.0000000005</v>
      </c>
      <c r="AK57" s="167">
        <f t="shared" si="24"/>
        <v>3364075.0000000005</v>
      </c>
      <c r="AL57" s="167">
        <f t="shared" si="24"/>
        <v>2846525.0000000005</v>
      </c>
      <c r="AM57" s="167">
        <f t="shared" si="24"/>
        <v>2328975.0000000005</v>
      </c>
      <c r="AN57" s="167">
        <f t="shared" si="24"/>
        <v>1811425.0000000005</v>
      </c>
      <c r="AO57" s="167">
        <f t="shared" si="24"/>
        <v>1293875.0000000005</v>
      </c>
      <c r="AP57" s="167">
        <f t="shared" si="24"/>
        <v>776325.00000000047</v>
      </c>
      <c r="AQ57" s="167">
        <f t="shared" si="24"/>
        <v>258775.00000000047</v>
      </c>
      <c r="AR57" s="167">
        <f t="shared" si="24"/>
        <v>4.6566128730773926E-10</v>
      </c>
      <c r="AS57" s="167">
        <f t="shared" si="24"/>
        <v>4.6566128730773926E-10</v>
      </c>
      <c r="AT57" s="167">
        <f t="shared" si="24"/>
        <v>4.6566128730773926E-10</v>
      </c>
      <c r="AU57" s="167">
        <f t="shared" si="24"/>
        <v>4.6566128730773926E-10</v>
      </c>
      <c r="AY57" s="18">
        <f>SUM(D57:M57)/10</f>
        <v>23010475.510000002</v>
      </c>
    </row>
    <row r="58" spans="1:51">
      <c r="A58" s="187">
        <f t="shared" si="8"/>
        <v>27</v>
      </c>
      <c r="B58" s="197" t="s">
        <v>175</v>
      </c>
      <c r="C58" s="197"/>
      <c r="D58" s="203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</row>
    <row r="59" spans="1:51">
      <c r="A59" s="187">
        <f t="shared" si="8"/>
        <v>28</v>
      </c>
      <c r="B59" s="71" t="str">
        <f>"     Equity Return @ "&amp;TEXT(M15,"0.00%")</f>
        <v xml:space="preserve">     Equity Return @ 5.13%</v>
      </c>
      <c r="C59" s="71"/>
      <c r="D59" s="175">
        <f t="shared" ref="D59:AU59" si="25">$M$15*D57</f>
        <v>1390544.8253372514</v>
      </c>
      <c r="E59" s="71">
        <f t="shared" si="25"/>
        <v>1344880.8539160357</v>
      </c>
      <c r="F59" s="71">
        <f t="shared" si="25"/>
        <v>1294114.5460455399</v>
      </c>
      <c r="G59" s="71">
        <f t="shared" si="25"/>
        <v>1245164.6490326286</v>
      </c>
      <c r="H59" s="71">
        <f t="shared" si="25"/>
        <v>1197895.193542473</v>
      </c>
      <c r="I59" s="71">
        <f t="shared" si="25"/>
        <v>1152180.6694198467</v>
      </c>
      <c r="J59" s="71">
        <f t="shared" si="25"/>
        <v>1107904.2824925247</v>
      </c>
      <c r="K59" s="71">
        <f t="shared" si="25"/>
        <v>1064957.9545712841</v>
      </c>
      <c r="L59" s="71">
        <f t="shared" si="25"/>
        <v>1022754.2284018011</v>
      </c>
      <c r="M59" s="71">
        <f t="shared" si="25"/>
        <v>980656.83722494042</v>
      </c>
      <c r="N59" s="71">
        <f t="shared" si="25"/>
        <v>938559.44604807976</v>
      </c>
      <c r="O59" s="71">
        <f t="shared" si="25"/>
        <v>896462.05487121909</v>
      </c>
      <c r="P59" s="71">
        <f t="shared" si="25"/>
        <v>854364.66369435843</v>
      </c>
      <c r="Q59" s="71">
        <f t="shared" si="25"/>
        <v>812267.27251749777</v>
      </c>
      <c r="R59" s="71">
        <f t="shared" si="25"/>
        <v>770169.88134063722</v>
      </c>
      <c r="S59" s="71">
        <f t="shared" si="25"/>
        <v>728072.49016377656</v>
      </c>
      <c r="T59" s="71">
        <f t="shared" si="25"/>
        <v>685975.09898691578</v>
      </c>
      <c r="U59" s="71">
        <f t="shared" si="25"/>
        <v>643877.70781005512</v>
      </c>
      <c r="V59" s="71">
        <f t="shared" si="25"/>
        <v>601780.31663319445</v>
      </c>
      <c r="W59" s="71">
        <f t="shared" si="25"/>
        <v>559682.92545633379</v>
      </c>
      <c r="X59" s="71">
        <f t="shared" si="25"/>
        <v>521474.60589489649</v>
      </c>
      <c r="Y59" s="71">
        <f t="shared" si="25"/>
        <v>491042.68636770523</v>
      </c>
      <c r="Z59" s="71">
        <f t="shared" si="25"/>
        <v>464499.8384559374</v>
      </c>
      <c r="AA59" s="71">
        <f t="shared" si="25"/>
        <v>437956.99054416956</v>
      </c>
      <c r="AB59" s="71">
        <f t="shared" si="25"/>
        <v>411414.14263240172</v>
      </c>
      <c r="AC59" s="71">
        <f t="shared" si="25"/>
        <v>384871.29472063383</v>
      </c>
      <c r="AD59" s="71">
        <f t="shared" si="25"/>
        <v>358328.44680886599</v>
      </c>
      <c r="AE59" s="71">
        <f t="shared" si="25"/>
        <v>331785.59889709816</v>
      </c>
      <c r="AF59" s="71">
        <f t="shared" si="25"/>
        <v>305242.75098533032</v>
      </c>
      <c r="AG59" s="71">
        <f t="shared" si="25"/>
        <v>278699.90307356243</v>
      </c>
      <c r="AH59" s="71">
        <f t="shared" si="25"/>
        <v>252157.05516179459</v>
      </c>
      <c r="AI59" s="71">
        <f t="shared" si="25"/>
        <v>225614.20725002675</v>
      </c>
      <c r="AJ59" s="71">
        <f t="shared" si="25"/>
        <v>199071.35933825892</v>
      </c>
      <c r="AK59" s="71">
        <f t="shared" si="25"/>
        <v>172528.51142649105</v>
      </c>
      <c r="AL59" s="71">
        <f t="shared" si="25"/>
        <v>145985.66351472322</v>
      </c>
      <c r="AM59" s="71">
        <f t="shared" si="25"/>
        <v>119442.81560295535</v>
      </c>
      <c r="AN59" s="71">
        <f t="shared" si="25"/>
        <v>92899.967691187499</v>
      </c>
      <c r="AO59" s="71">
        <f t="shared" si="25"/>
        <v>66357.119779419649</v>
      </c>
      <c r="AP59" s="71">
        <f t="shared" si="25"/>
        <v>39814.271867651798</v>
      </c>
      <c r="AQ59" s="71">
        <f t="shared" si="25"/>
        <v>13271.423955883949</v>
      </c>
      <c r="AR59" s="71">
        <f t="shared" si="25"/>
        <v>2.3881705588652993E-11</v>
      </c>
      <c r="AS59" s="71">
        <f t="shared" si="25"/>
        <v>2.3881705588652993E-11</v>
      </c>
      <c r="AT59" s="71">
        <f t="shared" si="25"/>
        <v>2.3881705588652993E-11</v>
      </c>
      <c r="AU59" s="71">
        <f t="shared" si="25"/>
        <v>2.3881705588652993E-11</v>
      </c>
      <c r="AY59" s="18">
        <f>SUM(D59:M59)/10</f>
        <v>1180105.4039984324</v>
      </c>
    </row>
    <row r="60" spans="1:51">
      <c r="A60" s="187">
        <f t="shared" si="8"/>
        <v>29</v>
      </c>
      <c r="B60" s="78" t="str">
        <f>"     Debt Return @ "&amp;TEXT(M16,"0.00%")</f>
        <v xml:space="preserve">     Debt Return @ 2.51%</v>
      </c>
      <c r="C60" s="78"/>
      <c r="D60" s="184">
        <f>$M$16*D57</f>
        <v>681745.97066594742</v>
      </c>
      <c r="E60" s="78">
        <f t="shared" ref="E60:AU60" si="26">$M$16*E57</f>
        <v>659358.17851874465</v>
      </c>
      <c r="F60" s="78">
        <f t="shared" si="26"/>
        <v>634468.85082094558</v>
      </c>
      <c r="G60" s="78">
        <f t="shared" si="26"/>
        <v>610470.05952346139</v>
      </c>
      <c r="H60" s="78">
        <f t="shared" si="26"/>
        <v>587295.14259248716</v>
      </c>
      <c r="I60" s="78">
        <f t="shared" si="26"/>
        <v>564882.56584297237</v>
      </c>
      <c r="J60" s="78">
        <f t="shared" si="26"/>
        <v>543175.0682971616</v>
      </c>
      <c r="K60" s="78">
        <f t="shared" si="26"/>
        <v>522119.66218459478</v>
      </c>
      <c r="L60" s="78">
        <f t="shared" si="26"/>
        <v>501428.33333357697</v>
      </c>
      <c r="M60" s="78">
        <f t="shared" si="26"/>
        <v>480789.13761156035</v>
      </c>
      <c r="N60" s="78">
        <f t="shared" si="26"/>
        <v>460149.94188954373</v>
      </c>
      <c r="O60" s="78">
        <f t="shared" si="26"/>
        <v>439510.7461675271</v>
      </c>
      <c r="P60" s="78">
        <f t="shared" si="26"/>
        <v>418871.55044551048</v>
      </c>
      <c r="Q60" s="78">
        <f t="shared" si="26"/>
        <v>398232.35472349386</v>
      </c>
      <c r="R60" s="78">
        <f t="shared" si="26"/>
        <v>377593.15900147724</v>
      </c>
      <c r="S60" s="78">
        <f t="shared" si="26"/>
        <v>356953.96327946062</v>
      </c>
      <c r="T60" s="78">
        <f t="shared" si="26"/>
        <v>336314.76755744399</v>
      </c>
      <c r="U60" s="78">
        <f t="shared" si="26"/>
        <v>315675.57183542737</v>
      </c>
      <c r="V60" s="78">
        <f t="shared" si="26"/>
        <v>295036.37611341069</v>
      </c>
      <c r="W60" s="78">
        <f t="shared" si="26"/>
        <v>274397.18039139407</v>
      </c>
      <c r="X60" s="78">
        <f t="shared" si="26"/>
        <v>255664.68976448514</v>
      </c>
      <c r="Y60" s="78">
        <f t="shared" si="26"/>
        <v>240744.75468633245</v>
      </c>
      <c r="Z60" s="78">
        <f t="shared" si="26"/>
        <v>227731.52470328743</v>
      </c>
      <c r="AA60" s="78">
        <f t="shared" si="26"/>
        <v>214718.29472024244</v>
      </c>
      <c r="AB60" s="78">
        <f t="shared" si="26"/>
        <v>201705.06473719745</v>
      </c>
      <c r="AC60" s="78">
        <f t="shared" si="26"/>
        <v>188691.83475415246</v>
      </c>
      <c r="AD60" s="78">
        <f t="shared" si="26"/>
        <v>175678.60477110746</v>
      </c>
      <c r="AE60" s="78">
        <f t="shared" si="26"/>
        <v>162665.37478806247</v>
      </c>
      <c r="AF60" s="78">
        <f t="shared" si="26"/>
        <v>149652.14480501745</v>
      </c>
      <c r="AG60" s="78">
        <f t="shared" si="26"/>
        <v>136638.91482197246</v>
      </c>
      <c r="AH60" s="78">
        <f t="shared" si="26"/>
        <v>123625.68483892747</v>
      </c>
      <c r="AI60" s="78">
        <f t="shared" si="26"/>
        <v>110612.45485588248</v>
      </c>
      <c r="AJ60" s="78">
        <f t="shared" si="26"/>
        <v>97599.224872837483</v>
      </c>
      <c r="AK60" s="78">
        <f t="shared" si="26"/>
        <v>84585.994889792491</v>
      </c>
      <c r="AL60" s="78">
        <f t="shared" si="26"/>
        <v>71572.764906747499</v>
      </c>
      <c r="AM60" s="78">
        <f t="shared" si="26"/>
        <v>58559.5349237025</v>
      </c>
      <c r="AN60" s="78">
        <f t="shared" si="26"/>
        <v>45546.304940657501</v>
      </c>
      <c r="AO60" s="78">
        <f t="shared" si="26"/>
        <v>32533.074957612505</v>
      </c>
      <c r="AP60" s="78">
        <f t="shared" si="26"/>
        <v>19519.844974567506</v>
      </c>
      <c r="AQ60" s="78">
        <f t="shared" si="26"/>
        <v>6506.6149915225105</v>
      </c>
      <c r="AR60" s="78">
        <f t="shared" si="26"/>
        <v>1.1708544925005126E-11</v>
      </c>
      <c r="AS60" s="78">
        <f t="shared" si="26"/>
        <v>1.1708544925005126E-11</v>
      </c>
      <c r="AT60" s="78">
        <f t="shared" si="26"/>
        <v>1.1708544925005126E-11</v>
      </c>
      <c r="AU60" s="78">
        <f t="shared" si="26"/>
        <v>1.1708544925005126E-11</v>
      </c>
      <c r="AY60" s="18">
        <f>SUM(D60:M60)/10</f>
        <v>578573.29693914531</v>
      </c>
    </row>
    <row r="61" spans="1:51">
      <c r="A61" s="187">
        <f t="shared" si="8"/>
        <v>30</v>
      </c>
      <c r="B61" s="167" t="str">
        <f>"     Total Return @ "&amp;TEXT(M17,"0.00%")</f>
        <v xml:space="preserve">     Total Return @ 7.64%</v>
      </c>
      <c r="C61" s="167"/>
      <c r="D61" s="122">
        <f t="shared" ref="D61:AU61" si="27">D59+D60</f>
        <v>2072290.7960031987</v>
      </c>
      <c r="E61" s="167">
        <f t="shared" si="27"/>
        <v>2004239.0324347804</v>
      </c>
      <c r="F61" s="167">
        <f t="shared" si="27"/>
        <v>1928583.3968664855</v>
      </c>
      <c r="G61" s="167">
        <f t="shared" si="27"/>
        <v>1855634.70855609</v>
      </c>
      <c r="H61" s="167">
        <f t="shared" si="27"/>
        <v>1785190.3361349602</v>
      </c>
      <c r="I61" s="167">
        <f t="shared" si="27"/>
        <v>1717063.2352628191</v>
      </c>
      <c r="J61" s="167">
        <f t="shared" si="27"/>
        <v>1651079.3507896862</v>
      </c>
      <c r="K61" s="167">
        <f t="shared" si="27"/>
        <v>1587077.616755879</v>
      </c>
      <c r="L61" s="167">
        <f t="shared" si="27"/>
        <v>1524182.5617353781</v>
      </c>
      <c r="M61" s="167">
        <f t="shared" si="27"/>
        <v>1461445.9748365008</v>
      </c>
      <c r="N61" s="167">
        <f t="shared" si="27"/>
        <v>1398709.3879376235</v>
      </c>
      <c r="O61" s="167">
        <f t="shared" si="27"/>
        <v>1335972.8010387463</v>
      </c>
      <c r="P61" s="167">
        <f t="shared" si="27"/>
        <v>1273236.214139869</v>
      </c>
      <c r="Q61" s="167">
        <f t="shared" si="27"/>
        <v>1210499.6272409917</v>
      </c>
      <c r="R61" s="167">
        <f t="shared" si="27"/>
        <v>1147763.0403421144</v>
      </c>
      <c r="S61" s="167">
        <f t="shared" si="27"/>
        <v>1085026.4534432371</v>
      </c>
      <c r="T61" s="167">
        <f t="shared" si="27"/>
        <v>1022289.8665443598</v>
      </c>
      <c r="U61" s="167">
        <f t="shared" si="27"/>
        <v>959553.27964548254</v>
      </c>
      <c r="V61" s="167">
        <f t="shared" si="27"/>
        <v>896816.69274660514</v>
      </c>
      <c r="W61" s="167">
        <f t="shared" si="27"/>
        <v>834080.10584772786</v>
      </c>
      <c r="X61" s="167">
        <f t="shared" si="27"/>
        <v>777139.29565938166</v>
      </c>
      <c r="Y61" s="167">
        <f t="shared" si="27"/>
        <v>731787.44105403766</v>
      </c>
      <c r="Z61" s="167">
        <f t="shared" si="27"/>
        <v>692231.36315922486</v>
      </c>
      <c r="AA61" s="167">
        <f t="shared" si="27"/>
        <v>652675.28526441194</v>
      </c>
      <c r="AB61" s="167">
        <f t="shared" si="27"/>
        <v>613119.20736959914</v>
      </c>
      <c r="AC61" s="167">
        <f t="shared" si="27"/>
        <v>573563.12947478634</v>
      </c>
      <c r="AD61" s="167">
        <f t="shared" si="27"/>
        <v>534007.05157997343</v>
      </c>
      <c r="AE61" s="167">
        <f t="shared" si="27"/>
        <v>494450.97368516063</v>
      </c>
      <c r="AF61" s="167">
        <f t="shared" si="27"/>
        <v>454894.89579034777</v>
      </c>
      <c r="AG61" s="167">
        <f t="shared" si="27"/>
        <v>415338.81789553491</v>
      </c>
      <c r="AH61" s="167">
        <f t="shared" si="27"/>
        <v>375782.74000072206</v>
      </c>
      <c r="AI61" s="167">
        <f t="shared" si="27"/>
        <v>336226.6621059092</v>
      </c>
      <c r="AJ61" s="167">
        <f t="shared" si="27"/>
        <v>296670.5842110964</v>
      </c>
      <c r="AK61" s="167">
        <f t="shared" si="27"/>
        <v>257114.50631628354</v>
      </c>
      <c r="AL61" s="167">
        <f t="shared" si="27"/>
        <v>217558.42842147071</v>
      </c>
      <c r="AM61" s="167">
        <f t="shared" si="27"/>
        <v>178002.35052665786</v>
      </c>
      <c r="AN61" s="167">
        <f t="shared" si="27"/>
        <v>138446.272631845</v>
      </c>
      <c r="AO61" s="167">
        <f t="shared" si="27"/>
        <v>98890.194737032158</v>
      </c>
      <c r="AP61" s="167">
        <f t="shared" si="27"/>
        <v>59334.1168422193</v>
      </c>
      <c r="AQ61" s="167">
        <f t="shared" si="27"/>
        <v>19778.038947406458</v>
      </c>
      <c r="AR61" s="167">
        <f t="shared" si="27"/>
        <v>3.5590250513658118E-11</v>
      </c>
      <c r="AS61" s="167">
        <f t="shared" si="27"/>
        <v>3.5590250513658118E-11</v>
      </c>
      <c r="AT61" s="167">
        <f t="shared" si="27"/>
        <v>3.5590250513658118E-11</v>
      </c>
      <c r="AU61" s="167">
        <f t="shared" si="27"/>
        <v>3.5590250513658118E-11</v>
      </c>
      <c r="AY61" s="18">
        <f>SUM(D61:M61)/10</f>
        <v>1758678.700937578</v>
      </c>
    </row>
    <row r="62" spans="1:51">
      <c r="A62" s="187">
        <f t="shared" si="8"/>
        <v>31</v>
      </c>
      <c r="B62" s="197" t="s">
        <v>176</v>
      </c>
      <c r="C62" s="197"/>
      <c r="D62" s="204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</row>
    <row r="63" spans="1:51" s="208" customFormat="1">
      <c r="A63" s="187">
        <f t="shared" si="8"/>
        <v>32</v>
      </c>
      <c r="B63" s="205" t="s">
        <v>177</v>
      </c>
      <c r="C63" s="206" t="s">
        <v>178</v>
      </c>
      <c r="D63" s="138">
        <f>L101</f>
        <v>3.7499999999999999E-2</v>
      </c>
      <c r="E63" s="207">
        <f>L102</f>
        <v>7.2190000000000004E-2</v>
      </c>
      <c r="F63" s="207">
        <f>L103</f>
        <v>6.6769999999999996E-2</v>
      </c>
      <c r="G63" s="207">
        <f>L104</f>
        <v>6.1769999999999999E-2</v>
      </c>
      <c r="H63" s="207">
        <f>L105</f>
        <v>5.713E-2</v>
      </c>
      <c r="I63" s="207">
        <f>L106</f>
        <v>5.2850000000000001E-2</v>
      </c>
      <c r="J63" s="207">
        <f>L107</f>
        <v>4.888E-2</v>
      </c>
      <c r="K63" s="207">
        <f>L108</f>
        <v>4.5220000000000003E-2</v>
      </c>
      <c r="L63" s="207">
        <f>L109</f>
        <v>4.462E-2</v>
      </c>
      <c r="M63" s="207">
        <f>L110</f>
        <v>4.4609999999999997E-2</v>
      </c>
      <c r="N63" s="207">
        <f>L111</f>
        <v>4.462E-2</v>
      </c>
      <c r="O63" s="207">
        <f>L112</f>
        <v>4.4609999999999997E-2</v>
      </c>
      <c r="P63" s="207">
        <f>L113</f>
        <v>4.462E-2</v>
      </c>
      <c r="Q63" s="207">
        <f>L114</f>
        <v>4.4609999999999997E-2</v>
      </c>
      <c r="R63" s="207">
        <f>L115</f>
        <v>4.462E-2</v>
      </c>
      <c r="S63" s="207">
        <f>L116</f>
        <v>4.4609999999999997E-2</v>
      </c>
      <c r="T63" s="207">
        <f>L117</f>
        <v>4.462E-2</v>
      </c>
      <c r="U63" s="207">
        <f>L118</f>
        <v>4.4609999999999997E-2</v>
      </c>
      <c r="V63" s="207">
        <f>L119</f>
        <v>4.462E-2</v>
      </c>
      <c r="W63" s="207">
        <f>L120</f>
        <v>4.4609999999999997E-2</v>
      </c>
      <c r="X63" s="207">
        <f>L121</f>
        <v>2.231E-2</v>
      </c>
      <c r="Y63" s="207">
        <f>L122</f>
        <v>0</v>
      </c>
      <c r="Z63" s="207">
        <f>L123</f>
        <v>0</v>
      </c>
      <c r="AA63" s="207">
        <f>L124</f>
        <v>0</v>
      </c>
      <c r="AB63" s="207">
        <f>L125</f>
        <v>0</v>
      </c>
      <c r="AC63" s="207">
        <f>L126</f>
        <v>0</v>
      </c>
      <c r="AD63" s="207">
        <f>L127</f>
        <v>0</v>
      </c>
      <c r="AE63" s="207">
        <f>L128</f>
        <v>0</v>
      </c>
      <c r="AF63" s="207">
        <f>L129</f>
        <v>0</v>
      </c>
      <c r="AG63" s="207">
        <f>L130</f>
        <v>0</v>
      </c>
      <c r="AH63" s="207">
        <f>L131</f>
        <v>0</v>
      </c>
      <c r="AI63" s="207">
        <f>L132</f>
        <v>0</v>
      </c>
      <c r="AJ63" s="207">
        <f>L133</f>
        <v>0</v>
      </c>
      <c r="AK63" s="207">
        <f>L134</f>
        <v>0</v>
      </c>
      <c r="AL63" s="207">
        <f t="shared" ref="AL63:AU63" si="28">M134</f>
        <v>0</v>
      </c>
      <c r="AM63" s="207">
        <f t="shared" si="28"/>
        <v>0</v>
      </c>
      <c r="AN63" s="207">
        <f t="shared" si="28"/>
        <v>0</v>
      </c>
      <c r="AO63" s="207">
        <f t="shared" si="28"/>
        <v>0</v>
      </c>
      <c r="AP63" s="207">
        <f t="shared" si="28"/>
        <v>0</v>
      </c>
      <c r="AQ63" s="207">
        <f t="shared" si="28"/>
        <v>0</v>
      </c>
      <c r="AR63" s="207">
        <f t="shared" si="28"/>
        <v>0</v>
      </c>
      <c r="AS63" s="207">
        <f t="shared" si="28"/>
        <v>0</v>
      </c>
      <c r="AT63" s="207">
        <f t="shared" si="28"/>
        <v>0</v>
      </c>
      <c r="AU63" s="207">
        <f t="shared" si="28"/>
        <v>0</v>
      </c>
      <c r="AV63" s="208">
        <f>SUM(D63:AK63)</f>
        <v>1.0000000000000002</v>
      </c>
    </row>
    <row r="64" spans="1:51">
      <c r="A64" s="187">
        <f t="shared" si="8"/>
        <v>33</v>
      </c>
      <c r="B64" s="199" t="s">
        <v>179</v>
      </c>
      <c r="C64" s="209">
        <f>($D$5+$D$8)</f>
        <v>27500000</v>
      </c>
      <c r="D64" s="175">
        <f>(($C$64)*D63)</f>
        <v>1031250</v>
      </c>
      <c r="E64" s="71">
        <f t="shared" ref="E64:AU64" si="29">(($C$64)*E63)</f>
        <v>1985225</v>
      </c>
      <c r="F64" s="71">
        <f t="shared" si="29"/>
        <v>1836175</v>
      </c>
      <c r="G64" s="71">
        <f t="shared" si="29"/>
        <v>1698675</v>
      </c>
      <c r="H64" s="71">
        <f t="shared" si="29"/>
        <v>1571075</v>
      </c>
      <c r="I64" s="71">
        <f t="shared" si="29"/>
        <v>1453375</v>
      </c>
      <c r="J64" s="71">
        <f t="shared" si="29"/>
        <v>1344200</v>
      </c>
      <c r="K64" s="71">
        <f t="shared" si="29"/>
        <v>1243550</v>
      </c>
      <c r="L64" s="71">
        <f t="shared" si="29"/>
        <v>1227050</v>
      </c>
      <c r="M64" s="71">
        <f t="shared" si="29"/>
        <v>1226775</v>
      </c>
      <c r="N64" s="71">
        <f t="shared" si="29"/>
        <v>1227050</v>
      </c>
      <c r="O64" s="71">
        <f t="shared" si="29"/>
        <v>1226775</v>
      </c>
      <c r="P64" s="71">
        <f t="shared" si="29"/>
        <v>1227050</v>
      </c>
      <c r="Q64" s="71">
        <f t="shared" si="29"/>
        <v>1226775</v>
      </c>
      <c r="R64" s="71">
        <f t="shared" si="29"/>
        <v>1227050</v>
      </c>
      <c r="S64" s="71">
        <f t="shared" si="29"/>
        <v>1226775</v>
      </c>
      <c r="T64" s="71">
        <f t="shared" si="29"/>
        <v>1227050</v>
      </c>
      <c r="U64" s="71">
        <f t="shared" si="29"/>
        <v>1226775</v>
      </c>
      <c r="V64" s="71">
        <f t="shared" si="29"/>
        <v>1227050</v>
      </c>
      <c r="W64" s="71">
        <f t="shared" si="29"/>
        <v>1226775</v>
      </c>
      <c r="X64" s="71">
        <f t="shared" si="29"/>
        <v>613525</v>
      </c>
      <c r="Y64" s="71">
        <f t="shared" si="29"/>
        <v>0</v>
      </c>
      <c r="Z64" s="71">
        <f t="shared" si="29"/>
        <v>0</v>
      </c>
      <c r="AA64" s="71">
        <f t="shared" si="29"/>
        <v>0</v>
      </c>
      <c r="AB64" s="71">
        <f t="shared" si="29"/>
        <v>0</v>
      </c>
      <c r="AC64" s="71">
        <f t="shared" si="29"/>
        <v>0</v>
      </c>
      <c r="AD64" s="71">
        <f t="shared" si="29"/>
        <v>0</v>
      </c>
      <c r="AE64" s="71">
        <f t="shared" si="29"/>
        <v>0</v>
      </c>
      <c r="AF64" s="71">
        <f t="shared" si="29"/>
        <v>0</v>
      </c>
      <c r="AG64" s="71">
        <f t="shared" si="29"/>
        <v>0</v>
      </c>
      <c r="AH64" s="71">
        <f t="shared" si="29"/>
        <v>0</v>
      </c>
      <c r="AI64" s="71">
        <f t="shared" si="29"/>
        <v>0</v>
      </c>
      <c r="AJ64" s="71">
        <f t="shared" si="29"/>
        <v>0</v>
      </c>
      <c r="AK64" s="71">
        <f t="shared" si="29"/>
        <v>0</v>
      </c>
      <c r="AL64" s="71">
        <f t="shared" si="29"/>
        <v>0</v>
      </c>
      <c r="AM64" s="71">
        <f t="shared" si="29"/>
        <v>0</v>
      </c>
      <c r="AN64" s="71">
        <f t="shared" si="29"/>
        <v>0</v>
      </c>
      <c r="AO64" s="71">
        <f t="shared" si="29"/>
        <v>0</v>
      </c>
      <c r="AP64" s="71">
        <f t="shared" si="29"/>
        <v>0</v>
      </c>
      <c r="AQ64" s="71">
        <f t="shared" si="29"/>
        <v>0</v>
      </c>
      <c r="AR64" s="71">
        <f t="shared" si="29"/>
        <v>0</v>
      </c>
      <c r="AS64" s="71">
        <f t="shared" si="29"/>
        <v>0</v>
      </c>
      <c r="AT64" s="71">
        <f t="shared" si="29"/>
        <v>0</v>
      </c>
      <c r="AU64" s="71">
        <f t="shared" si="29"/>
        <v>0</v>
      </c>
      <c r="AV64" s="18">
        <f>SUM(D64:AK64)</f>
        <v>27500000</v>
      </c>
      <c r="AY64" s="18">
        <f>SUM(D64:M64)/10</f>
        <v>1461735</v>
      </c>
    </row>
    <row r="65" spans="1:51">
      <c r="A65" s="187">
        <f t="shared" si="8"/>
        <v>34</v>
      </c>
      <c r="B65" s="200" t="s">
        <v>180</v>
      </c>
      <c r="C65" s="210">
        <f>+D5</f>
        <v>27500000</v>
      </c>
      <c r="D65" s="184">
        <f t="shared" ref="D65:AU65" si="30">(D35)</f>
        <v>687500</v>
      </c>
      <c r="E65" s="78">
        <f t="shared" si="30"/>
        <v>687500</v>
      </c>
      <c r="F65" s="78">
        <f t="shared" si="30"/>
        <v>687500</v>
      </c>
      <c r="G65" s="78">
        <f t="shared" si="30"/>
        <v>687500</v>
      </c>
      <c r="H65" s="78">
        <f t="shared" si="30"/>
        <v>687500</v>
      </c>
      <c r="I65" s="78">
        <f t="shared" si="30"/>
        <v>687500</v>
      </c>
      <c r="J65" s="78">
        <f t="shared" si="30"/>
        <v>687500</v>
      </c>
      <c r="K65" s="78">
        <f t="shared" si="30"/>
        <v>687500</v>
      </c>
      <c r="L65" s="78">
        <f t="shared" si="30"/>
        <v>687500</v>
      </c>
      <c r="M65" s="78">
        <f t="shared" si="30"/>
        <v>687500</v>
      </c>
      <c r="N65" s="78">
        <f t="shared" si="30"/>
        <v>687500</v>
      </c>
      <c r="O65" s="78">
        <f t="shared" si="30"/>
        <v>687500</v>
      </c>
      <c r="P65" s="78">
        <f t="shared" si="30"/>
        <v>687500</v>
      </c>
      <c r="Q65" s="78">
        <f t="shared" si="30"/>
        <v>687500</v>
      </c>
      <c r="R65" s="78">
        <f t="shared" si="30"/>
        <v>687500</v>
      </c>
      <c r="S65" s="78">
        <f t="shared" si="30"/>
        <v>687500</v>
      </c>
      <c r="T65" s="78">
        <f t="shared" si="30"/>
        <v>687500</v>
      </c>
      <c r="U65" s="78">
        <f t="shared" si="30"/>
        <v>687500</v>
      </c>
      <c r="V65" s="78">
        <f t="shared" si="30"/>
        <v>687500</v>
      </c>
      <c r="W65" s="78">
        <f t="shared" si="30"/>
        <v>687500</v>
      </c>
      <c r="X65" s="78">
        <f t="shared" si="30"/>
        <v>687500</v>
      </c>
      <c r="Y65" s="78">
        <f t="shared" si="30"/>
        <v>687500</v>
      </c>
      <c r="Z65" s="78">
        <f t="shared" si="30"/>
        <v>687500</v>
      </c>
      <c r="AA65" s="78">
        <f t="shared" si="30"/>
        <v>687500</v>
      </c>
      <c r="AB65" s="78">
        <f t="shared" si="30"/>
        <v>687500</v>
      </c>
      <c r="AC65" s="78">
        <f t="shared" si="30"/>
        <v>687500</v>
      </c>
      <c r="AD65" s="78">
        <f t="shared" si="30"/>
        <v>687500</v>
      </c>
      <c r="AE65" s="78">
        <f t="shared" si="30"/>
        <v>687500</v>
      </c>
      <c r="AF65" s="78">
        <f t="shared" si="30"/>
        <v>687500</v>
      </c>
      <c r="AG65" s="78">
        <f t="shared" si="30"/>
        <v>687500</v>
      </c>
      <c r="AH65" s="78">
        <f t="shared" si="30"/>
        <v>687500</v>
      </c>
      <c r="AI65" s="78">
        <f t="shared" si="30"/>
        <v>687500</v>
      </c>
      <c r="AJ65" s="78">
        <f t="shared" si="30"/>
        <v>687500</v>
      </c>
      <c r="AK65" s="78">
        <f t="shared" si="30"/>
        <v>687500</v>
      </c>
      <c r="AL65" s="78">
        <f t="shared" si="30"/>
        <v>687500</v>
      </c>
      <c r="AM65" s="78">
        <f t="shared" si="30"/>
        <v>687500</v>
      </c>
      <c r="AN65" s="78">
        <f t="shared" si="30"/>
        <v>687500</v>
      </c>
      <c r="AO65" s="78">
        <f t="shared" si="30"/>
        <v>687500</v>
      </c>
      <c r="AP65" s="78">
        <f t="shared" si="30"/>
        <v>687500</v>
      </c>
      <c r="AQ65" s="78">
        <f t="shared" si="30"/>
        <v>687500</v>
      </c>
      <c r="AR65" s="78">
        <f t="shared" si="30"/>
        <v>0</v>
      </c>
      <c r="AS65" s="78">
        <f t="shared" si="30"/>
        <v>0</v>
      </c>
      <c r="AT65" s="78">
        <f t="shared" si="30"/>
        <v>0</v>
      </c>
      <c r="AU65" s="78">
        <f t="shared" si="30"/>
        <v>0</v>
      </c>
      <c r="AV65" s="18">
        <f>SUM(D65:AK65)</f>
        <v>23375000</v>
      </c>
      <c r="AY65" s="18">
        <f>SUM(D65:M65)/10</f>
        <v>687500</v>
      </c>
    </row>
    <row r="66" spans="1:51">
      <c r="A66" s="187">
        <f t="shared" si="8"/>
        <v>35</v>
      </c>
      <c r="B66" s="169" t="s">
        <v>181</v>
      </c>
      <c r="C66" s="169"/>
      <c r="D66" s="122">
        <f t="shared" ref="D66:AU66" si="31">(D64-D65)</f>
        <v>343750</v>
      </c>
      <c r="E66" s="167">
        <f t="shared" si="31"/>
        <v>1297725</v>
      </c>
      <c r="F66" s="167">
        <f t="shared" si="31"/>
        <v>1148675</v>
      </c>
      <c r="G66" s="167">
        <f t="shared" si="31"/>
        <v>1011175</v>
      </c>
      <c r="H66" s="167">
        <f t="shared" si="31"/>
        <v>883575</v>
      </c>
      <c r="I66" s="167">
        <f t="shared" si="31"/>
        <v>765875</v>
      </c>
      <c r="J66" s="167">
        <f t="shared" si="31"/>
        <v>656700</v>
      </c>
      <c r="K66" s="167">
        <f t="shared" si="31"/>
        <v>556050</v>
      </c>
      <c r="L66" s="167">
        <f t="shared" si="31"/>
        <v>539550</v>
      </c>
      <c r="M66" s="167">
        <f t="shared" si="31"/>
        <v>539275</v>
      </c>
      <c r="N66" s="167">
        <f t="shared" si="31"/>
        <v>539550</v>
      </c>
      <c r="O66" s="167">
        <f t="shared" si="31"/>
        <v>539275</v>
      </c>
      <c r="P66" s="167">
        <f t="shared" si="31"/>
        <v>539550</v>
      </c>
      <c r="Q66" s="167">
        <f t="shared" si="31"/>
        <v>539275</v>
      </c>
      <c r="R66" s="167">
        <f t="shared" si="31"/>
        <v>539550</v>
      </c>
      <c r="S66" s="167">
        <f t="shared" si="31"/>
        <v>539275</v>
      </c>
      <c r="T66" s="167">
        <f t="shared" si="31"/>
        <v>539550</v>
      </c>
      <c r="U66" s="167">
        <f t="shared" si="31"/>
        <v>539275</v>
      </c>
      <c r="V66" s="167">
        <f t="shared" si="31"/>
        <v>539550</v>
      </c>
      <c r="W66" s="167">
        <f t="shared" si="31"/>
        <v>539275</v>
      </c>
      <c r="X66" s="167">
        <f t="shared" si="31"/>
        <v>-73975</v>
      </c>
      <c r="Y66" s="167">
        <f t="shared" si="31"/>
        <v>-687500</v>
      </c>
      <c r="Z66" s="167">
        <f t="shared" si="31"/>
        <v>-687500</v>
      </c>
      <c r="AA66" s="167">
        <f t="shared" si="31"/>
        <v>-687500</v>
      </c>
      <c r="AB66" s="167">
        <f t="shared" si="31"/>
        <v>-687500</v>
      </c>
      <c r="AC66" s="167">
        <f t="shared" si="31"/>
        <v>-687500</v>
      </c>
      <c r="AD66" s="167">
        <f t="shared" si="31"/>
        <v>-687500</v>
      </c>
      <c r="AE66" s="167">
        <f t="shared" si="31"/>
        <v>-687500</v>
      </c>
      <c r="AF66" s="167">
        <f t="shared" si="31"/>
        <v>-687500</v>
      </c>
      <c r="AG66" s="167">
        <f t="shared" si="31"/>
        <v>-687500</v>
      </c>
      <c r="AH66" s="167">
        <f t="shared" si="31"/>
        <v>-687500</v>
      </c>
      <c r="AI66" s="167">
        <f t="shared" si="31"/>
        <v>-687500</v>
      </c>
      <c r="AJ66" s="167">
        <f t="shared" si="31"/>
        <v>-687500</v>
      </c>
      <c r="AK66" s="167">
        <f t="shared" si="31"/>
        <v>-687500</v>
      </c>
      <c r="AL66" s="167">
        <f t="shared" si="31"/>
        <v>-687500</v>
      </c>
      <c r="AM66" s="167">
        <f t="shared" si="31"/>
        <v>-687500</v>
      </c>
      <c r="AN66" s="167">
        <f t="shared" si="31"/>
        <v>-687500</v>
      </c>
      <c r="AO66" s="167">
        <f t="shared" si="31"/>
        <v>-687500</v>
      </c>
      <c r="AP66" s="167">
        <f t="shared" si="31"/>
        <v>-687500</v>
      </c>
      <c r="AQ66" s="167">
        <f t="shared" si="31"/>
        <v>-687500</v>
      </c>
      <c r="AR66" s="167">
        <f t="shared" si="31"/>
        <v>0</v>
      </c>
      <c r="AS66" s="167">
        <f t="shared" si="31"/>
        <v>0</v>
      </c>
      <c r="AT66" s="167">
        <f t="shared" si="31"/>
        <v>0</v>
      </c>
      <c r="AU66" s="167">
        <f t="shared" si="31"/>
        <v>0</v>
      </c>
      <c r="AY66" s="18">
        <f>SUM(D66:M66)/10</f>
        <v>774235</v>
      </c>
    </row>
    <row r="67" spans="1:51">
      <c r="A67" s="187">
        <f t="shared" si="8"/>
        <v>36</v>
      </c>
      <c r="B67" s="169" t="s">
        <v>182</v>
      </c>
      <c r="C67" s="169"/>
      <c r="D67" s="167">
        <f>-C14</f>
        <v>0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</row>
    <row r="68" spans="1:51">
      <c r="A68" s="187">
        <f t="shared" si="8"/>
        <v>37</v>
      </c>
      <c r="B68" s="168" t="str">
        <f>"Deferred Tax @ "&amp;TEXT(H7,"0.00%")</f>
        <v>Deferred Tax @ 24.72%</v>
      </c>
      <c r="C68" s="168"/>
      <c r="D68" s="167">
        <f>((D66+D67)*$H$7)</f>
        <v>84975</v>
      </c>
      <c r="E68" s="167">
        <f t="shared" ref="E68:AU68" si="32">(E66*$H$7)</f>
        <v>320797.62</v>
      </c>
      <c r="F68" s="167">
        <f t="shared" si="32"/>
        <v>283952.46000000002</v>
      </c>
      <c r="G68" s="167">
        <f t="shared" si="32"/>
        <v>249962.46</v>
      </c>
      <c r="H68" s="167">
        <f t="shared" si="32"/>
        <v>218419.74</v>
      </c>
      <c r="I68" s="167">
        <f t="shared" si="32"/>
        <v>189324.3</v>
      </c>
      <c r="J68" s="167">
        <f t="shared" si="32"/>
        <v>162336.24</v>
      </c>
      <c r="K68" s="167">
        <f t="shared" si="32"/>
        <v>137455.56</v>
      </c>
      <c r="L68" s="167">
        <f t="shared" si="32"/>
        <v>133376.76</v>
      </c>
      <c r="M68" s="167">
        <f t="shared" si="32"/>
        <v>133308.78</v>
      </c>
      <c r="N68" s="167">
        <f t="shared" si="32"/>
        <v>133376.76</v>
      </c>
      <c r="O68" s="167">
        <f t="shared" si="32"/>
        <v>133308.78</v>
      </c>
      <c r="P68" s="167">
        <f t="shared" si="32"/>
        <v>133376.76</v>
      </c>
      <c r="Q68" s="167">
        <f t="shared" si="32"/>
        <v>133308.78</v>
      </c>
      <c r="R68" s="167">
        <f t="shared" si="32"/>
        <v>133376.76</v>
      </c>
      <c r="S68" s="167">
        <f t="shared" si="32"/>
        <v>133308.78</v>
      </c>
      <c r="T68" s="167">
        <f t="shared" si="32"/>
        <v>133376.76</v>
      </c>
      <c r="U68" s="167">
        <f t="shared" si="32"/>
        <v>133308.78</v>
      </c>
      <c r="V68" s="167">
        <f t="shared" si="32"/>
        <v>133376.76</v>
      </c>
      <c r="W68" s="167">
        <f t="shared" si="32"/>
        <v>133308.78</v>
      </c>
      <c r="X68" s="167">
        <f t="shared" si="32"/>
        <v>-18286.62</v>
      </c>
      <c r="Y68" s="167">
        <f t="shared" si="32"/>
        <v>-169950</v>
      </c>
      <c r="Z68" s="167">
        <f t="shared" si="32"/>
        <v>-169950</v>
      </c>
      <c r="AA68" s="167">
        <f t="shared" si="32"/>
        <v>-169950</v>
      </c>
      <c r="AB68" s="167">
        <f t="shared" si="32"/>
        <v>-169950</v>
      </c>
      <c r="AC68" s="167">
        <f t="shared" si="32"/>
        <v>-169950</v>
      </c>
      <c r="AD68" s="167">
        <f t="shared" si="32"/>
        <v>-169950</v>
      </c>
      <c r="AE68" s="167">
        <f t="shared" si="32"/>
        <v>-169950</v>
      </c>
      <c r="AF68" s="167">
        <f t="shared" si="32"/>
        <v>-169950</v>
      </c>
      <c r="AG68" s="167">
        <f t="shared" si="32"/>
        <v>-169950</v>
      </c>
      <c r="AH68" s="167">
        <f t="shared" si="32"/>
        <v>-169950</v>
      </c>
      <c r="AI68" s="167">
        <f t="shared" si="32"/>
        <v>-169950</v>
      </c>
      <c r="AJ68" s="167">
        <f t="shared" si="32"/>
        <v>-169950</v>
      </c>
      <c r="AK68" s="167">
        <f t="shared" si="32"/>
        <v>-169950</v>
      </c>
      <c r="AL68" s="167">
        <f t="shared" si="32"/>
        <v>-169950</v>
      </c>
      <c r="AM68" s="167">
        <f t="shared" si="32"/>
        <v>-169950</v>
      </c>
      <c r="AN68" s="167">
        <f t="shared" si="32"/>
        <v>-169950</v>
      </c>
      <c r="AO68" s="167">
        <f t="shared" si="32"/>
        <v>-169950</v>
      </c>
      <c r="AP68" s="167">
        <f t="shared" si="32"/>
        <v>-169950</v>
      </c>
      <c r="AQ68" s="167">
        <f t="shared" si="32"/>
        <v>-169950</v>
      </c>
      <c r="AR68" s="167">
        <f t="shared" si="32"/>
        <v>0</v>
      </c>
      <c r="AS68" s="167">
        <f t="shared" si="32"/>
        <v>0</v>
      </c>
      <c r="AT68" s="167">
        <f t="shared" si="32"/>
        <v>0</v>
      </c>
      <c r="AU68" s="167">
        <f t="shared" si="32"/>
        <v>0</v>
      </c>
      <c r="AY68" s="18">
        <f>SUM(D68:M68)/10</f>
        <v>191390.89200000002</v>
      </c>
    </row>
    <row r="69" spans="1:51">
      <c r="B69" s="90" t="s">
        <v>183</v>
      </c>
      <c r="C69" s="90"/>
      <c r="D69" s="211">
        <f t="shared" ref="D69:AU69" si="33">D57*$L15</f>
        <v>14117206.348601537</v>
      </c>
      <c r="E69" s="211">
        <f t="shared" si="33"/>
        <v>13653612.730112039</v>
      </c>
      <c r="F69" s="211">
        <f t="shared" si="33"/>
        <v>13138218.741579084</v>
      </c>
      <c r="G69" s="211">
        <f t="shared" si="33"/>
        <v>12641265.472412473</v>
      </c>
      <c r="H69" s="211">
        <f t="shared" si="33"/>
        <v>12161372.523273837</v>
      </c>
      <c r="I69" s="211">
        <f t="shared" si="33"/>
        <v>11697265.679389305</v>
      </c>
      <c r="J69" s="211">
        <f t="shared" si="33"/>
        <v>11247759.213122077</v>
      </c>
      <c r="K69" s="211">
        <f t="shared" si="33"/>
        <v>10811755.883972429</v>
      </c>
      <c r="L69" s="211">
        <f t="shared" si="33"/>
        <v>10383291.658901533</v>
      </c>
      <c r="M69" s="211">
        <f t="shared" si="33"/>
        <v>9955906.9769029468</v>
      </c>
      <c r="N69" s="211">
        <f t="shared" si="33"/>
        <v>9528522.2949043624</v>
      </c>
      <c r="O69" s="211">
        <f t="shared" si="33"/>
        <v>9101137.612905778</v>
      </c>
      <c r="P69" s="211">
        <f t="shared" si="33"/>
        <v>8673752.9309071917</v>
      </c>
      <c r="Q69" s="211">
        <f t="shared" si="33"/>
        <v>8246368.2489086073</v>
      </c>
      <c r="R69" s="211">
        <f t="shared" si="33"/>
        <v>7818983.5669100219</v>
      </c>
      <c r="S69" s="211">
        <f t="shared" si="33"/>
        <v>7391598.8849114366</v>
      </c>
      <c r="T69" s="211">
        <f t="shared" si="33"/>
        <v>6964214.2029128503</v>
      </c>
      <c r="U69" s="211">
        <f t="shared" si="33"/>
        <v>6536829.520914265</v>
      </c>
      <c r="V69" s="211">
        <f t="shared" si="33"/>
        <v>6109444.8389156787</v>
      </c>
      <c r="W69" s="211">
        <f t="shared" si="33"/>
        <v>5682060.1569170933</v>
      </c>
      <c r="X69" s="211">
        <f t="shared" si="33"/>
        <v>5294158.4354811823</v>
      </c>
      <c r="Y69" s="211">
        <f t="shared" si="33"/>
        <v>4985204.9377432</v>
      </c>
      <c r="Z69" s="211">
        <f t="shared" si="33"/>
        <v>4715734.400567892</v>
      </c>
      <c r="AA69" s="211">
        <f t="shared" si="33"/>
        <v>4446263.863392584</v>
      </c>
      <c r="AB69" s="211">
        <f t="shared" si="33"/>
        <v>4176793.326217276</v>
      </c>
      <c r="AC69" s="211">
        <f t="shared" si="33"/>
        <v>3907322.7890419676</v>
      </c>
      <c r="AD69" s="211">
        <f t="shared" si="33"/>
        <v>3637852.2518666596</v>
      </c>
      <c r="AE69" s="211">
        <f t="shared" si="33"/>
        <v>3368381.7146913516</v>
      </c>
      <c r="AF69" s="211">
        <f t="shared" si="33"/>
        <v>3098911.1775160437</v>
      </c>
      <c r="AG69" s="211">
        <f t="shared" si="33"/>
        <v>2829440.6403407352</v>
      </c>
      <c r="AH69" s="211">
        <f t="shared" si="33"/>
        <v>2559970.1031654272</v>
      </c>
      <c r="AI69" s="211">
        <f t="shared" si="33"/>
        <v>2290499.5659901192</v>
      </c>
      <c r="AJ69" s="211">
        <f t="shared" si="33"/>
        <v>2021029.0288148113</v>
      </c>
      <c r="AK69" s="211">
        <f t="shared" si="33"/>
        <v>1751558.491639503</v>
      </c>
      <c r="AL69" s="211">
        <f t="shared" si="33"/>
        <v>1482087.9544641948</v>
      </c>
      <c r="AM69" s="211">
        <f t="shared" si="33"/>
        <v>1212617.4172888868</v>
      </c>
      <c r="AN69" s="211">
        <f t="shared" si="33"/>
        <v>943146.88011357863</v>
      </c>
      <c r="AO69" s="211">
        <f t="shared" si="33"/>
        <v>673676.34293827054</v>
      </c>
      <c r="AP69" s="211">
        <f t="shared" si="33"/>
        <v>404205.80576296244</v>
      </c>
      <c r="AQ69" s="211">
        <f t="shared" si="33"/>
        <v>134735.26858765431</v>
      </c>
      <c r="AR69" s="211">
        <f t="shared" si="33"/>
        <v>2.4245386384419281E-10</v>
      </c>
      <c r="AS69" s="211">
        <f t="shared" si="33"/>
        <v>2.4245386384419281E-10</v>
      </c>
      <c r="AT69" s="211">
        <f t="shared" si="33"/>
        <v>2.4245386384419281E-10</v>
      </c>
      <c r="AU69" s="211">
        <f t="shared" si="33"/>
        <v>2.4245386384419281E-10</v>
      </c>
    </row>
    <row r="70" spans="1:51">
      <c r="B70" s="90"/>
      <c r="C70" s="90"/>
      <c r="D70" s="212"/>
      <c r="E70" s="212"/>
    </row>
    <row r="71" spans="1:51">
      <c r="B71" s="29" t="s">
        <v>184</v>
      </c>
      <c r="C71" s="90"/>
      <c r="D71" s="166">
        <v>1</v>
      </c>
      <c r="E71" s="166">
        <f>D71+1</f>
        <v>2</v>
      </c>
      <c r="F71" s="166">
        <f t="shared" ref="F71:AU71" si="34">E71+1</f>
        <v>3</v>
      </c>
      <c r="G71" s="166">
        <f t="shared" si="34"/>
        <v>4</v>
      </c>
      <c r="H71" s="166">
        <f t="shared" si="34"/>
        <v>5</v>
      </c>
      <c r="I71" s="166">
        <f t="shared" si="34"/>
        <v>6</v>
      </c>
      <c r="J71" s="166">
        <f t="shared" si="34"/>
        <v>7</v>
      </c>
      <c r="K71" s="166">
        <f t="shared" si="34"/>
        <v>8</v>
      </c>
      <c r="L71" s="166">
        <f t="shared" si="34"/>
        <v>9</v>
      </c>
      <c r="M71" s="166">
        <f t="shared" si="34"/>
        <v>10</v>
      </c>
      <c r="N71" s="166">
        <f t="shared" si="34"/>
        <v>11</v>
      </c>
      <c r="O71" s="166">
        <f t="shared" si="34"/>
        <v>12</v>
      </c>
      <c r="P71" s="166">
        <f t="shared" si="34"/>
        <v>13</v>
      </c>
      <c r="Q71" s="166">
        <f t="shared" si="34"/>
        <v>14</v>
      </c>
      <c r="R71" s="166">
        <f t="shared" si="34"/>
        <v>15</v>
      </c>
      <c r="S71" s="166">
        <f t="shared" si="34"/>
        <v>16</v>
      </c>
      <c r="T71" s="166">
        <f t="shared" si="34"/>
        <v>17</v>
      </c>
      <c r="U71" s="166">
        <f t="shared" si="34"/>
        <v>18</v>
      </c>
      <c r="V71" s="166">
        <f t="shared" si="34"/>
        <v>19</v>
      </c>
      <c r="W71" s="166">
        <f t="shared" si="34"/>
        <v>20</v>
      </c>
      <c r="X71" s="166">
        <f t="shared" si="34"/>
        <v>21</v>
      </c>
      <c r="Y71" s="166">
        <f t="shared" si="34"/>
        <v>22</v>
      </c>
      <c r="Z71" s="166">
        <f t="shared" si="34"/>
        <v>23</v>
      </c>
      <c r="AA71" s="166">
        <f t="shared" si="34"/>
        <v>24</v>
      </c>
      <c r="AB71" s="166">
        <f t="shared" si="34"/>
        <v>25</v>
      </c>
      <c r="AC71" s="166">
        <f t="shared" si="34"/>
        <v>26</v>
      </c>
      <c r="AD71" s="166">
        <f t="shared" si="34"/>
        <v>27</v>
      </c>
      <c r="AE71" s="166">
        <f t="shared" si="34"/>
        <v>28</v>
      </c>
      <c r="AF71" s="166">
        <f t="shared" si="34"/>
        <v>29</v>
      </c>
      <c r="AG71" s="166">
        <f t="shared" si="34"/>
        <v>30</v>
      </c>
      <c r="AH71" s="166">
        <f t="shared" si="34"/>
        <v>31</v>
      </c>
      <c r="AI71" s="166">
        <f t="shared" si="34"/>
        <v>32</v>
      </c>
      <c r="AJ71" s="166">
        <f t="shared" si="34"/>
        <v>33</v>
      </c>
      <c r="AK71" s="166">
        <f t="shared" si="34"/>
        <v>34</v>
      </c>
      <c r="AL71" s="166">
        <f t="shared" si="34"/>
        <v>35</v>
      </c>
      <c r="AM71" s="166">
        <f t="shared" si="34"/>
        <v>36</v>
      </c>
      <c r="AN71" s="166">
        <f t="shared" si="34"/>
        <v>37</v>
      </c>
      <c r="AO71" s="166">
        <f t="shared" si="34"/>
        <v>38</v>
      </c>
      <c r="AP71" s="166">
        <f t="shared" si="34"/>
        <v>39</v>
      </c>
      <c r="AQ71" s="166">
        <f t="shared" si="34"/>
        <v>40</v>
      </c>
      <c r="AR71" s="166">
        <f t="shared" si="34"/>
        <v>41</v>
      </c>
      <c r="AS71" s="166">
        <f t="shared" si="34"/>
        <v>42</v>
      </c>
      <c r="AT71" s="166">
        <f t="shared" si="34"/>
        <v>43</v>
      </c>
      <c r="AU71" s="166">
        <f t="shared" si="34"/>
        <v>44</v>
      </c>
    </row>
    <row r="72" spans="1:51">
      <c r="B72" s="29" t="s">
        <v>185</v>
      </c>
      <c r="C72" s="90"/>
      <c r="D72" s="212"/>
      <c r="E72" s="212"/>
    </row>
    <row r="73" spans="1:51">
      <c r="B73" s="90" t="s">
        <v>186</v>
      </c>
      <c r="C73" s="90"/>
      <c r="D73" s="213">
        <f t="shared" ref="D73:AU73" si="35">D46</f>
        <v>27500000</v>
      </c>
      <c r="E73" s="214">
        <f t="shared" si="35"/>
        <v>27500000</v>
      </c>
      <c r="F73" s="214">
        <f t="shared" si="35"/>
        <v>27500000</v>
      </c>
      <c r="G73" s="214">
        <f t="shared" si="35"/>
        <v>27500000</v>
      </c>
      <c r="H73" s="214">
        <f t="shared" si="35"/>
        <v>27500000</v>
      </c>
      <c r="I73" s="214">
        <f t="shared" si="35"/>
        <v>27500000</v>
      </c>
      <c r="J73" s="214">
        <f t="shared" si="35"/>
        <v>27500000</v>
      </c>
      <c r="K73" s="214">
        <f t="shared" si="35"/>
        <v>27500000</v>
      </c>
      <c r="L73" s="214">
        <f t="shared" si="35"/>
        <v>27500000</v>
      </c>
      <c r="M73" s="214">
        <f t="shared" si="35"/>
        <v>27500000</v>
      </c>
      <c r="N73" s="214">
        <f t="shared" si="35"/>
        <v>27500000</v>
      </c>
      <c r="O73" s="214">
        <f t="shared" si="35"/>
        <v>27500000</v>
      </c>
      <c r="P73" s="214">
        <f t="shared" si="35"/>
        <v>27500000</v>
      </c>
      <c r="Q73" s="214">
        <f t="shared" si="35"/>
        <v>27500000</v>
      </c>
      <c r="R73" s="214">
        <f t="shared" si="35"/>
        <v>27500000</v>
      </c>
      <c r="S73" s="214">
        <f t="shared" si="35"/>
        <v>27500000</v>
      </c>
      <c r="T73" s="214">
        <f t="shared" si="35"/>
        <v>27500000</v>
      </c>
      <c r="U73" s="214">
        <f t="shared" si="35"/>
        <v>27500000</v>
      </c>
      <c r="V73" s="214">
        <f t="shared" si="35"/>
        <v>27500000</v>
      </c>
      <c r="W73" s="214">
        <f t="shared" si="35"/>
        <v>27500000</v>
      </c>
      <c r="X73" s="214">
        <f t="shared" si="35"/>
        <v>27500000</v>
      </c>
      <c r="Y73" s="214">
        <f t="shared" si="35"/>
        <v>27500000</v>
      </c>
      <c r="Z73" s="214">
        <f t="shared" si="35"/>
        <v>27500000</v>
      </c>
      <c r="AA73" s="214">
        <f t="shared" si="35"/>
        <v>27500000</v>
      </c>
      <c r="AB73" s="214">
        <f t="shared" si="35"/>
        <v>27500000</v>
      </c>
      <c r="AC73" s="214">
        <f t="shared" si="35"/>
        <v>27500000</v>
      </c>
      <c r="AD73" s="214">
        <f t="shared" si="35"/>
        <v>27500000</v>
      </c>
      <c r="AE73" s="214">
        <f t="shared" si="35"/>
        <v>27500000</v>
      </c>
      <c r="AF73" s="214">
        <f t="shared" si="35"/>
        <v>27500000</v>
      </c>
      <c r="AG73" s="214">
        <f t="shared" si="35"/>
        <v>27500000</v>
      </c>
      <c r="AH73" s="214">
        <f t="shared" si="35"/>
        <v>27500000</v>
      </c>
      <c r="AI73" s="214">
        <f t="shared" si="35"/>
        <v>27500000</v>
      </c>
      <c r="AJ73" s="214">
        <f t="shared" si="35"/>
        <v>27500000</v>
      </c>
      <c r="AK73" s="214">
        <f t="shared" si="35"/>
        <v>27500000</v>
      </c>
      <c r="AL73" s="214">
        <f t="shared" si="35"/>
        <v>27500000</v>
      </c>
      <c r="AM73" s="214">
        <f t="shared" si="35"/>
        <v>27500000</v>
      </c>
      <c r="AN73" s="214">
        <f t="shared" si="35"/>
        <v>27500000</v>
      </c>
      <c r="AO73" s="214">
        <f t="shared" si="35"/>
        <v>27500000</v>
      </c>
      <c r="AP73" s="214">
        <f t="shared" si="35"/>
        <v>27500000</v>
      </c>
      <c r="AQ73" s="214">
        <f t="shared" si="35"/>
        <v>27500000</v>
      </c>
      <c r="AR73" s="214">
        <f t="shared" si="35"/>
        <v>27500000</v>
      </c>
      <c r="AS73" s="214">
        <f t="shared" si="35"/>
        <v>27500000</v>
      </c>
      <c r="AT73" s="214">
        <f t="shared" si="35"/>
        <v>27500000</v>
      </c>
      <c r="AU73" s="214">
        <f t="shared" si="35"/>
        <v>27500000</v>
      </c>
    </row>
    <row r="74" spans="1:51">
      <c r="B74" s="90" t="s">
        <v>187</v>
      </c>
      <c r="C74" s="90"/>
      <c r="D74" s="215">
        <f t="shared" ref="D74:AU75" si="36">D50</f>
        <v>343750</v>
      </c>
      <c r="E74" s="215">
        <f t="shared" si="36"/>
        <v>1031250</v>
      </c>
      <c r="F74" s="215">
        <f t="shared" si="36"/>
        <v>1718750</v>
      </c>
      <c r="G74" s="215">
        <f t="shared" si="36"/>
        <v>2406250</v>
      </c>
      <c r="H74" s="215">
        <f t="shared" si="36"/>
        <v>3093750</v>
      </c>
      <c r="I74" s="215">
        <f t="shared" si="36"/>
        <v>3781250</v>
      </c>
      <c r="J74" s="215">
        <f t="shared" si="36"/>
        <v>4468750</v>
      </c>
      <c r="K74" s="215">
        <f t="shared" si="36"/>
        <v>5156250</v>
      </c>
      <c r="L74" s="215">
        <f t="shared" si="36"/>
        <v>5843750</v>
      </c>
      <c r="M74" s="215">
        <f t="shared" si="36"/>
        <v>6531250</v>
      </c>
      <c r="N74" s="215">
        <f t="shared" si="36"/>
        <v>7218750</v>
      </c>
      <c r="O74" s="215">
        <f t="shared" si="36"/>
        <v>7906250</v>
      </c>
      <c r="P74" s="215">
        <f t="shared" si="36"/>
        <v>8593750</v>
      </c>
      <c r="Q74" s="215">
        <f t="shared" si="36"/>
        <v>9281250</v>
      </c>
      <c r="R74" s="215">
        <f t="shared" si="36"/>
        <v>9968750</v>
      </c>
      <c r="S74" s="215">
        <f t="shared" si="36"/>
        <v>10656250</v>
      </c>
      <c r="T74" s="215">
        <f t="shared" si="36"/>
        <v>11343750</v>
      </c>
      <c r="U74" s="215">
        <f t="shared" si="36"/>
        <v>12031250</v>
      </c>
      <c r="V74" s="215">
        <f t="shared" si="36"/>
        <v>12718750</v>
      </c>
      <c r="W74" s="215">
        <f t="shared" si="36"/>
        <v>13406250</v>
      </c>
      <c r="X74" s="215">
        <f t="shared" si="36"/>
        <v>14093750</v>
      </c>
      <c r="Y74" s="215">
        <f t="shared" si="36"/>
        <v>14781250</v>
      </c>
      <c r="Z74" s="215">
        <f t="shared" si="36"/>
        <v>15468750</v>
      </c>
      <c r="AA74" s="215">
        <f t="shared" si="36"/>
        <v>16156250</v>
      </c>
      <c r="AB74" s="215">
        <f t="shared" si="36"/>
        <v>16843750</v>
      </c>
      <c r="AC74" s="215">
        <f t="shared" si="36"/>
        <v>17531250</v>
      </c>
      <c r="AD74" s="215">
        <f t="shared" si="36"/>
        <v>18218750</v>
      </c>
      <c r="AE74" s="215">
        <f t="shared" si="36"/>
        <v>18906250</v>
      </c>
      <c r="AF74" s="215">
        <f t="shared" si="36"/>
        <v>19593750</v>
      </c>
      <c r="AG74" s="215">
        <f t="shared" si="36"/>
        <v>20281250</v>
      </c>
      <c r="AH74" s="215">
        <f t="shared" si="36"/>
        <v>20968750</v>
      </c>
      <c r="AI74" s="215">
        <f t="shared" si="36"/>
        <v>21656250</v>
      </c>
      <c r="AJ74" s="215">
        <f t="shared" si="36"/>
        <v>22343750</v>
      </c>
      <c r="AK74" s="215">
        <f t="shared" si="36"/>
        <v>23031250</v>
      </c>
      <c r="AL74" s="215">
        <f t="shared" si="36"/>
        <v>23718750</v>
      </c>
      <c r="AM74" s="215">
        <f t="shared" si="36"/>
        <v>24406250</v>
      </c>
      <c r="AN74" s="215">
        <f t="shared" si="36"/>
        <v>25093750</v>
      </c>
      <c r="AO74" s="215">
        <f t="shared" si="36"/>
        <v>25781250</v>
      </c>
      <c r="AP74" s="215">
        <f t="shared" si="36"/>
        <v>26468750</v>
      </c>
      <c r="AQ74" s="215">
        <f t="shared" si="36"/>
        <v>27156250</v>
      </c>
      <c r="AR74" s="215">
        <f t="shared" si="36"/>
        <v>27500000</v>
      </c>
      <c r="AS74" s="215">
        <f t="shared" si="36"/>
        <v>27500000</v>
      </c>
      <c r="AT74" s="215">
        <f t="shared" si="36"/>
        <v>27500000</v>
      </c>
      <c r="AU74" s="215">
        <f t="shared" si="36"/>
        <v>27500000</v>
      </c>
    </row>
    <row r="75" spans="1:51">
      <c r="B75" s="90" t="s">
        <v>188</v>
      </c>
      <c r="C75" s="90"/>
      <c r="D75" s="216">
        <f>D73-D74</f>
        <v>27156250</v>
      </c>
      <c r="E75" s="216">
        <f t="shared" si="36"/>
        <v>26468750</v>
      </c>
      <c r="F75" s="216">
        <f t="shared" si="36"/>
        <v>25781250</v>
      </c>
      <c r="G75" s="216">
        <f t="shared" si="36"/>
        <v>25093750</v>
      </c>
      <c r="H75" s="216">
        <f t="shared" si="36"/>
        <v>24406250</v>
      </c>
      <c r="I75" s="216">
        <f t="shared" si="36"/>
        <v>23718750</v>
      </c>
      <c r="J75" s="216">
        <f t="shared" si="36"/>
        <v>23031250</v>
      </c>
      <c r="K75" s="216">
        <f t="shared" si="36"/>
        <v>22343750</v>
      </c>
      <c r="L75" s="216">
        <f t="shared" si="36"/>
        <v>21656250</v>
      </c>
      <c r="M75" s="216">
        <f t="shared" si="36"/>
        <v>20968750</v>
      </c>
      <c r="N75" s="216">
        <f t="shared" si="36"/>
        <v>20281250</v>
      </c>
      <c r="O75" s="216">
        <f t="shared" si="36"/>
        <v>19593750</v>
      </c>
      <c r="P75" s="216">
        <f t="shared" si="36"/>
        <v>18906250</v>
      </c>
      <c r="Q75" s="216">
        <f t="shared" si="36"/>
        <v>18218750</v>
      </c>
      <c r="R75" s="216">
        <f t="shared" si="36"/>
        <v>17531250</v>
      </c>
      <c r="S75" s="216">
        <f t="shared" si="36"/>
        <v>16843750</v>
      </c>
      <c r="T75" s="216">
        <f t="shared" si="36"/>
        <v>16156250</v>
      </c>
      <c r="U75" s="216">
        <f t="shared" si="36"/>
        <v>15468750</v>
      </c>
      <c r="V75" s="216">
        <f t="shared" si="36"/>
        <v>14781250</v>
      </c>
      <c r="W75" s="216">
        <f t="shared" si="36"/>
        <v>14093750</v>
      </c>
      <c r="X75" s="216">
        <f t="shared" si="36"/>
        <v>13406250</v>
      </c>
      <c r="Y75" s="216">
        <f t="shared" si="36"/>
        <v>12718750</v>
      </c>
      <c r="Z75" s="216">
        <f t="shared" si="36"/>
        <v>12031250</v>
      </c>
      <c r="AA75" s="216">
        <f t="shared" si="36"/>
        <v>11343750</v>
      </c>
      <c r="AB75" s="216">
        <f t="shared" si="36"/>
        <v>10656250</v>
      </c>
      <c r="AC75" s="216">
        <f t="shared" si="36"/>
        <v>9968750</v>
      </c>
      <c r="AD75" s="216">
        <f t="shared" si="36"/>
        <v>9281250</v>
      </c>
      <c r="AE75" s="216">
        <f t="shared" si="36"/>
        <v>8593750</v>
      </c>
      <c r="AF75" s="216">
        <f t="shared" si="36"/>
        <v>7906250</v>
      </c>
      <c r="AG75" s="216">
        <f t="shared" si="36"/>
        <v>7218750</v>
      </c>
      <c r="AH75" s="216">
        <f t="shared" si="36"/>
        <v>6531250</v>
      </c>
      <c r="AI75" s="216">
        <f t="shared" si="36"/>
        <v>5843750</v>
      </c>
      <c r="AJ75" s="216">
        <f t="shared" si="36"/>
        <v>5156250</v>
      </c>
      <c r="AK75" s="216">
        <f t="shared" si="36"/>
        <v>4468750</v>
      </c>
      <c r="AL75" s="216">
        <f t="shared" si="36"/>
        <v>3781250</v>
      </c>
      <c r="AM75" s="216">
        <f t="shared" si="36"/>
        <v>3093750</v>
      </c>
      <c r="AN75" s="216">
        <f t="shared" si="36"/>
        <v>2406250</v>
      </c>
      <c r="AO75" s="216">
        <f t="shared" si="36"/>
        <v>1718750</v>
      </c>
      <c r="AP75" s="216">
        <f t="shared" si="36"/>
        <v>1031250</v>
      </c>
      <c r="AQ75" s="216">
        <f t="shared" si="36"/>
        <v>343750</v>
      </c>
      <c r="AR75" s="216">
        <f t="shared" si="36"/>
        <v>0</v>
      </c>
      <c r="AS75" s="216">
        <f t="shared" si="36"/>
        <v>0</v>
      </c>
      <c r="AT75" s="216">
        <f t="shared" si="36"/>
        <v>0</v>
      </c>
      <c r="AU75" s="216">
        <f t="shared" si="36"/>
        <v>0</v>
      </c>
    </row>
    <row r="76" spans="1:51">
      <c r="B76" s="90" t="s">
        <v>189</v>
      </c>
      <c r="C76" s="90"/>
      <c r="D76" s="211">
        <f>SUM($C52:D52)</f>
        <v>0</v>
      </c>
      <c r="E76" s="211">
        <f>+E52</f>
        <v>0</v>
      </c>
      <c r="F76" s="211">
        <f t="shared" ref="F76:AG76" si="37">+F52</f>
        <v>0</v>
      </c>
      <c r="G76" s="211">
        <f t="shared" si="37"/>
        <v>0</v>
      </c>
      <c r="H76" s="211">
        <f t="shared" si="37"/>
        <v>0</v>
      </c>
      <c r="I76" s="211">
        <f t="shared" si="37"/>
        <v>0</v>
      </c>
      <c r="J76" s="211">
        <f t="shared" si="37"/>
        <v>0</v>
      </c>
      <c r="K76" s="211">
        <f t="shared" si="37"/>
        <v>0</v>
      </c>
      <c r="L76" s="211">
        <f t="shared" si="37"/>
        <v>0</v>
      </c>
      <c r="M76" s="211">
        <f t="shared" si="37"/>
        <v>0</v>
      </c>
      <c r="N76" s="211">
        <f t="shared" si="37"/>
        <v>0</v>
      </c>
      <c r="O76" s="211">
        <f t="shared" si="37"/>
        <v>0</v>
      </c>
      <c r="P76" s="211">
        <f t="shared" si="37"/>
        <v>0</v>
      </c>
      <c r="Q76" s="211">
        <f t="shared" si="37"/>
        <v>0</v>
      </c>
      <c r="R76" s="211">
        <f t="shared" si="37"/>
        <v>0</v>
      </c>
      <c r="S76" s="211">
        <f t="shared" si="37"/>
        <v>0</v>
      </c>
      <c r="T76" s="211">
        <f t="shared" si="37"/>
        <v>0</v>
      </c>
      <c r="U76" s="211">
        <f t="shared" si="37"/>
        <v>0</v>
      </c>
      <c r="V76" s="211">
        <f t="shared" si="37"/>
        <v>0</v>
      </c>
      <c r="W76" s="211">
        <f t="shared" si="37"/>
        <v>0</v>
      </c>
      <c r="X76" s="211">
        <f t="shared" si="37"/>
        <v>0</v>
      </c>
      <c r="Y76" s="211">
        <f t="shared" si="37"/>
        <v>0</v>
      </c>
      <c r="Z76" s="211">
        <f t="shared" si="37"/>
        <v>0</v>
      </c>
      <c r="AA76" s="211">
        <f t="shared" si="37"/>
        <v>0</v>
      </c>
      <c r="AB76" s="211">
        <f t="shared" si="37"/>
        <v>0</v>
      </c>
      <c r="AC76" s="211">
        <f t="shared" si="37"/>
        <v>0</v>
      </c>
      <c r="AD76" s="211">
        <f t="shared" si="37"/>
        <v>0</v>
      </c>
      <c r="AE76" s="211">
        <f t="shared" si="37"/>
        <v>0</v>
      </c>
      <c r="AF76" s="211">
        <f t="shared" si="37"/>
        <v>0</v>
      </c>
      <c r="AG76" s="211">
        <f t="shared" si="37"/>
        <v>0</v>
      </c>
      <c r="AH76" s="211" t="e">
        <f>-SUM(#REF!)</f>
        <v>#REF!</v>
      </c>
      <c r="AI76" s="211" t="e">
        <f>-SUM(#REF!)</f>
        <v>#REF!</v>
      </c>
      <c r="AJ76" s="211" t="e">
        <f>-SUM(#REF!)</f>
        <v>#REF!</v>
      </c>
      <c r="AK76" s="211" t="e">
        <f>-SUM(#REF!)</f>
        <v>#REF!</v>
      </c>
      <c r="AL76" s="211" t="e">
        <f>-SUM(#REF!)</f>
        <v>#REF!</v>
      </c>
      <c r="AM76" s="211" t="e">
        <f>-SUM(#REF!)</f>
        <v>#REF!</v>
      </c>
      <c r="AN76" s="211" t="e">
        <f>-SUM(#REF!)</f>
        <v>#REF!</v>
      </c>
      <c r="AO76" s="211" t="e">
        <f>-SUM(#REF!)</f>
        <v>#REF!</v>
      </c>
      <c r="AP76" s="211" t="e">
        <f>-SUM(#REF!)</f>
        <v>#REF!</v>
      </c>
      <c r="AQ76" s="211" t="e">
        <f>-SUM(#REF!)</f>
        <v>#REF!</v>
      </c>
      <c r="AR76" s="211" t="e">
        <f>-SUM(#REF!)</f>
        <v>#REF!</v>
      </c>
      <c r="AS76" s="211" t="e">
        <f>-SUM(#REF!)</f>
        <v>#REF!</v>
      </c>
      <c r="AT76" s="211" t="e">
        <f>-SUM(#REF!)</f>
        <v>#REF!</v>
      </c>
      <c r="AU76" s="211" t="e">
        <f>-SUM(#REF!)</f>
        <v>#REF!</v>
      </c>
    </row>
    <row r="77" spans="1:51">
      <c r="B77" s="90" t="s">
        <v>190</v>
      </c>
      <c r="C77" s="90"/>
      <c r="D77" s="214">
        <f t="shared" ref="D77:AU77" si="38">SUM(D75:D76)</f>
        <v>27156250</v>
      </c>
      <c r="E77" s="214">
        <f t="shared" si="38"/>
        <v>26468750</v>
      </c>
      <c r="F77" s="214">
        <f t="shared" si="38"/>
        <v>25781250</v>
      </c>
      <c r="G77" s="214">
        <f t="shared" si="38"/>
        <v>25093750</v>
      </c>
      <c r="H77" s="214">
        <f t="shared" si="38"/>
        <v>24406250</v>
      </c>
      <c r="I77" s="214">
        <f t="shared" si="38"/>
        <v>23718750</v>
      </c>
      <c r="J77" s="214">
        <f t="shared" si="38"/>
        <v>23031250</v>
      </c>
      <c r="K77" s="214">
        <f t="shared" si="38"/>
        <v>22343750</v>
      </c>
      <c r="L77" s="214">
        <f t="shared" si="38"/>
        <v>21656250</v>
      </c>
      <c r="M77" s="214">
        <f t="shared" si="38"/>
        <v>20968750</v>
      </c>
      <c r="N77" s="214">
        <f t="shared" si="38"/>
        <v>20281250</v>
      </c>
      <c r="O77" s="214">
        <f t="shared" si="38"/>
        <v>19593750</v>
      </c>
      <c r="P77" s="214">
        <f t="shared" si="38"/>
        <v>18906250</v>
      </c>
      <c r="Q77" s="214">
        <f t="shared" si="38"/>
        <v>18218750</v>
      </c>
      <c r="R77" s="214">
        <f t="shared" si="38"/>
        <v>17531250</v>
      </c>
      <c r="S77" s="214">
        <f t="shared" si="38"/>
        <v>16843750</v>
      </c>
      <c r="T77" s="214">
        <f t="shared" si="38"/>
        <v>16156250</v>
      </c>
      <c r="U77" s="214">
        <f t="shared" si="38"/>
        <v>15468750</v>
      </c>
      <c r="V77" s="214">
        <f t="shared" si="38"/>
        <v>14781250</v>
      </c>
      <c r="W77" s="214">
        <f t="shared" si="38"/>
        <v>14093750</v>
      </c>
      <c r="X77" s="214">
        <f t="shared" si="38"/>
        <v>13406250</v>
      </c>
      <c r="Y77" s="214">
        <f t="shared" si="38"/>
        <v>12718750</v>
      </c>
      <c r="Z77" s="214">
        <f t="shared" si="38"/>
        <v>12031250</v>
      </c>
      <c r="AA77" s="214">
        <f t="shared" si="38"/>
        <v>11343750</v>
      </c>
      <c r="AB77" s="214">
        <f t="shared" si="38"/>
        <v>10656250</v>
      </c>
      <c r="AC77" s="214">
        <f t="shared" si="38"/>
        <v>9968750</v>
      </c>
      <c r="AD77" s="214">
        <f t="shared" si="38"/>
        <v>9281250</v>
      </c>
      <c r="AE77" s="214">
        <f t="shared" si="38"/>
        <v>8593750</v>
      </c>
      <c r="AF77" s="214">
        <f t="shared" si="38"/>
        <v>7906250</v>
      </c>
      <c r="AG77" s="214">
        <f t="shared" si="38"/>
        <v>7218750</v>
      </c>
      <c r="AH77" s="214" t="e">
        <f t="shared" si="38"/>
        <v>#REF!</v>
      </c>
      <c r="AI77" s="214" t="e">
        <f t="shared" si="38"/>
        <v>#REF!</v>
      </c>
      <c r="AJ77" s="214" t="e">
        <f t="shared" si="38"/>
        <v>#REF!</v>
      </c>
      <c r="AK77" s="214" t="e">
        <f t="shared" si="38"/>
        <v>#REF!</v>
      </c>
      <c r="AL77" s="214" t="e">
        <f t="shared" si="38"/>
        <v>#REF!</v>
      </c>
      <c r="AM77" s="214" t="e">
        <f t="shared" si="38"/>
        <v>#REF!</v>
      </c>
      <c r="AN77" s="214" t="e">
        <f t="shared" si="38"/>
        <v>#REF!</v>
      </c>
      <c r="AO77" s="214" t="e">
        <f t="shared" si="38"/>
        <v>#REF!</v>
      </c>
      <c r="AP77" s="214" t="e">
        <f t="shared" si="38"/>
        <v>#REF!</v>
      </c>
      <c r="AQ77" s="214" t="e">
        <f t="shared" si="38"/>
        <v>#REF!</v>
      </c>
      <c r="AR77" s="214" t="e">
        <f t="shared" si="38"/>
        <v>#REF!</v>
      </c>
      <c r="AS77" s="214" t="e">
        <f t="shared" si="38"/>
        <v>#REF!</v>
      </c>
      <c r="AT77" s="214" t="e">
        <f t="shared" si="38"/>
        <v>#REF!</v>
      </c>
      <c r="AU77" s="214" t="e">
        <f t="shared" si="38"/>
        <v>#REF!</v>
      </c>
    </row>
    <row r="78" spans="1:51">
      <c r="B78" s="90" t="s">
        <v>191</v>
      </c>
      <c r="C78" s="90"/>
      <c r="D78" s="211">
        <f t="shared" ref="D78:AU78" si="39">D56</f>
        <v>42487.5</v>
      </c>
      <c r="E78" s="211">
        <f t="shared" si="39"/>
        <v>245373.81</v>
      </c>
      <c r="F78" s="211">
        <f t="shared" si="39"/>
        <v>547748.85000000009</v>
      </c>
      <c r="G78" s="211">
        <f t="shared" si="39"/>
        <v>814706.31</v>
      </c>
      <c r="H78" s="211">
        <f t="shared" si="39"/>
        <v>1048897.4100000001</v>
      </c>
      <c r="I78" s="211">
        <f t="shared" si="39"/>
        <v>1252769.4300000002</v>
      </c>
      <c r="J78" s="211">
        <f t="shared" si="39"/>
        <v>1428599.7000000002</v>
      </c>
      <c r="K78" s="211">
        <f t="shared" si="39"/>
        <v>1578495.6</v>
      </c>
      <c r="L78" s="211">
        <f t="shared" si="39"/>
        <v>1713911.7600000002</v>
      </c>
      <c r="M78" s="211">
        <f t="shared" si="39"/>
        <v>1847254.5300000003</v>
      </c>
      <c r="N78" s="211">
        <f t="shared" si="39"/>
        <v>1980597.3000000003</v>
      </c>
      <c r="O78" s="211">
        <f t="shared" si="39"/>
        <v>2113940.0700000003</v>
      </c>
      <c r="P78" s="211">
        <f t="shared" si="39"/>
        <v>2247282.84</v>
      </c>
      <c r="Q78" s="211">
        <f t="shared" si="39"/>
        <v>2380625.6099999994</v>
      </c>
      <c r="R78" s="211">
        <f t="shared" si="39"/>
        <v>2513968.38</v>
      </c>
      <c r="S78" s="211">
        <f t="shared" si="39"/>
        <v>2647311.1499999994</v>
      </c>
      <c r="T78" s="211">
        <f t="shared" si="39"/>
        <v>2780653.92</v>
      </c>
      <c r="U78" s="211">
        <f t="shared" si="39"/>
        <v>2913996.6899999995</v>
      </c>
      <c r="V78" s="211">
        <f t="shared" si="39"/>
        <v>3047339.46</v>
      </c>
      <c r="W78" s="211">
        <f t="shared" si="39"/>
        <v>3180682.2299999995</v>
      </c>
      <c r="X78" s="211">
        <f t="shared" si="39"/>
        <v>3238193.3099999996</v>
      </c>
      <c r="Y78" s="211">
        <f t="shared" si="39"/>
        <v>3144074.9999999995</v>
      </c>
      <c r="Z78" s="211">
        <f t="shared" si="39"/>
        <v>2974124.9999999995</v>
      </c>
      <c r="AA78" s="211">
        <f t="shared" si="39"/>
        <v>2804174.9999999995</v>
      </c>
      <c r="AB78" s="211">
        <f t="shared" si="39"/>
        <v>2634224.9999999995</v>
      </c>
      <c r="AC78" s="211">
        <f t="shared" si="39"/>
        <v>2464274.9999999995</v>
      </c>
      <c r="AD78" s="211">
        <f t="shared" si="39"/>
        <v>2294324.9999999995</v>
      </c>
      <c r="AE78" s="211">
        <f t="shared" si="39"/>
        <v>2124374.9999999995</v>
      </c>
      <c r="AF78" s="211">
        <f t="shared" si="39"/>
        <v>1954424.9999999995</v>
      </c>
      <c r="AG78" s="211">
        <f t="shared" si="39"/>
        <v>1784474.9999999995</v>
      </c>
      <c r="AH78" s="211">
        <f t="shared" si="39"/>
        <v>1614524.9999999995</v>
      </c>
      <c r="AI78" s="211">
        <f t="shared" si="39"/>
        <v>1444574.9999999995</v>
      </c>
      <c r="AJ78" s="211">
        <f t="shared" si="39"/>
        <v>1274624.9999999995</v>
      </c>
      <c r="AK78" s="211">
        <f t="shared" si="39"/>
        <v>1104674.9999999995</v>
      </c>
      <c r="AL78" s="211">
        <f t="shared" si="39"/>
        <v>934724.99999999953</v>
      </c>
      <c r="AM78" s="211">
        <f t="shared" si="39"/>
        <v>764774.99999999953</v>
      </c>
      <c r="AN78" s="211">
        <f t="shared" si="39"/>
        <v>594824.99999999953</v>
      </c>
      <c r="AO78" s="211">
        <f t="shared" si="39"/>
        <v>424874.99999999953</v>
      </c>
      <c r="AP78" s="211">
        <f t="shared" si="39"/>
        <v>254924.99999999953</v>
      </c>
      <c r="AQ78" s="211">
        <f t="shared" si="39"/>
        <v>84974.999999999534</v>
      </c>
      <c r="AR78" s="211">
        <f t="shared" si="39"/>
        <v>-4.6566128730773926E-10</v>
      </c>
      <c r="AS78" s="211">
        <f t="shared" si="39"/>
        <v>-4.6566128730773926E-10</v>
      </c>
      <c r="AT78" s="211">
        <f t="shared" si="39"/>
        <v>-4.6566128730773926E-10</v>
      </c>
      <c r="AU78" s="211">
        <f t="shared" si="39"/>
        <v>-4.6566128730773926E-10</v>
      </c>
    </row>
    <row r="79" spans="1:51">
      <c r="A79" s="18"/>
      <c r="B79" s="90" t="s">
        <v>192</v>
      </c>
      <c r="C79" s="90"/>
      <c r="D79" s="214">
        <f t="shared" ref="D79:AU79" si="40">D77-D78</f>
        <v>27113762.5</v>
      </c>
      <c r="E79" s="214">
        <f t="shared" si="40"/>
        <v>26223376.190000001</v>
      </c>
      <c r="F79" s="214">
        <f t="shared" si="40"/>
        <v>25233501.149999999</v>
      </c>
      <c r="G79" s="214">
        <f t="shared" si="40"/>
        <v>24279043.690000001</v>
      </c>
      <c r="H79" s="214">
        <f t="shared" si="40"/>
        <v>23357352.59</v>
      </c>
      <c r="I79" s="214">
        <f t="shared" si="40"/>
        <v>22465980.57</v>
      </c>
      <c r="J79" s="214">
        <f t="shared" si="40"/>
        <v>21602650.300000001</v>
      </c>
      <c r="K79" s="214">
        <f t="shared" si="40"/>
        <v>20765254.399999999</v>
      </c>
      <c r="L79" s="214">
        <f t="shared" si="40"/>
        <v>19942338.239999998</v>
      </c>
      <c r="M79" s="214">
        <f t="shared" si="40"/>
        <v>19121495.469999999</v>
      </c>
      <c r="N79" s="214">
        <f t="shared" si="40"/>
        <v>18300652.699999999</v>
      </c>
      <c r="O79" s="214">
        <f t="shared" si="40"/>
        <v>17479809.93</v>
      </c>
      <c r="P79" s="214">
        <f t="shared" si="40"/>
        <v>16658967.16</v>
      </c>
      <c r="Q79" s="214">
        <f t="shared" si="40"/>
        <v>15838124.390000001</v>
      </c>
      <c r="R79" s="214">
        <f t="shared" si="40"/>
        <v>15017281.620000001</v>
      </c>
      <c r="S79" s="214">
        <f t="shared" si="40"/>
        <v>14196438.850000001</v>
      </c>
      <c r="T79" s="214">
        <f t="shared" si="40"/>
        <v>13375596.08</v>
      </c>
      <c r="U79" s="214">
        <f t="shared" si="40"/>
        <v>12554753.310000001</v>
      </c>
      <c r="V79" s="214">
        <f t="shared" si="40"/>
        <v>11733910.539999999</v>
      </c>
      <c r="W79" s="214">
        <f t="shared" si="40"/>
        <v>10913067.77</v>
      </c>
      <c r="X79" s="214">
        <f t="shared" si="40"/>
        <v>10168056.690000001</v>
      </c>
      <c r="Y79" s="214">
        <f t="shared" si="40"/>
        <v>9574675</v>
      </c>
      <c r="Z79" s="214">
        <f t="shared" si="40"/>
        <v>9057125</v>
      </c>
      <c r="AA79" s="214">
        <f t="shared" si="40"/>
        <v>8539575</v>
      </c>
      <c r="AB79" s="214">
        <f t="shared" si="40"/>
        <v>8022025</v>
      </c>
      <c r="AC79" s="214">
        <f t="shared" si="40"/>
        <v>7504475</v>
      </c>
      <c r="AD79" s="214">
        <f t="shared" si="40"/>
        <v>6986925</v>
      </c>
      <c r="AE79" s="214">
        <f t="shared" si="40"/>
        <v>6469375</v>
      </c>
      <c r="AF79" s="214">
        <f t="shared" si="40"/>
        <v>5951825</v>
      </c>
      <c r="AG79" s="214">
        <f t="shared" si="40"/>
        <v>5434275</v>
      </c>
      <c r="AH79" s="214" t="e">
        <f t="shared" si="40"/>
        <v>#REF!</v>
      </c>
      <c r="AI79" s="214" t="e">
        <f t="shared" si="40"/>
        <v>#REF!</v>
      </c>
      <c r="AJ79" s="214" t="e">
        <f t="shared" si="40"/>
        <v>#REF!</v>
      </c>
      <c r="AK79" s="214" t="e">
        <f t="shared" si="40"/>
        <v>#REF!</v>
      </c>
      <c r="AL79" s="214" t="e">
        <f t="shared" si="40"/>
        <v>#REF!</v>
      </c>
      <c r="AM79" s="214" t="e">
        <f t="shared" si="40"/>
        <v>#REF!</v>
      </c>
      <c r="AN79" s="214" t="e">
        <f t="shared" si="40"/>
        <v>#REF!</v>
      </c>
      <c r="AO79" s="214" t="e">
        <f t="shared" si="40"/>
        <v>#REF!</v>
      </c>
      <c r="AP79" s="214" t="e">
        <f t="shared" si="40"/>
        <v>#REF!</v>
      </c>
      <c r="AQ79" s="214" t="e">
        <f t="shared" si="40"/>
        <v>#REF!</v>
      </c>
      <c r="AR79" s="214" t="e">
        <f t="shared" si="40"/>
        <v>#REF!</v>
      </c>
      <c r="AS79" s="214" t="e">
        <f t="shared" si="40"/>
        <v>#REF!</v>
      </c>
      <c r="AT79" s="214" t="e">
        <f t="shared" si="40"/>
        <v>#REF!</v>
      </c>
      <c r="AU79" s="214" t="e">
        <f t="shared" si="40"/>
        <v>#REF!</v>
      </c>
    </row>
    <row r="80" spans="1:51">
      <c r="A80" s="18"/>
      <c r="B80" s="90" t="s">
        <v>193</v>
      </c>
      <c r="C80" s="90"/>
      <c r="D80" s="217">
        <f>L15</f>
        <v>0.52066570799982248</v>
      </c>
      <c r="E80" s="217">
        <f>D80</f>
        <v>0.52066570799982248</v>
      </c>
      <c r="F80" s="217">
        <f t="shared" ref="F80:AU80" si="41">E80</f>
        <v>0.52066570799982248</v>
      </c>
      <c r="G80" s="217">
        <f t="shared" si="41"/>
        <v>0.52066570799982248</v>
      </c>
      <c r="H80" s="217">
        <f t="shared" si="41"/>
        <v>0.52066570799982248</v>
      </c>
      <c r="I80" s="217">
        <f t="shared" si="41"/>
        <v>0.52066570799982248</v>
      </c>
      <c r="J80" s="217">
        <f t="shared" si="41"/>
        <v>0.52066570799982248</v>
      </c>
      <c r="K80" s="217">
        <f t="shared" si="41"/>
        <v>0.52066570799982248</v>
      </c>
      <c r="L80" s="217">
        <f t="shared" si="41"/>
        <v>0.52066570799982248</v>
      </c>
      <c r="M80" s="217">
        <f t="shared" si="41"/>
        <v>0.52066570799982248</v>
      </c>
      <c r="N80" s="217">
        <f t="shared" si="41"/>
        <v>0.52066570799982248</v>
      </c>
      <c r="O80" s="217">
        <f t="shared" si="41"/>
        <v>0.52066570799982248</v>
      </c>
      <c r="P80" s="217">
        <f t="shared" si="41"/>
        <v>0.52066570799982248</v>
      </c>
      <c r="Q80" s="217">
        <f t="shared" si="41"/>
        <v>0.52066570799982248</v>
      </c>
      <c r="R80" s="217">
        <f t="shared" si="41"/>
        <v>0.52066570799982248</v>
      </c>
      <c r="S80" s="217">
        <f t="shared" si="41"/>
        <v>0.52066570799982248</v>
      </c>
      <c r="T80" s="217">
        <f t="shared" si="41"/>
        <v>0.52066570799982248</v>
      </c>
      <c r="U80" s="217">
        <f t="shared" si="41"/>
        <v>0.52066570799982248</v>
      </c>
      <c r="V80" s="217">
        <f t="shared" si="41"/>
        <v>0.52066570799982248</v>
      </c>
      <c r="W80" s="217">
        <f t="shared" si="41"/>
        <v>0.52066570799982248</v>
      </c>
      <c r="X80" s="217">
        <f t="shared" si="41"/>
        <v>0.52066570799982248</v>
      </c>
      <c r="Y80" s="217">
        <f t="shared" si="41"/>
        <v>0.52066570799982248</v>
      </c>
      <c r="Z80" s="217">
        <f t="shared" si="41"/>
        <v>0.52066570799982248</v>
      </c>
      <c r="AA80" s="217">
        <f t="shared" si="41"/>
        <v>0.52066570799982248</v>
      </c>
      <c r="AB80" s="217">
        <f t="shared" si="41"/>
        <v>0.52066570799982248</v>
      </c>
      <c r="AC80" s="217">
        <f t="shared" si="41"/>
        <v>0.52066570799982248</v>
      </c>
      <c r="AD80" s="217">
        <f t="shared" si="41"/>
        <v>0.52066570799982248</v>
      </c>
      <c r="AE80" s="217">
        <f t="shared" si="41"/>
        <v>0.52066570799982248</v>
      </c>
      <c r="AF80" s="217">
        <f t="shared" si="41"/>
        <v>0.52066570799982248</v>
      </c>
      <c r="AG80" s="217">
        <f t="shared" si="41"/>
        <v>0.52066570799982248</v>
      </c>
      <c r="AH80" s="217">
        <f t="shared" si="41"/>
        <v>0.52066570799982248</v>
      </c>
      <c r="AI80" s="217">
        <f t="shared" si="41"/>
        <v>0.52066570799982248</v>
      </c>
      <c r="AJ80" s="217">
        <f t="shared" si="41"/>
        <v>0.52066570799982248</v>
      </c>
      <c r="AK80" s="217">
        <f t="shared" si="41"/>
        <v>0.52066570799982248</v>
      </c>
      <c r="AL80" s="217">
        <f t="shared" si="41"/>
        <v>0.52066570799982248</v>
      </c>
      <c r="AM80" s="217">
        <f t="shared" si="41"/>
        <v>0.52066570799982248</v>
      </c>
      <c r="AN80" s="217">
        <f t="shared" si="41"/>
        <v>0.52066570799982248</v>
      </c>
      <c r="AO80" s="217">
        <f t="shared" si="41"/>
        <v>0.52066570799982248</v>
      </c>
      <c r="AP80" s="217">
        <f t="shared" si="41"/>
        <v>0.52066570799982248</v>
      </c>
      <c r="AQ80" s="217">
        <f t="shared" si="41"/>
        <v>0.52066570799982248</v>
      </c>
      <c r="AR80" s="217">
        <f t="shared" si="41"/>
        <v>0.52066570799982248</v>
      </c>
      <c r="AS80" s="217">
        <f t="shared" si="41"/>
        <v>0.52066570799982248</v>
      </c>
      <c r="AT80" s="217">
        <f t="shared" si="41"/>
        <v>0.52066570799982248</v>
      </c>
      <c r="AU80" s="217">
        <f t="shared" si="41"/>
        <v>0.52066570799982248</v>
      </c>
    </row>
    <row r="81" spans="1:51">
      <c r="A81" s="18"/>
      <c r="B81" s="90" t="s">
        <v>194</v>
      </c>
      <c r="C81" s="90"/>
      <c r="D81" s="214">
        <f t="shared" ref="D81:AU81" si="42">D79*D80</f>
        <v>14117206.348601537</v>
      </c>
      <c r="E81" s="214">
        <f t="shared" si="42"/>
        <v>13653612.730112039</v>
      </c>
      <c r="F81" s="214">
        <f t="shared" si="42"/>
        <v>13138218.741579084</v>
      </c>
      <c r="G81" s="214">
        <f t="shared" si="42"/>
        <v>12641265.472412473</v>
      </c>
      <c r="H81" s="214">
        <f t="shared" si="42"/>
        <v>12161372.523273837</v>
      </c>
      <c r="I81" s="214">
        <f t="shared" si="42"/>
        <v>11697265.679389305</v>
      </c>
      <c r="J81" s="214">
        <f t="shared" si="42"/>
        <v>11247759.213122077</v>
      </c>
      <c r="K81" s="214">
        <f t="shared" si="42"/>
        <v>10811755.883972429</v>
      </c>
      <c r="L81" s="214">
        <f t="shared" si="42"/>
        <v>10383291.658901533</v>
      </c>
      <c r="M81" s="214">
        <f t="shared" si="42"/>
        <v>9955906.9769029468</v>
      </c>
      <c r="N81" s="214">
        <f t="shared" si="42"/>
        <v>9528522.2949043624</v>
      </c>
      <c r="O81" s="214">
        <f t="shared" si="42"/>
        <v>9101137.612905778</v>
      </c>
      <c r="P81" s="214">
        <f t="shared" si="42"/>
        <v>8673752.9309071917</v>
      </c>
      <c r="Q81" s="214">
        <f t="shared" si="42"/>
        <v>8246368.2489086073</v>
      </c>
      <c r="R81" s="214">
        <f t="shared" si="42"/>
        <v>7818983.5669100219</v>
      </c>
      <c r="S81" s="214">
        <f t="shared" si="42"/>
        <v>7391598.8849114366</v>
      </c>
      <c r="T81" s="214">
        <f t="shared" si="42"/>
        <v>6964214.2029128503</v>
      </c>
      <c r="U81" s="214">
        <f t="shared" si="42"/>
        <v>6536829.520914265</v>
      </c>
      <c r="V81" s="214">
        <f t="shared" si="42"/>
        <v>6109444.8389156787</v>
      </c>
      <c r="W81" s="214">
        <f t="shared" si="42"/>
        <v>5682060.1569170933</v>
      </c>
      <c r="X81" s="214">
        <f t="shared" si="42"/>
        <v>5294158.4354811823</v>
      </c>
      <c r="Y81" s="214">
        <f t="shared" si="42"/>
        <v>4985204.9377432</v>
      </c>
      <c r="Z81" s="214">
        <f t="shared" si="42"/>
        <v>4715734.400567892</v>
      </c>
      <c r="AA81" s="214">
        <f t="shared" si="42"/>
        <v>4446263.863392584</v>
      </c>
      <c r="AB81" s="214">
        <f t="shared" si="42"/>
        <v>4176793.326217276</v>
      </c>
      <c r="AC81" s="214">
        <f t="shared" si="42"/>
        <v>3907322.7890419676</v>
      </c>
      <c r="AD81" s="214">
        <f t="shared" si="42"/>
        <v>3637852.2518666596</v>
      </c>
      <c r="AE81" s="214">
        <f t="shared" si="42"/>
        <v>3368381.7146913516</v>
      </c>
      <c r="AF81" s="214">
        <f t="shared" si="42"/>
        <v>3098911.1775160437</v>
      </c>
      <c r="AG81" s="214">
        <f t="shared" si="42"/>
        <v>2829440.6403407352</v>
      </c>
      <c r="AH81" s="214" t="e">
        <f t="shared" si="42"/>
        <v>#REF!</v>
      </c>
      <c r="AI81" s="214" t="e">
        <f t="shared" si="42"/>
        <v>#REF!</v>
      </c>
      <c r="AJ81" s="214" t="e">
        <f t="shared" si="42"/>
        <v>#REF!</v>
      </c>
      <c r="AK81" s="214" t="e">
        <f t="shared" si="42"/>
        <v>#REF!</v>
      </c>
      <c r="AL81" s="214" t="e">
        <f t="shared" si="42"/>
        <v>#REF!</v>
      </c>
      <c r="AM81" s="214" t="e">
        <f t="shared" si="42"/>
        <v>#REF!</v>
      </c>
      <c r="AN81" s="214" t="e">
        <f t="shared" si="42"/>
        <v>#REF!</v>
      </c>
      <c r="AO81" s="214" t="e">
        <f t="shared" si="42"/>
        <v>#REF!</v>
      </c>
      <c r="AP81" s="214" t="e">
        <f t="shared" si="42"/>
        <v>#REF!</v>
      </c>
      <c r="AQ81" s="214" t="e">
        <f t="shared" si="42"/>
        <v>#REF!</v>
      </c>
      <c r="AR81" s="214" t="e">
        <f t="shared" si="42"/>
        <v>#REF!</v>
      </c>
      <c r="AS81" s="214" t="e">
        <f t="shared" si="42"/>
        <v>#REF!</v>
      </c>
      <c r="AT81" s="214" t="e">
        <f t="shared" si="42"/>
        <v>#REF!</v>
      </c>
      <c r="AU81" s="214" t="e">
        <f t="shared" si="42"/>
        <v>#REF!</v>
      </c>
    </row>
    <row r="82" spans="1:51">
      <c r="A82" s="18"/>
      <c r="B82" s="90"/>
      <c r="C82" s="90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</row>
    <row r="83" spans="1:51">
      <c r="A83" s="18"/>
      <c r="B83" s="218">
        <f>G1</f>
        <v>0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</row>
    <row r="84" spans="1:51">
      <c r="A84" s="18"/>
      <c r="B84" s="151" t="s">
        <v>195</v>
      </c>
      <c r="C84" s="219" t="s">
        <v>162</v>
      </c>
      <c r="D84" s="166">
        <v>1</v>
      </c>
      <c r="E84" s="166">
        <f>D84+1</f>
        <v>2</v>
      </c>
      <c r="F84" s="166">
        <f t="shared" ref="F84:AG84" si="43">E84+1</f>
        <v>3</v>
      </c>
      <c r="G84" s="166">
        <f t="shared" si="43"/>
        <v>4</v>
      </c>
      <c r="H84" s="166">
        <f t="shared" si="43"/>
        <v>5</v>
      </c>
      <c r="I84" s="166">
        <f t="shared" si="43"/>
        <v>6</v>
      </c>
      <c r="J84" s="166">
        <f t="shared" si="43"/>
        <v>7</v>
      </c>
      <c r="K84" s="166">
        <f t="shared" si="43"/>
        <v>8</v>
      </c>
      <c r="L84" s="166">
        <f t="shared" si="43"/>
        <v>9</v>
      </c>
      <c r="M84" s="166">
        <f t="shared" si="43"/>
        <v>10</v>
      </c>
      <c r="N84" s="166">
        <f t="shared" si="43"/>
        <v>11</v>
      </c>
      <c r="O84" s="166">
        <f t="shared" si="43"/>
        <v>12</v>
      </c>
      <c r="P84" s="166">
        <f t="shared" si="43"/>
        <v>13</v>
      </c>
      <c r="Q84" s="166">
        <f t="shared" si="43"/>
        <v>14</v>
      </c>
      <c r="R84" s="166">
        <f t="shared" si="43"/>
        <v>15</v>
      </c>
      <c r="S84" s="166">
        <f t="shared" si="43"/>
        <v>16</v>
      </c>
      <c r="T84" s="166">
        <f t="shared" si="43"/>
        <v>17</v>
      </c>
      <c r="U84" s="166">
        <f t="shared" si="43"/>
        <v>18</v>
      </c>
      <c r="V84" s="166">
        <f t="shared" si="43"/>
        <v>19</v>
      </c>
      <c r="W84" s="166">
        <f t="shared" si="43"/>
        <v>20</v>
      </c>
      <c r="X84" s="166">
        <f t="shared" si="43"/>
        <v>21</v>
      </c>
      <c r="Y84" s="166">
        <f t="shared" si="43"/>
        <v>22</v>
      </c>
      <c r="Z84" s="166">
        <f t="shared" si="43"/>
        <v>23</v>
      </c>
      <c r="AA84" s="166">
        <f t="shared" si="43"/>
        <v>24</v>
      </c>
      <c r="AB84" s="166">
        <f t="shared" si="43"/>
        <v>25</v>
      </c>
      <c r="AC84" s="166">
        <f t="shared" si="43"/>
        <v>26</v>
      </c>
      <c r="AD84" s="166">
        <f t="shared" si="43"/>
        <v>27</v>
      </c>
      <c r="AE84" s="166">
        <f t="shared" si="43"/>
        <v>28</v>
      </c>
      <c r="AF84" s="166">
        <f t="shared" si="43"/>
        <v>29</v>
      </c>
      <c r="AG84" s="166">
        <f t="shared" si="43"/>
        <v>30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</row>
    <row r="85" spans="1:51">
      <c r="A85" s="18"/>
      <c r="B85" s="151" t="s">
        <v>196</v>
      </c>
      <c r="D85" s="154">
        <v>0</v>
      </c>
      <c r="E85" s="154">
        <v>0</v>
      </c>
      <c r="F85" s="154">
        <v>0</v>
      </c>
      <c r="G85" s="154">
        <v>0</v>
      </c>
      <c r="H85" s="154">
        <v>0</v>
      </c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</row>
    <row r="86" spans="1:51">
      <c r="A86" s="18"/>
      <c r="B86" s="151" t="s">
        <v>197</v>
      </c>
      <c r="D86" s="154">
        <v>0</v>
      </c>
      <c r="E86" s="154">
        <v>0</v>
      </c>
      <c r="F86" s="154">
        <v>0</v>
      </c>
      <c r="G86" s="154">
        <v>0</v>
      </c>
      <c r="H86" s="154">
        <v>0</v>
      </c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</row>
    <row r="87" spans="1:51">
      <c r="A87" s="18"/>
      <c r="B87" s="151" t="s">
        <v>37</v>
      </c>
      <c r="C87" s="220">
        <f>NPV(M$17,D87:AG87)</f>
        <v>0</v>
      </c>
      <c r="D87" s="221">
        <f>SUM(D85:D86)</f>
        <v>0</v>
      </c>
      <c r="E87" s="221">
        <f>SUM(E85:E86)</f>
        <v>0</v>
      </c>
      <c r="F87" s="221">
        <f>SUM(F85:F86)</f>
        <v>0</v>
      </c>
      <c r="G87" s="221">
        <f>SUM(G85:G86)</f>
        <v>0</v>
      </c>
      <c r="H87" s="221">
        <f>SUM(H85:H86)</f>
        <v>0</v>
      </c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</row>
    <row r="88" spans="1:51">
      <c r="A88" s="18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</row>
    <row r="89" spans="1:51">
      <c r="A89" s="18"/>
      <c r="B89" s="151" t="s">
        <v>198</v>
      </c>
      <c r="C89" s="220">
        <f>NPV(M$17,D89:AG89)</f>
        <v>31434853.199844569</v>
      </c>
      <c r="D89" s="221">
        <f t="shared" ref="D89:AG89" si="44">D39</f>
        <v>3541799.3475781688</v>
      </c>
      <c r="E89" s="221">
        <f t="shared" si="44"/>
        <v>3448067.2783485469</v>
      </c>
      <c r="F89" s="221">
        <f t="shared" si="44"/>
        <v>3343861.9073360981</v>
      </c>
      <c r="G89" s="221">
        <f t="shared" si="44"/>
        <v>3243384.9888203037</v>
      </c>
      <c r="H89" s="221">
        <f t="shared" si="44"/>
        <v>3146357.4255893207</v>
      </c>
      <c r="I89" s="221">
        <f t="shared" si="44"/>
        <v>3052521.5894476036</v>
      </c>
      <c r="J89" s="221">
        <f t="shared" si="44"/>
        <v>2961637.7430465184</v>
      </c>
      <c r="K89" s="221">
        <f t="shared" si="44"/>
        <v>2873484.039884347</v>
      </c>
      <c r="L89" s="221">
        <f t="shared" si="44"/>
        <v>2786854.6368791559</v>
      </c>
      <c r="M89" s="221">
        <f t="shared" si="44"/>
        <v>2700443.5022063027</v>
      </c>
      <c r="N89" s="221">
        <f t="shared" si="44"/>
        <v>2614032.3675334495</v>
      </c>
      <c r="O89" s="221">
        <f t="shared" si="44"/>
        <v>2527621.2328605959</v>
      </c>
      <c r="P89" s="221">
        <f t="shared" si="44"/>
        <v>2441210.0981877432</v>
      </c>
      <c r="Q89" s="221">
        <f t="shared" si="44"/>
        <v>2354798.9635148901</v>
      </c>
      <c r="R89" s="221">
        <f t="shared" si="44"/>
        <v>2268387.8288420369</v>
      </c>
      <c r="S89" s="221">
        <f t="shared" si="44"/>
        <v>2181976.6941691833</v>
      </c>
      <c r="T89" s="221">
        <f t="shared" si="44"/>
        <v>2095565.5594963303</v>
      </c>
      <c r="U89" s="221">
        <f t="shared" si="44"/>
        <v>2009154.4248234772</v>
      </c>
      <c r="V89" s="221">
        <f t="shared" si="44"/>
        <v>1922743.2901506238</v>
      </c>
      <c r="W89" s="221">
        <f t="shared" si="44"/>
        <v>1836332.1554777708</v>
      </c>
      <c r="X89" s="221">
        <f t="shared" si="44"/>
        <v>1757903.9166974647</v>
      </c>
      <c r="Y89" s="221">
        <f t="shared" si="44"/>
        <v>1695437.8915328702</v>
      </c>
      <c r="Z89" s="221">
        <f t="shared" si="44"/>
        <v>1640954.7622608233</v>
      </c>
      <c r="AA89" s="221">
        <f t="shared" si="44"/>
        <v>1586471.6329887761</v>
      </c>
      <c r="AB89" s="221">
        <f t="shared" si="44"/>
        <v>1531988.5037167293</v>
      </c>
      <c r="AC89" s="221">
        <f t="shared" si="44"/>
        <v>1477505.3744446822</v>
      </c>
      <c r="AD89" s="221">
        <f t="shared" si="44"/>
        <v>1423022.245172635</v>
      </c>
      <c r="AE89" s="221">
        <f t="shared" si="44"/>
        <v>1368539.1159005882</v>
      </c>
      <c r="AF89" s="221">
        <f t="shared" si="44"/>
        <v>1314055.986628541</v>
      </c>
      <c r="AG89" s="221">
        <f t="shared" si="44"/>
        <v>1259572.8573564941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</row>
    <row r="90" spans="1:51">
      <c r="A90" s="18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</row>
    <row r="91" spans="1:51">
      <c r="A91" s="18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</row>
    <row r="92" spans="1:51">
      <c r="A92" s="18"/>
      <c r="B92" s="90"/>
      <c r="C92" s="90"/>
      <c r="D92" s="212"/>
      <c r="E92" s="212"/>
    </row>
    <row r="93" spans="1:51">
      <c r="A93" s="18"/>
      <c r="D93" s="114"/>
    </row>
    <row r="94" spans="1:51">
      <c r="A94" s="18"/>
      <c r="B94" s="18" t="s">
        <v>103</v>
      </c>
      <c r="D94" s="18">
        <f t="shared" ref="D94:AJ94" si="45">D30</f>
        <v>1</v>
      </c>
      <c r="E94" s="18">
        <f t="shared" si="45"/>
        <v>2</v>
      </c>
      <c r="F94" s="18">
        <f t="shared" si="45"/>
        <v>3</v>
      </c>
      <c r="G94" s="18">
        <f t="shared" si="45"/>
        <v>4</v>
      </c>
      <c r="H94" s="18">
        <f t="shared" si="45"/>
        <v>5</v>
      </c>
      <c r="I94" s="18">
        <f t="shared" si="45"/>
        <v>6</v>
      </c>
      <c r="J94" s="18">
        <f t="shared" si="45"/>
        <v>7</v>
      </c>
      <c r="K94" s="18">
        <f t="shared" si="45"/>
        <v>8</v>
      </c>
      <c r="L94" s="18">
        <f t="shared" si="45"/>
        <v>9</v>
      </c>
      <c r="M94" s="18">
        <f t="shared" si="45"/>
        <v>10</v>
      </c>
      <c r="N94" s="18">
        <f t="shared" si="45"/>
        <v>11</v>
      </c>
      <c r="O94" s="18">
        <f t="shared" si="45"/>
        <v>12</v>
      </c>
      <c r="P94" s="18">
        <f t="shared" si="45"/>
        <v>13</v>
      </c>
      <c r="Q94" s="18">
        <f t="shared" si="45"/>
        <v>14</v>
      </c>
      <c r="R94" s="18">
        <f t="shared" si="45"/>
        <v>15</v>
      </c>
      <c r="S94" s="18">
        <f t="shared" si="45"/>
        <v>16</v>
      </c>
      <c r="T94" s="18">
        <f t="shared" si="45"/>
        <v>17</v>
      </c>
      <c r="U94" s="18">
        <f t="shared" si="45"/>
        <v>18</v>
      </c>
      <c r="V94" s="18">
        <f t="shared" si="45"/>
        <v>19</v>
      </c>
      <c r="W94" s="18">
        <f t="shared" si="45"/>
        <v>20</v>
      </c>
      <c r="X94" s="18">
        <f t="shared" si="45"/>
        <v>21</v>
      </c>
      <c r="Y94" s="18">
        <f t="shared" si="45"/>
        <v>22</v>
      </c>
      <c r="Z94" s="18">
        <f t="shared" si="45"/>
        <v>23</v>
      </c>
      <c r="AA94" s="18">
        <f t="shared" si="45"/>
        <v>24</v>
      </c>
      <c r="AB94" s="18">
        <f t="shared" si="45"/>
        <v>25</v>
      </c>
      <c r="AC94" s="18">
        <f t="shared" si="45"/>
        <v>26</v>
      </c>
      <c r="AD94" s="18">
        <f t="shared" si="45"/>
        <v>27</v>
      </c>
      <c r="AE94" s="18">
        <f t="shared" si="45"/>
        <v>28</v>
      </c>
      <c r="AF94" s="18">
        <f t="shared" si="45"/>
        <v>29</v>
      </c>
      <c r="AG94" s="18">
        <f t="shared" si="45"/>
        <v>30</v>
      </c>
      <c r="AH94" s="18">
        <f t="shared" si="45"/>
        <v>31</v>
      </c>
      <c r="AI94" s="18">
        <f t="shared" si="45"/>
        <v>32</v>
      </c>
      <c r="AJ94" s="18">
        <f t="shared" si="45"/>
        <v>33</v>
      </c>
    </row>
    <row r="95" spans="1:51">
      <c r="A95" s="18"/>
      <c r="B95" s="18" t="s">
        <v>199</v>
      </c>
      <c r="D95" s="114">
        <f t="shared" ref="D95:AJ95" si="46">(1/(1+$M$19)^D94)</f>
        <v>0.92899722429113141</v>
      </c>
      <c r="E95" s="114">
        <f t="shared" si="46"/>
        <v>0.86303584274062684</v>
      </c>
      <c r="F95" s="114">
        <f t="shared" si="46"/>
        <v>0.80175790236979971</v>
      </c>
      <c r="G95" s="114">
        <f t="shared" si="46"/>
        <v>0.74483086585502389</v>
      </c>
      <c r="H95" s="114">
        <f t="shared" si="46"/>
        <v>0.6919458069456772</v>
      </c>
      <c r="I95" s="114">
        <f t="shared" si="46"/>
        <v>0.6428157340124212</v>
      </c>
      <c r="J95" s="114">
        <f t="shared" si="46"/>
        <v>0.59717403262820568</v>
      </c>
      <c r="K95" s="114">
        <f t="shared" si="46"/>
        <v>0.55477301873034457</v>
      </c>
      <c r="L95" s="114">
        <f t="shared" si="46"/>
        <v>0.515382594512102</v>
      </c>
      <c r="M95" s="114">
        <f t="shared" si="46"/>
        <v>0.4787889997497044</v>
      </c>
      <c r="N95" s="114">
        <f t="shared" si="46"/>
        <v>0.44479365178860264</v>
      </c>
      <c r="O95" s="114">
        <f t="shared" si="46"/>
        <v>0.41321206789392789</v>
      </c>
      <c r="P95" s="114">
        <f t="shared" si="46"/>
        <v>0.38387286411705757</v>
      </c>
      <c r="Q95" s="114">
        <f t="shared" si="46"/>
        <v>0.35661682524543314</v>
      </c>
      <c r="R95" s="114">
        <f t="shared" si="46"/>
        <v>0.33129604078852293</v>
      </c>
      <c r="S95" s="114">
        <f t="shared" si="46"/>
        <v>0.30777310231117921</v>
      </c>
      <c r="T95" s="114">
        <f t="shared" si="46"/>
        <v>0.2859203577585559</v>
      </c>
      <c r="U95" s="114">
        <f t="shared" si="46"/>
        <v>0.26561921872602567</v>
      </c>
      <c r="V95" s="114">
        <f t="shared" si="46"/>
        <v>0.24675951691485679</v>
      </c>
      <c r="W95" s="114">
        <f t="shared" si="46"/>
        <v>0.22923890628132246</v>
      </c>
      <c r="X95" s="114">
        <f t="shared" si="46"/>
        <v>0.21296230763488339</v>
      </c>
      <c r="Y95" s="114">
        <f t="shared" si="46"/>
        <v>0.19784139267144069</v>
      </c>
      <c r="Z95" s="114">
        <f t="shared" si="46"/>
        <v>0.18379410464166021</v>
      </c>
      <c r="AA95" s="114">
        <f t="shared" si="46"/>
        <v>0.17074421305317608</v>
      </c>
      <c r="AB95" s="114">
        <f t="shared" si="46"/>
        <v>0.15862089999017415</v>
      </c>
      <c r="AC95" s="114">
        <f t="shared" si="46"/>
        <v>0.14735837580543293</v>
      </c>
      <c r="AD95" s="114">
        <f t="shared" si="46"/>
        <v>0.13689552209929662</v>
      </c>
      <c r="AE95" s="114">
        <f t="shared" si="46"/>
        <v>0.1271755600481318</v>
      </c>
      <c r="AF95" s="114">
        <f t="shared" si="46"/>
        <v>0.11814574228238456</v>
      </c>
      <c r="AG95" s="114">
        <f t="shared" si="46"/>
        <v>0.10975706664215061</v>
      </c>
      <c r="AH95" s="114">
        <f t="shared" si="46"/>
        <v>0.10196401025689467</v>
      </c>
      <c r="AI95" s="114">
        <f t="shared" si="46"/>
        <v>9.4724282506247579E-2</v>
      </c>
      <c r="AJ95" s="114">
        <f t="shared" si="46"/>
        <v>8.7998595521272982E-2</v>
      </c>
    </row>
    <row r="97" spans="1:12" ht="12.75">
      <c r="A97" s="18"/>
      <c r="B97" s="223" t="s">
        <v>200</v>
      </c>
      <c r="C97" s="223"/>
      <c r="D97" s="224"/>
      <c r="E97" s="224"/>
      <c r="F97" s="224"/>
      <c r="G97" s="224"/>
      <c r="H97" s="224"/>
      <c r="I97" s="224"/>
      <c r="J97" s="224"/>
      <c r="K97" s="18" t="s">
        <v>201</v>
      </c>
      <c r="L97" s="18" t="s">
        <v>201</v>
      </c>
    </row>
    <row r="98" spans="1:12">
      <c r="A98" s="18"/>
      <c r="B98" s="224"/>
      <c r="C98" s="224"/>
      <c r="D98" s="224"/>
      <c r="E98" s="224"/>
      <c r="F98" s="224"/>
      <c r="G98" s="224"/>
      <c r="H98" s="224"/>
      <c r="I98" s="224"/>
      <c r="J98" s="224"/>
      <c r="K98" s="18" t="s">
        <v>202</v>
      </c>
      <c r="L98" s="18" t="s">
        <v>202</v>
      </c>
    </row>
    <row r="99" spans="1:12">
      <c r="A99" s="18"/>
      <c r="B99" s="225" t="s">
        <v>203</v>
      </c>
      <c r="C99" s="225"/>
      <c r="D99" s="226" t="s">
        <v>204</v>
      </c>
      <c r="E99" s="226" t="s">
        <v>205</v>
      </c>
      <c r="F99" s="226" t="s">
        <v>206</v>
      </c>
      <c r="G99" s="226" t="s">
        <v>207</v>
      </c>
      <c r="H99" s="226" t="s">
        <v>208</v>
      </c>
      <c r="I99" s="226" t="s">
        <v>209</v>
      </c>
      <c r="J99" s="226" t="s">
        <v>210</v>
      </c>
      <c r="K99" s="227" t="str">
        <f>IF($H$9=3,D99,IF($H$9=5,E99,IF($H$9=7,F99,IF($H$9=10,G99,IF($H$9=15,H99,IF($H$9=20,I99,J99))))))</f>
        <v>20-Year</v>
      </c>
      <c r="L99" s="18" t="s">
        <v>211</v>
      </c>
    </row>
    <row r="100" spans="1:12">
      <c r="A100" s="18"/>
      <c r="B100" s="224"/>
      <c r="C100" s="224"/>
      <c r="D100" s="224"/>
      <c r="E100" s="224"/>
      <c r="F100" s="224"/>
      <c r="G100" s="224"/>
      <c r="H100" s="224"/>
      <c r="I100" s="224"/>
      <c r="J100" s="224"/>
    </row>
    <row r="101" spans="1:12">
      <c r="A101" s="18"/>
      <c r="B101" s="224">
        <v>1</v>
      </c>
      <c r="C101" s="224"/>
      <c r="D101" s="228">
        <v>0.33329999999999999</v>
      </c>
      <c r="E101" s="228">
        <v>0.2</v>
      </c>
      <c r="F101" s="228">
        <v>0.1429</v>
      </c>
      <c r="G101" s="228">
        <v>0.1</v>
      </c>
      <c r="H101" s="228">
        <v>0.05</v>
      </c>
      <c r="I101" s="228">
        <v>3.7499999999999999E-2</v>
      </c>
      <c r="J101" s="228">
        <f t="shared" ref="J101:J134" si="47">IF(AND($H$9&lt;&gt;3,$H$9&lt;&gt;5,$H$9&lt;&gt;7,$H$9&lt;&gt;10,$H$9&lt;&gt;15,$H$9&lt;&gt;20),IF(B101&lt;=$H$9,1/$H$9,0),0)</f>
        <v>0</v>
      </c>
      <c r="K101" s="208">
        <f t="shared" ref="K101:K134" si="48">IF($H$9=3,D101,IF($H$9=5,E101,IF($H$9=7,F101,IF($H$9=10,G101,IF($H$9=15,H101,IF($H$9=20,I101,J101))))))</f>
        <v>3.7499999999999999E-2</v>
      </c>
      <c r="L101" s="72">
        <f>IF($G$10="Y", (K101-(K101*H10))+H10, K101)</f>
        <v>3.7499999999999999E-2</v>
      </c>
    </row>
    <row r="102" spans="1:12">
      <c r="A102" s="18"/>
      <c r="B102" s="224">
        <f t="shared" ref="B102:B134" si="49">B101+1</f>
        <v>2</v>
      </c>
      <c r="C102" s="224"/>
      <c r="D102" s="228">
        <v>0.44450000000000001</v>
      </c>
      <c r="E102" s="228">
        <v>0.32</v>
      </c>
      <c r="F102" s="228">
        <v>0.24490000000000001</v>
      </c>
      <c r="G102" s="228">
        <v>0.18</v>
      </c>
      <c r="H102" s="228">
        <v>9.5000000000000001E-2</v>
      </c>
      <c r="I102" s="228">
        <v>7.2190000000000004E-2</v>
      </c>
      <c r="J102" s="228">
        <f t="shared" si="47"/>
        <v>0</v>
      </c>
      <c r="K102" s="208">
        <f t="shared" si="48"/>
        <v>7.2190000000000004E-2</v>
      </c>
      <c r="L102" s="72">
        <f t="shared" ref="L102:L134" si="50">IF($G$10="Y", K102-(K102*H$10), K102)</f>
        <v>7.2190000000000004E-2</v>
      </c>
    </row>
    <row r="103" spans="1:12">
      <c r="A103" s="18"/>
      <c r="B103" s="224">
        <f t="shared" si="49"/>
        <v>3</v>
      </c>
      <c r="C103" s="224"/>
      <c r="D103" s="228">
        <v>0.14810000000000001</v>
      </c>
      <c r="E103" s="228">
        <v>0.192</v>
      </c>
      <c r="F103" s="228">
        <v>0.1749</v>
      </c>
      <c r="G103" s="228">
        <v>0.14399999999999999</v>
      </c>
      <c r="H103" s="228">
        <v>8.5500000000000007E-2</v>
      </c>
      <c r="I103" s="228">
        <v>6.6769999999999996E-2</v>
      </c>
      <c r="J103" s="228">
        <f t="shared" si="47"/>
        <v>0</v>
      </c>
      <c r="K103" s="208">
        <f t="shared" si="48"/>
        <v>6.6769999999999996E-2</v>
      </c>
      <c r="L103" s="72">
        <f t="shared" si="50"/>
        <v>6.6769999999999996E-2</v>
      </c>
    </row>
    <row r="104" spans="1:12">
      <c r="A104" s="18"/>
      <c r="B104" s="224">
        <f t="shared" si="49"/>
        <v>4</v>
      </c>
      <c r="C104" s="224"/>
      <c r="D104" s="228">
        <v>7.4099999999999999E-2</v>
      </c>
      <c r="E104" s="228">
        <v>0.1152</v>
      </c>
      <c r="F104" s="228">
        <v>0.1249</v>
      </c>
      <c r="G104" s="228">
        <v>0.1152</v>
      </c>
      <c r="H104" s="228">
        <v>7.6999999999999999E-2</v>
      </c>
      <c r="I104" s="228">
        <v>6.1769999999999999E-2</v>
      </c>
      <c r="J104" s="228">
        <f t="shared" si="47"/>
        <v>0</v>
      </c>
      <c r="K104" s="208">
        <f t="shared" si="48"/>
        <v>6.1769999999999999E-2</v>
      </c>
      <c r="L104" s="72">
        <f t="shared" si="50"/>
        <v>6.1769999999999999E-2</v>
      </c>
    </row>
    <row r="105" spans="1:12">
      <c r="A105" s="18"/>
      <c r="B105" s="224">
        <f t="shared" si="49"/>
        <v>5</v>
      </c>
      <c r="C105" s="224"/>
      <c r="D105" s="228"/>
      <c r="E105" s="228">
        <v>0.1152</v>
      </c>
      <c r="F105" s="228">
        <v>8.9300000000000004E-2</v>
      </c>
      <c r="G105" s="228">
        <v>9.2200000000000004E-2</v>
      </c>
      <c r="H105" s="228">
        <v>6.93E-2</v>
      </c>
      <c r="I105" s="228">
        <v>5.713E-2</v>
      </c>
      <c r="J105" s="228">
        <f t="shared" si="47"/>
        <v>0</v>
      </c>
      <c r="K105" s="208">
        <f t="shared" si="48"/>
        <v>5.713E-2</v>
      </c>
      <c r="L105" s="72">
        <f t="shared" si="50"/>
        <v>5.713E-2</v>
      </c>
    </row>
    <row r="106" spans="1:12">
      <c r="A106" s="18"/>
      <c r="B106" s="224">
        <f t="shared" si="49"/>
        <v>6</v>
      </c>
      <c r="C106" s="224"/>
      <c r="D106" s="228"/>
      <c r="E106" s="228">
        <v>5.7599999999999998E-2</v>
      </c>
      <c r="F106" s="228">
        <v>8.9200000000000002E-2</v>
      </c>
      <c r="G106" s="228">
        <v>7.3700000000000002E-2</v>
      </c>
      <c r="H106" s="228">
        <v>6.2300000000000001E-2</v>
      </c>
      <c r="I106" s="228">
        <v>5.2850000000000001E-2</v>
      </c>
      <c r="J106" s="228">
        <f t="shared" si="47"/>
        <v>0</v>
      </c>
      <c r="K106" s="208">
        <f t="shared" si="48"/>
        <v>5.2850000000000001E-2</v>
      </c>
      <c r="L106" s="72">
        <f t="shared" si="50"/>
        <v>5.2850000000000001E-2</v>
      </c>
    </row>
    <row r="107" spans="1:12">
      <c r="A107" s="18"/>
      <c r="B107" s="224">
        <f t="shared" si="49"/>
        <v>7</v>
      </c>
      <c r="C107" s="224"/>
      <c r="D107" s="228"/>
      <c r="E107" s="228"/>
      <c r="F107" s="228">
        <v>8.9300000000000004E-2</v>
      </c>
      <c r="G107" s="228">
        <v>6.5500000000000003E-2</v>
      </c>
      <c r="H107" s="228">
        <v>5.8999999999999997E-2</v>
      </c>
      <c r="I107" s="228">
        <v>4.888E-2</v>
      </c>
      <c r="J107" s="228">
        <f t="shared" si="47"/>
        <v>0</v>
      </c>
      <c r="K107" s="208">
        <f t="shared" si="48"/>
        <v>4.888E-2</v>
      </c>
      <c r="L107" s="72">
        <f t="shared" si="50"/>
        <v>4.888E-2</v>
      </c>
    </row>
    <row r="108" spans="1:12">
      <c r="A108" s="18"/>
      <c r="B108" s="224">
        <f t="shared" si="49"/>
        <v>8</v>
      </c>
      <c r="C108" s="224"/>
      <c r="D108" s="228"/>
      <c r="E108" s="228"/>
      <c r="F108" s="228">
        <v>4.4600000000000001E-2</v>
      </c>
      <c r="G108" s="228">
        <v>6.5500000000000003E-2</v>
      </c>
      <c r="H108" s="228">
        <v>5.8999999999999997E-2</v>
      </c>
      <c r="I108" s="228">
        <v>4.5220000000000003E-2</v>
      </c>
      <c r="J108" s="228">
        <f t="shared" si="47"/>
        <v>0</v>
      </c>
      <c r="K108" s="208">
        <f t="shared" si="48"/>
        <v>4.5220000000000003E-2</v>
      </c>
      <c r="L108" s="72">
        <f t="shared" si="50"/>
        <v>4.5220000000000003E-2</v>
      </c>
    </row>
    <row r="109" spans="1:12">
      <c r="A109" s="18"/>
      <c r="B109" s="224">
        <f t="shared" si="49"/>
        <v>9</v>
      </c>
      <c r="C109" s="224"/>
      <c r="D109" s="228"/>
      <c r="E109" s="228"/>
      <c r="F109" s="228"/>
      <c r="G109" s="228">
        <v>6.5600000000000006E-2</v>
      </c>
      <c r="H109" s="228">
        <v>5.91E-2</v>
      </c>
      <c r="I109" s="228">
        <v>4.462E-2</v>
      </c>
      <c r="J109" s="228">
        <f t="shared" si="47"/>
        <v>0</v>
      </c>
      <c r="K109" s="208">
        <f t="shared" si="48"/>
        <v>4.462E-2</v>
      </c>
      <c r="L109" s="72">
        <f t="shared" si="50"/>
        <v>4.462E-2</v>
      </c>
    </row>
    <row r="110" spans="1:12">
      <c r="A110" s="18"/>
      <c r="B110" s="224">
        <f t="shared" si="49"/>
        <v>10</v>
      </c>
      <c r="C110" s="224"/>
      <c r="D110" s="228"/>
      <c r="E110" s="228"/>
      <c r="F110" s="228"/>
      <c r="G110" s="228">
        <v>6.5500000000000003E-2</v>
      </c>
      <c r="H110" s="228">
        <v>5.8999999999999997E-2</v>
      </c>
      <c r="I110" s="228">
        <v>4.4609999999999997E-2</v>
      </c>
      <c r="J110" s="228">
        <f t="shared" si="47"/>
        <v>0</v>
      </c>
      <c r="K110" s="208">
        <f t="shared" si="48"/>
        <v>4.4609999999999997E-2</v>
      </c>
      <c r="L110" s="72">
        <f t="shared" si="50"/>
        <v>4.4609999999999997E-2</v>
      </c>
    </row>
    <row r="111" spans="1:12">
      <c r="A111" s="18"/>
      <c r="B111" s="224">
        <f t="shared" si="49"/>
        <v>11</v>
      </c>
      <c r="C111" s="224"/>
      <c r="D111" s="228"/>
      <c r="E111" s="228"/>
      <c r="F111" s="228"/>
      <c r="G111" s="228">
        <v>3.2800000000000003E-2</v>
      </c>
      <c r="H111" s="228">
        <v>5.91E-2</v>
      </c>
      <c r="I111" s="228">
        <v>4.462E-2</v>
      </c>
      <c r="J111" s="228">
        <f t="shared" si="47"/>
        <v>0</v>
      </c>
      <c r="K111" s="208">
        <f t="shared" si="48"/>
        <v>4.462E-2</v>
      </c>
      <c r="L111" s="72">
        <f t="shared" si="50"/>
        <v>4.462E-2</v>
      </c>
    </row>
    <row r="112" spans="1:12">
      <c r="A112" s="18"/>
      <c r="B112" s="224">
        <f t="shared" si="49"/>
        <v>12</v>
      </c>
      <c r="C112" s="224"/>
      <c r="D112" s="228"/>
      <c r="E112" s="228"/>
      <c r="F112" s="228"/>
      <c r="G112" s="228"/>
      <c r="H112" s="228">
        <v>5.8999999999999997E-2</v>
      </c>
      <c r="I112" s="228">
        <v>4.4609999999999997E-2</v>
      </c>
      <c r="J112" s="228">
        <f t="shared" si="47"/>
        <v>0</v>
      </c>
      <c r="K112" s="208">
        <f t="shared" si="48"/>
        <v>4.4609999999999997E-2</v>
      </c>
      <c r="L112" s="72">
        <f t="shared" si="50"/>
        <v>4.4609999999999997E-2</v>
      </c>
    </row>
    <row r="113" spans="1:12">
      <c r="A113" s="18"/>
      <c r="B113" s="224">
        <f t="shared" si="49"/>
        <v>13</v>
      </c>
      <c r="C113" s="224"/>
      <c r="D113" s="228"/>
      <c r="E113" s="228"/>
      <c r="F113" s="228"/>
      <c r="G113" s="228"/>
      <c r="H113" s="228">
        <v>5.91E-2</v>
      </c>
      <c r="I113" s="228">
        <v>4.462E-2</v>
      </c>
      <c r="J113" s="228">
        <f t="shared" si="47"/>
        <v>0</v>
      </c>
      <c r="K113" s="208">
        <f t="shared" si="48"/>
        <v>4.462E-2</v>
      </c>
      <c r="L113" s="72">
        <f t="shared" si="50"/>
        <v>4.462E-2</v>
      </c>
    </row>
    <row r="114" spans="1:12">
      <c r="A114" s="18"/>
      <c r="B114" s="224">
        <f t="shared" si="49"/>
        <v>14</v>
      </c>
      <c r="C114" s="224"/>
      <c r="D114" s="228"/>
      <c r="E114" s="228"/>
      <c r="F114" s="228"/>
      <c r="G114" s="228"/>
      <c r="H114" s="228">
        <v>5.8999999999999997E-2</v>
      </c>
      <c r="I114" s="228">
        <v>4.4609999999999997E-2</v>
      </c>
      <c r="J114" s="228">
        <f t="shared" si="47"/>
        <v>0</v>
      </c>
      <c r="K114" s="208">
        <f t="shared" si="48"/>
        <v>4.4609999999999997E-2</v>
      </c>
      <c r="L114" s="72">
        <f t="shared" si="50"/>
        <v>4.4609999999999997E-2</v>
      </c>
    </row>
    <row r="115" spans="1:12">
      <c r="A115" s="18"/>
      <c r="B115" s="224">
        <f t="shared" si="49"/>
        <v>15</v>
      </c>
      <c r="C115" s="224"/>
      <c r="D115" s="228"/>
      <c r="E115" s="228"/>
      <c r="F115" s="228"/>
      <c r="G115" s="228"/>
      <c r="H115" s="228">
        <v>5.91E-2</v>
      </c>
      <c r="I115" s="228">
        <v>4.462E-2</v>
      </c>
      <c r="J115" s="228">
        <f t="shared" si="47"/>
        <v>0</v>
      </c>
      <c r="K115" s="208">
        <f t="shared" si="48"/>
        <v>4.462E-2</v>
      </c>
      <c r="L115" s="72">
        <f t="shared" si="50"/>
        <v>4.462E-2</v>
      </c>
    </row>
    <row r="116" spans="1:12">
      <c r="A116" s="18"/>
      <c r="B116" s="224">
        <f t="shared" si="49"/>
        <v>16</v>
      </c>
      <c r="C116" s="224"/>
      <c r="D116" s="228"/>
      <c r="E116" s="228"/>
      <c r="F116" s="228"/>
      <c r="G116" s="228"/>
      <c r="H116" s="228">
        <v>2.9499999999999998E-2</v>
      </c>
      <c r="I116" s="228">
        <v>4.4609999999999997E-2</v>
      </c>
      <c r="J116" s="228">
        <f t="shared" si="47"/>
        <v>0</v>
      </c>
      <c r="K116" s="208">
        <f t="shared" si="48"/>
        <v>4.4609999999999997E-2</v>
      </c>
      <c r="L116" s="72">
        <f t="shared" si="50"/>
        <v>4.4609999999999997E-2</v>
      </c>
    </row>
    <row r="117" spans="1:12">
      <c r="A117" s="18"/>
      <c r="B117" s="224">
        <f t="shared" si="49"/>
        <v>17</v>
      </c>
      <c r="C117" s="224"/>
      <c r="D117" s="228"/>
      <c r="E117" s="228"/>
      <c r="F117" s="228"/>
      <c r="G117" s="228"/>
      <c r="H117" s="228"/>
      <c r="I117" s="228">
        <v>4.462E-2</v>
      </c>
      <c r="J117" s="228">
        <f t="shared" si="47"/>
        <v>0</v>
      </c>
      <c r="K117" s="208">
        <f t="shared" si="48"/>
        <v>4.462E-2</v>
      </c>
      <c r="L117" s="72">
        <f t="shared" si="50"/>
        <v>4.462E-2</v>
      </c>
    </row>
    <row r="118" spans="1:12">
      <c r="A118" s="18"/>
      <c r="B118" s="224">
        <f t="shared" si="49"/>
        <v>18</v>
      </c>
      <c r="C118" s="224"/>
      <c r="D118" s="228"/>
      <c r="E118" s="228"/>
      <c r="F118" s="228"/>
      <c r="G118" s="228"/>
      <c r="H118" s="228"/>
      <c r="I118" s="228">
        <v>4.4609999999999997E-2</v>
      </c>
      <c r="J118" s="228">
        <f t="shared" si="47"/>
        <v>0</v>
      </c>
      <c r="K118" s="208">
        <f t="shared" si="48"/>
        <v>4.4609999999999997E-2</v>
      </c>
      <c r="L118" s="72">
        <f t="shared" si="50"/>
        <v>4.4609999999999997E-2</v>
      </c>
    </row>
    <row r="119" spans="1:12">
      <c r="A119" s="18"/>
      <c r="B119" s="224">
        <f t="shared" si="49"/>
        <v>19</v>
      </c>
      <c r="C119" s="224"/>
      <c r="D119" s="228"/>
      <c r="E119" s="228"/>
      <c r="F119" s="228"/>
      <c r="G119" s="228"/>
      <c r="H119" s="228"/>
      <c r="I119" s="228">
        <v>4.462E-2</v>
      </c>
      <c r="J119" s="228">
        <f t="shared" si="47"/>
        <v>0</v>
      </c>
      <c r="K119" s="208">
        <f t="shared" si="48"/>
        <v>4.462E-2</v>
      </c>
      <c r="L119" s="72">
        <f t="shared" si="50"/>
        <v>4.462E-2</v>
      </c>
    </row>
    <row r="120" spans="1:12">
      <c r="A120" s="18"/>
      <c r="B120" s="224">
        <f t="shared" si="49"/>
        <v>20</v>
      </c>
      <c r="C120" s="224"/>
      <c r="D120" s="228"/>
      <c r="E120" s="228"/>
      <c r="F120" s="228"/>
      <c r="G120" s="228"/>
      <c r="H120" s="228"/>
      <c r="I120" s="228">
        <v>4.4609999999999997E-2</v>
      </c>
      <c r="J120" s="228">
        <f t="shared" si="47"/>
        <v>0</v>
      </c>
      <c r="K120" s="208">
        <f t="shared" si="48"/>
        <v>4.4609999999999997E-2</v>
      </c>
      <c r="L120" s="72">
        <f t="shared" si="50"/>
        <v>4.4609999999999997E-2</v>
      </c>
    </row>
    <row r="121" spans="1:12">
      <c r="A121" s="18"/>
      <c r="B121" s="224">
        <f t="shared" si="49"/>
        <v>21</v>
      </c>
      <c r="C121" s="224"/>
      <c r="D121" s="228"/>
      <c r="E121" s="228"/>
      <c r="F121" s="228"/>
      <c r="G121" s="228"/>
      <c r="H121" s="228"/>
      <c r="I121" s="228">
        <v>2.231E-2</v>
      </c>
      <c r="J121" s="228">
        <f t="shared" si="47"/>
        <v>0</v>
      </c>
      <c r="K121" s="208">
        <f t="shared" si="48"/>
        <v>2.231E-2</v>
      </c>
      <c r="L121" s="72">
        <f t="shared" si="50"/>
        <v>2.231E-2</v>
      </c>
    </row>
    <row r="122" spans="1:12">
      <c r="A122" s="18"/>
      <c r="B122" s="224">
        <f t="shared" si="49"/>
        <v>22</v>
      </c>
      <c r="C122" s="224"/>
      <c r="D122" s="228"/>
      <c r="E122" s="228"/>
      <c r="F122" s="228"/>
      <c r="G122" s="228"/>
      <c r="H122" s="228"/>
      <c r="I122" s="228"/>
      <c r="J122" s="228">
        <f t="shared" si="47"/>
        <v>0</v>
      </c>
      <c r="K122" s="208">
        <f t="shared" si="48"/>
        <v>0</v>
      </c>
      <c r="L122" s="72">
        <f t="shared" si="50"/>
        <v>0</v>
      </c>
    </row>
    <row r="123" spans="1:12">
      <c r="A123" s="18"/>
      <c r="B123" s="224">
        <f t="shared" si="49"/>
        <v>23</v>
      </c>
      <c r="C123" s="224"/>
      <c r="D123" s="228"/>
      <c r="E123" s="228"/>
      <c r="F123" s="228"/>
      <c r="G123" s="228"/>
      <c r="H123" s="228"/>
      <c r="I123" s="228"/>
      <c r="J123" s="228">
        <f t="shared" si="47"/>
        <v>0</v>
      </c>
      <c r="K123" s="208">
        <f t="shared" si="48"/>
        <v>0</v>
      </c>
      <c r="L123" s="72">
        <f t="shared" si="50"/>
        <v>0</v>
      </c>
    </row>
    <row r="124" spans="1:12">
      <c r="A124" s="18"/>
      <c r="B124" s="224">
        <f t="shared" si="49"/>
        <v>24</v>
      </c>
      <c r="C124" s="224"/>
      <c r="D124" s="228"/>
      <c r="E124" s="228"/>
      <c r="F124" s="228"/>
      <c r="G124" s="228"/>
      <c r="H124" s="228"/>
      <c r="I124" s="228"/>
      <c r="J124" s="228">
        <f t="shared" si="47"/>
        <v>0</v>
      </c>
      <c r="K124" s="208">
        <f t="shared" si="48"/>
        <v>0</v>
      </c>
      <c r="L124" s="72">
        <f t="shared" si="50"/>
        <v>0</v>
      </c>
    </row>
    <row r="125" spans="1:12">
      <c r="A125" s="18"/>
      <c r="B125" s="224">
        <f t="shared" si="49"/>
        <v>25</v>
      </c>
      <c r="C125" s="224"/>
      <c r="D125" s="228"/>
      <c r="E125" s="228"/>
      <c r="F125" s="228"/>
      <c r="G125" s="228"/>
      <c r="H125" s="228"/>
      <c r="I125" s="228"/>
      <c r="J125" s="228">
        <f t="shared" si="47"/>
        <v>0</v>
      </c>
      <c r="K125" s="208">
        <f t="shared" si="48"/>
        <v>0</v>
      </c>
      <c r="L125" s="72">
        <f t="shared" si="50"/>
        <v>0</v>
      </c>
    </row>
    <row r="126" spans="1:12">
      <c r="A126" s="18"/>
      <c r="B126" s="224">
        <f t="shared" si="49"/>
        <v>26</v>
      </c>
      <c r="C126" s="224"/>
      <c r="D126" s="228"/>
      <c r="E126" s="228"/>
      <c r="F126" s="228"/>
      <c r="G126" s="228"/>
      <c r="H126" s="228"/>
      <c r="I126" s="228"/>
      <c r="J126" s="228">
        <f t="shared" si="47"/>
        <v>0</v>
      </c>
      <c r="K126" s="208">
        <f t="shared" si="48"/>
        <v>0</v>
      </c>
      <c r="L126" s="72">
        <f t="shared" si="50"/>
        <v>0</v>
      </c>
    </row>
    <row r="127" spans="1:12">
      <c r="A127" s="18"/>
      <c r="B127" s="224">
        <f t="shared" si="49"/>
        <v>27</v>
      </c>
      <c r="C127" s="224"/>
      <c r="D127" s="228"/>
      <c r="E127" s="228"/>
      <c r="F127" s="228"/>
      <c r="G127" s="228"/>
      <c r="H127" s="228"/>
      <c r="I127" s="228"/>
      <c r="J127" s="228">
        <f t="shared" si="47"/>
        <v>0</v>
      </c>
      <c r="K127" s="208">
        <f t="shared" si="48"/>
        <v>0</v>
      </c>
      <c r="L127" s="72">
        <f t="shared" si="50"/>
        <v>0</v>
      </c>
    </row>
    <row r="128" spans="1:12">
      <c r="A128" s="18"/>
      <c r="B128" s="224">
        <f t="shared" si="49"/>
        <v>28</v>
      </c>
      <c r="C128" s="224"/>
      <c r="D128" s="228"/>
      <c r="E128" s="228"/>
      <c r="F128" s="228"/>
      <c r="G128" s="228"/>
      <c r="H128" s="228"/>
      <c r="I128" s="228"/>
      <c r="J128" s="228">
        <f t="shared" si="47"/>
        <v>0</v>
      </c>
      <c r="K128" s="208">
        <f t="shared" si="48"/>
        <v>0</v>
      </c>
      <c r="L128" s="72">
        <f t="shared" si="50"/>
        <v>0</v>
      </c>
    </row>
    <row r="129" spans="1:12">
      <c r="A129" s="18"/>
      <c r="B129" s="224">
        <f t="shared" si="49"/>
        <v>29</v>
      </c>
      <c r="C129" s="224"/>
      <c r="D129" s="228"/>
      <c r="E129" s="228"/>
      <c r="F129" s="228"/>
      <c r="G129" s="228"/>
      <c r="H129" s="228"/>
      <c r="I129" s="228"/>
      <c r="J129" s="228">
        <f t="shared" si="47"/>
        <v>0</v>
      </c>
      <c r="K129" s="208">
        <f t="shared" si="48"/>
        <v>0</v>
      </c>
      <c r="L129" s="72">
        <f t="shared" si="50"/>
        <v>0</v>
      </c>
    </row>
    <row r="130" spans="1:12">
      <c r="A130" s="18"/>
      <c r="B130" s="224">
        <f t="shared" si="49"/>
        <v>30</v>
      </c>
      <c r="C130" s="224"/>
      <c r="D130" s="228"/>
      <c r="E130" s="228"/>
      <c r="F130" s="228"/>
      <c r="G130" s="228"/>
      <c r="H130" s="228"/>
      <c r="I130" s="228"/>
      <c r="J130" s="228">
        <f t="shared" si="47"/>
        <v>0</v>
      </c>
      <c r="K130" s="208">
        <f t="shared" si="48"/>
        <v>0</v>
      </c>
      <c r="L130" s="72">
        <f t="shared" si="50"/>
        <v>0</v>
      </c>
    </row>
    <row r="131" spans="1:12">
      <c r="A131" s="18"/>
      <c r="B131" s="224">
        <f t="shared" si="49"/>
        <v>31</v>
      </c>
      <c r="C131" s="224"/>
      <c r="D131" s="228"/>
      <c r="E131" s="228"/>
      <c r="F131" s="228"/>
      <c r="G131" s="228"/>
      <c r="H131" s="228"/>
      <c r="I131" s="228"/>
      <c r="J131" s="228">
        <f t="shared" si="47"/>
        <v>0</v>
      </c>
      <c r="K131" s="208">
        <f t="shared" si="48"/>
        <v>0</v>
      </c>
      <c r="L131" s="72">
        <f t="shared" si="50"/>
        <v>0</v>
      </c>
    </row>
    <row r="132" spans="1:12">
      <c r="A132" s="18"/>
      <c r="B132" s="224">
        <f t="shared" si="49"/>
        <v>32</v>
      </c>
      <c r="C132" s="224"/>
      <c r="D132" s="228"/>
      <c r="E132" s="228"/>
      <c r="F132" s="228"/>
      <c r="G132" s="228"/>
      <c r="H132" s="228"/>
      <c r="I132" s="228"/>
      <c r="J132" s="228">
        <f t="shared" si="47"/>
        <v>0</v>
      </c>
      <c r="K132" s="208">
        <f t="shared" si="48"/>
        <v>0</v>
      </c>
      <c r="L132" s="72">
        <f t="shared" si="50"/>
        <v>0</v>
      </c>
    </row>
    <row r="133" spans="1:12">
      <c r="A133" s="18"/>
      <c r="B133" s="224">
        <f t="shared" si="49"/>
        <v>33</v>
      </c>
      <c r="C133" s="224"/>
      <c r="D133" s="228"/>
      <c r="E133" s="228"/>
      <c r="F133" s="228"/>
      <c r="G133" s="228"/>
      <c r="H133" s="228"/>
      <c r="I133" s="228"/>
      <c r="J133" s="228">
        <f t="shared" si="47"/>
        <v>0</v>
      </c>
      <c r="K133" s="208">
        <f t="shared" si="48"/>
        <v>0</v>
      </c>
      <c r="L133" s="72">
        <f t="shared" si="50"/>
        <v>0</v>
      </c>
    </row>
    <row r="134" spans="1:12">
      <c r="A134" s="18"/>
      <c r="B134" s="224">
        <f t="shared" si="49"/>
        <v>34</v>
      </c>
      <c r="C134" s="224"/>
      <c r="D134" s="228"/>
      <c r="E134" s="228"/>
      <c r="F134" s="228"/>
      <c r="G134" s="228"/>
      <c r="H134" s="228"/>
      <c r="I134" s="228"/>
      <c r="J134" s="228">
        <f t="shared" si="47"/>
        <v>0</v>
      </c>
      <c r="K134" s="208">
        <f t="shared" si="48"/>
        <v>0</v>
      </c>
      <c r="L134" s="72">
        <f t="shared" si="50"/>
        <v>0</v>
      </c>
    </row>
    <row r="135" spans="1:12">
      <c r="A135" s="18"/>
      <c r="B135" s="229" t="s">
        <v>37</v>
      </c>
      <c r="C135" s="229"/>
      <c r="D135" s="228">
        <f t="shared" ref="D135:L135" si="51">SUM(D101:D134)</f>
        <v>1</v>
      </c>
      <c r="E135" s="228">
        <f t="shared" si="51"/>
        <v>0.99999999999999989</v>
      </c>
      <c r="F135" s="228">
        <f t="shared" si="51"/>
        <v>1.0000000000000002</v>
      </c>
      <c r="G135" s="228">
        <f t="shared" si="51"/>
        <v>1</v>
      </c>
      <c r="H135" s="228">
        <f t="shared" si="51"/>
        <v>1.0000000000000002</v>
      </c>
      <c r="I135" s="228">
        <f t="shared" si="51"/>
        <v>1.0000000000000002</v>
      </c>
      <c r="J135" s="228">
        <f t="shared" si="51"/>
        <v>0</v>
      </c>
      <c r="K135" s="84">
        <f t="shared" si="51"/>
        <v>1.0000000000000002</v>
      </c>
      <c r="L135" s="84">
        <f t="shared" si="51"/>
        <v>1.0000000000000002</v>
      </c>
    </row>
    <row r="136" spans="1:12">
      <c r="A136" s="18"/>
      <c r="B136" s="224"/>
      <c r="C136" s="224"/>
      <c r="D136" s="224"/>
      <c r="E136" s="224"/>
      <c r="F136" s="224"/>
      <c r="G136" s="224"/>
      <c r="H136" s="224"/>
      <c r="I136" s="224"/>
      <c r="J136" s="224"/>
    </row>
    <row r="138" spans="1:12" ht="12" customHeight="1"/>
    <row r="139" spans="1:12">
      <c r="A139" s="18"/>
    </row>
    <row r="140" spans="1:12">
      <c r="A140" s="18"/>
    </row>
    <row r="141" spans="1:12">
      <c r="A141" s="18"/>
    </row>
    <row r="142" spans="1:12">
      <c r="A142" s="18"/>
      <c r="C142" s="85"/>
    </row>
    <row r="143" spans="1:12">
      <c r="A143" s="18"/>
      <c r="C143" s="85"/>
    </row>
    <row r="144" spans="1:12">
      <c r="A144" s="18"/>
    </row>
    <row r="146" spans="1:48">
      <c r="A146" s="18"/>
      <c r="B146" s="24"/>
    </row>
    <row r="147" spans="1:48">
      <c r="A147" s="18"/>
      <c r="D147" s="18">
        <v>2007</v>
      </c>
      <c r="E147" s="18">
        <v>2008</v>
      </c>
      <c r="F147" s="18">
        <v>2009</v>
      </c>
      <c r="G147" s="18">
        <v>2010</v>
      </c>
      <c r="H147" s="18">
        <v>2011</v>
      </c>
      <c r="I147" s="18">
        <v>2012</v>
      </c>
      <c r="J147" s="18">
        <v>2013</v>
      </c>
      <c r="K147" s="18">
        <v>2014</v>
      </c>
      <c r="L147" s="18">
        <v>2015</v>
      </c>
      <c r="M147" s="18">
        <v>2016</v>
      </c>
      <c r="N147" s="18">
        <v>2017</v>
      </c>
      <c r="O147" s="18">
        <v>2018</v>
      </c>
    </row>
    <row r="148" spans="1:48">
      <c r="A148" s="18"/>
      <c r="B148" s="167" t="s">
        <v>212</v>
      </c>
      <c r="C148" s="166">
        <v>0</v>
      </c>
      <c r="D148" s="166">
        <v>1</v>
      </c>
      <c r="E148" s="166">
        <f>D148+1</f>
        <v>2</v>
      </c>
      <c r="F148" s="166">
        <f t="shared" ref="F148:AU148" si="52">E148+1</f>
        <v>3</v>
      </c>
      <c r="G148" s="166">
        <f t="shared" si="52"/>
        <v>4</v>
      </c>
      <c r="H148" s="166">
        <f t="shared" si="52"/>
        <v>5</v>
      </c>
      <c r="I148" s="166">
        <f t="shared" si="52"/>
        <v>6</v>
      </c>
      <c r="J148" s="166">
        <f t="shared" si="52"/>
        <v>7</v>
      </c>
      <c r="K148" s="166">
        <f t="shared" si="52"/>
        <v>8</v>
      </c>
      <c r="L148" s="166">
        <f t="shared" si="52"/>
        <v>9</v>
      </c>
      <c r="M148" s="166">
        <f t="shared" si="52"/>
        <v>10</v>
      </c>
      <c r="N148" s="166">
        <f t="shared" si="52"/>
        <v>11</v>
      </c>
      <c r="O148" s="166">
        <f t="shared" si="52"/>
        <v>12</v>
      </c>
      <c r="P148" s="166">
        <f t="shared" si="52"/>
        <v>13</v>
      </c>
      <c r="Q148" s="166">
        <f t="shared" si="52"/>
        <v>14</v>
      </c>
      <c r="R148" s="166">
        <f t="shared" si="52"/>
        <v>15</v>
      </c>
      <c r="S148" s="166">
        <f t="shared" si="52"/>
        <v>16</v>
      </c>
      <c r="T148" s="166">
        <f t="shared" si="52"/>
        <v>17</v>
      </c>
      <c r="U148" s="166">
        <f t="shared" si="52"/>
        <v>18</v>
      </c>
      <c r="V148" s="166">
        <f t="shared" si="52"/>
        <v>19</v>
      </c>
      <c r="W148" s="166">
        <f t="shared" si="52"/>
        <v>20</v>
      </c>
      <c r="X148" s="166">
        <f t="shared" si="52"/>
        <v>21</v>
      </c>
      <c r="Y148" s="166">
        <f t="shared" si="52"/>
        <v>22</v>
      </c>
      <c r="Z148" s="166">
        <f t="shared" si="52"/>
        <v>23</v>
      </c>
      <c r="AA148" s="166">
        <f t="shared" si="52"/>
        <v>24</v>
      </c>
      <c r="AB148" s="166">
        <f t="shared" si="52"/>
        <v>25</v>
      </c>
      <c r="AC148" s="166">
        <f t="shared" si="52"/>
        <v>26</v>
      </c>
      <c r="AD148" s="166">
        <f t="shared" si="52"/>
        <v>27</v>
      </c>
      <c r="AE148" s="166">
        <f t="shared" si="52"/>
        <v>28</v>
      </c>
      <c r="AF148" s="166">
        <f t="shared" si="52"/>
        <v>29</v>
      </c>
      <c r="AG148" s="166">
        <f t="shared" si="52"/>
        <v>30</v>
      </c>
      <c r="AH148" s="166">
        <f t="shared" si="52"/>
        <v>31</v>
      </c>
      <c r="AI148" s="166">
        <f t="shared" si="52"/>
        <v>32</v>
      </c>
      <c r="AJ148" s="166">
        <f t="shared" si="52"/>
        <v>33</v>
      </c>
      <c r="AK148" s="166">
        <f t="shared" si="52"/>
        <v>34</v>
      </c>
      <c r="AL148" s="166">
        <f t="shared" si="52"/>
        <v>35</v>
      </c>
      <c r="AM148" s="166">
        <f t="shared" si="52"/>
        <v>36</v>
      </c>
      <c r="AN148" s="166">
        <f t="shared" si="52"/>
        <v>37</v>
      </c>
      <c r="AO148" s="166">
        <f t="shared" si="52"/>
        <v>38</v>
      </c>
      <c r="AP148" s="166">
        <f t="shared" si="52"/>
        <v>39</v>
      </c>
      <c r="AQ148" s="166">
        <f t="shared" si="52"/>
        <v>40</v>
      </c>
      <c r="AR148" s="166">
        <f t="shared" si="52"/>
        <v>41</v>
      </c>
      <c r="AS148" s="166">
        <f t="shared" si="52"/>
        <v>42</v>
      </c>
      <c r="AT148" s="166">
        <f t="shared" si="52"/>
        <v>43</v>
      </c>
      <c r="AU148" s="166">
        <f t="shared" si="52"/>
        <v>44</v>
      </c>
    </row>
    <row r="150" spans="1:48">
      <c r="A150" s="18"/>
      <c r="B150" s="18" t="s">
        <v>213</v>
      </c>
      <c r="D150" s="66">
        <f>M5*1000</f>
        <v>0</v>
      </c>
      <c r="E150" s="66">
        <f>D150</f>
        <v>0</v>
      </c>
      <c r="F150" s="66">
        <f t="shared" ref="F150:U151" si="53">E150</f>
        <v>0</v>
      </c>
      <c r="G150" s="66">
        <f t="shared" si="53"/>
        <v>0</v>
      </c>
      <c r="H150" s="66">
        <f t="shared" si="53"/>
        <v>0</v>
      </c>
      <c r="I150" s="66">
        <f t="shared" si="53"/>
        <v>0</v>
      </c>
      <c r="J150" s="66">
        <f t="shared" si="53"/>
        <v>0</v>
      </c>
      <c r="K150" s="66">
        <f t="shared" si="53"/>
        <v>0</v>
      </c>
      <c r="L150" s="66">
        <f t="shared" si="53"/>
        <v>0</v>
      </c>
      <c r="M150" s="66">
        <f t="shared" si="53"/>
        <v>0</v>
      </c>
      <c r="N150" s="66">
        <f t="shared" si="53"/>
        <v>0</v>
      </c>
      <c r="O150" s="66">
        <f t="shared" si="53"/>
        <v>0</v>
      </c>
      <c r="P150" s="66">
        <f t="shared" si="53"/>
        <v>0</v>
      </c>
      <c r="Q150" s="66">
        <f t="shared" si="53"/>
        <v>0</v>
      </c>
      <c r="R150" s="66">
        <f t="shared" si="53"/>
        <v>0</v>
      </c>
      <c r="S150" s="66">
        <f t="shared" si="53"/>
        <v>0</v>
      </c>
      <c r="T150" s="66">
        <f t="shared" si="53"/>
        <v>0</v>
      </c>
      <c r="U150" s="66">
        <f t="shared" si="53"/>
        <v>0</v>
      </c>
      <c r="V150" s="66">
        <f t="shared" ref="V150:AK151" si="54">U150</f>
        <v>0</v>
      </c>
      <c r="W150" s="66">
        <f t="shared" si="54"/>
        <v>0</v>
      </c>
      <c r="X150" s="66">
        <f t="shared" si="54"/>
        <v>0</v>
      </c>
      <c r="Y150" s="66">
        <f t="shared" si="54"/>
        <v>0</v>
      </c>
      <c r="Z150" s="66">
        <f t="shared" si="54"/>
        <v>0</v>
      </c>
      <c r="AA150" s="66">
        <f t="shared" si="54"/>
        <v>0</v>
      </c>
      <c r="AB150" s="66">
        <f t="shared" si="54"/>
        <v>0</v>
      </c>
      <c r="AC150" s="66">
        <f t="shared" si="54"/>
        <v>0</v>
      </c>
      <c r="AD150" s="66">
        <f t="shared" si="54"/>
        <v>0</v>
      </c>
      <c r="AE150" s="66">
        <f t="shared" si="54"/>
        <v>0</v>
      </c>
      <c r="AF150" s="66">
        <f t="shared" si="54"/>
        <v>0</v>
      </c>
      <c r="AG150" s="66">
        <f t="shared" si="54"/>
        <v>0</v>
      </c>
      <c r="AH150" s="66">
        <f t="shared" si="54"/>
        <v>0</v>
      </c>
      <c r="AI150" s="66">
        <f t="shared" si="54"/>
        <v>0</v>
      </c>
      <c r="AJ150" s="66">
        <f t="shared" si="54"/>
        <v>0</v>
      </c>
      <c r="AK150" s="66">
        <f t="shared" si="54"/>
        <v>0</v>
      </c>
      <c r="AL150" s="66">
        <f t="shared" ref="AK150:AU151" si="55">AK150</f>
        <v>0</v>
      </c>
      <c r="AM150" s="66">
        <f t="shared" si="55"/>
        <v>0</v>
      </c>
      <c r="AN150" s="66">
        <f t="shared" si="55"/>
        <v>0</v>
      </c>
      <c r="AO150" s="66">
        <f t="shared" si="55"/>
        <v>0</v>
      </c>
      <c r="AP150" s="66">
        <f t="shared" si="55"/>
        <v>0</v>
      </c>
      <c r="AQ150" s="66">
        <f t="shared" si="55"/>
        <v>0</v>
      </c>
      <c r="AR150" s="66">
        <f t="shared" si="55"/>
        <v>0</v>
      </c>
      <c r="AS150" s="66">
        <f t="shared" si="55"/>
        <v>0</v>
      </c>
      <c r="AT150" s="66">
        <f t="shared" si="55"/>
        <v>0</v>
      </c>
      <c r="AU150" s="66">
        <f t="shared" si="55"/>
        <v>0</v>
      </c>
    </row>
    <row r="151" spans="1:48">
      <c r="A151" s="18"/>
      <c r="B151" s="18" t="s">
        <v>214</v>
      </c>
      <c r="D151" s="18">
        <v>0</v>
      </c>
      <c r="E151" s="18">
        <v>0</v>
      </c>
      <c r="F151" s="18">
        <v>0</v>
      </c>
      <c r="G151" s="18">
        <f t="shared" si="53"/>
        <v>0</v>
      </c>
      <c r="H151" s="18">
        <f t="shared" si="53"/>
        <v>0</v>
      </c>
      <c r="I151" s="18">
        <f t="shared" si="53"/>
        <v>0</v>
      </c>
      <c r="J151" s="18">
        <f t="shared" si="53"/>
        <v>0</v>
      </c>
      <c r="K151" s="18">
        <f t="shared" si="53"/>
        <v>0</v>
      </c>
      <c r="L151" s="18">
        <f t="shared" si="53"/>
        <v>0</v>
      </c>
      <c r="M151" s="18">
        <f t="shared" si="53"/>
        <v>0</v>
      </c>
      <c r="N151" s="18">
        <f t="shared" si="53"/>
        <v>0</v>
      </c>
      <c r="O151" s="18">
        <f t="shared" si="53"/>
        <v>0</v>
      </c>
      <c r="P151" s="18">
        <f t="shared" si="53"/>
        <v>0</v>
      </c>
      <c r="Q151" s="18">
        <f t="shared" si="53"/>
        <v>0</v>
      </c>
      <c r="R151" s="18">
        <f t="shared" si="53"/>
        <v>0</v>
      </c>
      <c r="S151" s="18">
        <f t="shared" si="53"/>
        <v>0</v>
      </c>
      <c r="T151" s="18">
        <f t="shared" si="53"/>
        <v>0</v>
      </c>
      <c r="U151" s="18">
        <f t="shared" si="53"/>
        <v>0</v>
      </c>
      <c r="V151" s="18">
        <f t="shared" si="54"/>
        <v>0</v>
      </c>
      <c r="W151" s="18">
        <f t="shared" si="54"/>
        <v>0</v>
      </c>
      <c r="X151" s="18">
        <f t="shared" si="54"/>
        <v>0</v>
      </c>
      <c r="Y151" s="18">
        <f t="shared" si="54"/>
        <v>0</v>
      </c>
      <c r="Z151" s="18">
        <f t="shared" si="54"/>
        <v>0</v>
      </c>
      <c r="AA151" s="18">
        <f t="shared" si="54"/>
        <v>0</v>
      </c>
      <c r="AB151" s="18">
        <f t="shared" si="54"/>
        <v>0</v>
      </c>
      <c r="AC151" s="18">
        <f t="shared" si="54"/>
        <v>0</v>
      </c>
      <c r="AD151" s="18">
        <f t="shared" si="54"/>
        <v>0</v>
      </c>
      <c r="AE151" s="18">
        <f t="shared" si="54"/>
        <v>0</v>
      </c>
      <c r="AF151" s="18">
        <f t="shared" si="54"/>
        <v>0</v>
      </c>
      <c r="AG151" s="18">
        <f t="shared" si="54"/>
        <v>0</v>
      </c>
      <c r="AH151" s="18">
        <f t="shared" si="54"/>
        <v>0</v>
      </c>
      <c r="AI151" s="18">
        <f t="shared" si="54"/>
        <v>0</v>
      </c>
      <c r="AJ151" s="18">
        <f t="shared" si="54"/>
        <v>0</v>
      </c>
      <c r="AK151" s="18">
        <f t="shared" si="55"/>
        <v>0</v>
      </c>
      <c r="AL151" s="18">
        <f t="shared" si="55"/>
        <v>0</v>
      </c>
      <c r="AM151" s="18">
        <f t="shared" si="55"/>
        <v>0</v>
      </c>
      <c r="AN151" s="18">
        <f t="shared" si="55"/>
        <v>0</v>
      </c>
      <c r="AO151" s="18">
        <f t="shared" si="55"/>
        <v>0</v>
      </c>
      <c r="AP151" s="18">
        <f t="shared" si="55"/>
        <v>0</v>
      </c>
      <c r="AQ151" s="18">
        <f t="shared" si="55"/>
        <v>0</v>
      </c>
      <c r="AR151" s="18">
        <f t="shared" si="55"/>
        <v>0</v>
      </c>
      <c r="AS151" s="18">
        <f t="shared" si="55"/>
        <v>0</v>
      </c>
      <c r="AT151" s="18">
        <f t="shared" si="55"/>
        <v>0</v>
      </c>
      <c r="AU151" s="18">
        <f t="shared" si="55"/>
        <v>0</v>
      </c>
    </row>
    <row r="152" spans="1:48">
      <c r="A152" s="18"/>
      <c r="B152" s="18" t="s">
        <v>215</v>
      </c>
      <c r="C152" s="151"/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8">
        <v>0</v>
      </c>
      <c r="AU152" s="18">
        <v>0</v>
      </c>
    </row>
    <row r="153" spans="1:48">
      <c r="A153" s="18"/>
      <c r="B153" s="18" t="s">
        <v>216</v>
      </c>
      <c r="C153" s="151"/>
      <c r="D153" s="18">
        <v>0</v>
      </c>
      <c r="E153" s="18">
        <f>D153</f>
        <v>0</v>
      </c>
      <c r="F153" s="18">
        <f t="shared" ref="F153:AU153" si="56">E153</f>
        <v>0</v>
      </c>
      <c r="G153" s="18">
        <f t="shared" si="56"/>
        <v>0</v>
      </c>
      <c r="H153" s="18">
        <f t="shared" si="56"/>
        <v>0</v>
      </c>
      <c r="I153" s="18">
        <f t="shared" si="56"/>
        <v>0</v>
      </c>
      <c r="J153" s="18">
        <f t="shared" si="56"/>
        <v>0</v>
      </c>
      <c r="K153" s="18">
        <f t="shared" si="56"/>
        <v>0</v>
      </c>
      <c r="L153" s="18">
        <f t="shared" si="56"/>
        <v>0</v>
      </c>
      <c r="M153" s="18">
        <f t="shared" si="56"/>
        <v>0</v>
      </c>
      <c r="N153" s="18">
        <f t="shared" si="56"/>
        <v>0</v>
      </c>
      <c r="O153" s="18">
        <f t="shared" si="56"/>
        <v>0</v>
      </c>
      <c r="P153" s="18">
        <f t="shared" si="56"/>
        <v>0</v>
      </c>
      <c r="Q153" s="18">
        <f t="shared" si="56"/>
        <v>0</v>
      </c>
      <c r="R153" s="18">
        <f t="shared" si="56"/>
        <v>0</v>
      </c>
      <c r="S153" s="18">
        <f t="shared" si="56"/>
        <v>0</v>
      </c>
      <c r="T153" s="18">
        <f t="shared" si="56"/>
        <v>0</v>
      </c>
      <c r="U153" s="18">
        <f t="shared" si="56"/>
        <v>0</v>
      </c>
      <c r="V153" s="18">
        <f t="shared" si="56"/>
        <v>0</v>
      </c>
      <c r="W153" s="18">
        <f t="shared" si="56"/>
        <v>0</v>
      </c>
      <c r="X153" s="18">
        <f t="shared" si="56"/>
        <v>0</v>
      </c>
      <c r="Y153" s="18">
        <f t="shared" si="56"/>
        <v>0</v>
      </c>
      <c r="Z153" s="18">
        <f t="shared" si="56"/>
        <v>0</v>
      </c>
      <c r="AA153" s="18">
        <f t="shared" si="56"/>
        <v>0</v>
      </c>
      <c r="AB153" s="18">
        <f t="shared" si="56"/>
        <v>0</v>
      </c>
      <c r="AC153" s="18">
        <f t="shared" si="56"/>
        <v>0</v>
      </c>
      <c r="AD153" s="18">
        <f t="shared" si="56"/>
        <v>0</v>
      </c>
      <c r="AE153" s="18">
        <f t="shared" si="56"/>
        <v>0</v>
      </c>
      <c r="AF153" s="18">
        <f t="shared" si="56"/>
        <v>0</v>
      </c>
      <c r="AG153" s="18">
        <f t="shared" si="56"/>
        <v>0</v>
      </c>
      <c r="AH153" s="18">
        <f t="shared" si="56"/>
        <v>0</v>
      </c>
      <c r="AI153" s="18">
        <f t="shared" si="56"/>
        <v>0</v>
      </c>
      <c r="AJ153" s="18">
        <f t="shared" si="56"/>
        <v>0</v>
      </c>
      <c r="AK153" s="18">
        <f t="shared" si="56"/>
        <v>0</v>
      </c>
      <c r="AL153" s="18">
        <f t="shared" si="56"/>
        <v>0</v>
      </c>
      <c r="AM153" s="18">
        <f t="shared" si="56"/>
        <v>0</v>
      </c>
      <c r="AN153" s="18">
        <f t="shared" si="56"/>
        <v>0</v>
      </c>
      <c r="AO153" s="18">
        <f t="shared" si="56"/>
        <v>0</v>
      </c>
      <c r="AP153" s="18">
        <f t="shared" si="56"/>
        <v>0</v>
      </c>
      <c r="AQ153" s="18">
        <f t="shared" si="56"/>
        <v>0</v>
      </c>
      <c r="AR153" s="18">
        <f t="shared" si="56"/>
        <v>0</v>
      </c>
      <c r="AS153" s="18">
        <f t="shared" si="56"/>
        <v>0</v>
      </c>
      <c r="AT153" s="18">
        <f t="shared" si="56"/>
        <v>0</v>
      </c>
      <c r="AU153" s="18">
        <f t="shared" si="56"/>
        <v>0</v>
      </c>
    </row>
    <row r="154" spans="1:48">
      <c r="A154" s="18"/>
      <c r="B154" s="18" t="s">
        <v>217</v>
      </c>
      <c r="C154" s="151"/>
      <c r="D154" s="66">
        <f t="shared" ref="D154:AU154" si="57">SUM(D152:D153)</f>
        <v>0</v>
      </c>
      <c r="E154" s="66">
        <f t="shared" si="57"/>
        <v>0</v>
      </c>
      <c r="F154" s="66">
        <f t="shared" si="57"/>
        <v>0</v>
      </c>
      <c r="G154" s="66">
        <f t="shared" si="57"/>
        <v>0</v>
      </c>
      <c r="H154" s="66">
        <f t="shared" si="57"/>
        <v>0</v>
      </c>
      <c r="I154" s="66">
        <f t="shared" si="57"/>
        <v>0</v>
      </c>
      <c r="J154" s="66">
        <f t="shared" si="57"/>
        <v>0</v>
      </c>
      <c r="K154" s="66">
        <f t="shared" si="57"/>
        <v>0</v>
      </c>
      <c r="L154" s="66">
        <f t="shared" si="57"/>
        <v>0</v>
      </c>
      <c r="M154" s="66">
        <f t="shared" si="57"/>
        <v>0</v>
      </c>
      <c r="N154" s="66">
        <f t="shared" si="57"/>
        <v>0</v>
      </c>
      <c r="O154" s="66">
        <f t="shared" si="57"/>
        <v>0</v>
      </c>
      <c r="P154" s="66">
        <f t="shared" si="57"/>
        <v>0</v>
      </c>
      <c r="Q154" s="66">
        <f t="shared" si="57"/>
        <v>0</v>
      </c>
      <c r="R154" s="66">
        <f t="shared" si="57"/>
        <v>0</v>
      </c>
      <c r="S154" s="66">
        <f t="shared" si="57"/>
        <v>0</v>
      </c>
      <c r="T154" s="66">
        <f t="shared" si="57"/>
        <v>0</v>
      </c>
      <c r="U154" s="66">
        <f t="shared" si="57"/>
        <v>0</v>
      </c>
      <c r="V154" s="66">
        <f t="shared" si="57"/>
        <v>0</v>
      </c>
      <c r="W154" s="66">
        <f t="shared" si="57"/>
        <v>0</v>
      </c>
      <c r="X154" s="66">
        <f t="shared" si="57"/>
        <v>0</v>
      </c>
      <c r="Y154" s="66">
        <f t="shared" si="57"/>
        <v>0</v>
      </c>
      <c r="Z154" s="66">
        <f t="shared" si="57"/>
        <v>0</v>
      </c>
      <c r="AA154" s="66">
        <f t="shared" si="57"/>
        <v>0</v>
      </c>
      <c r="AB154" s="66">
        <f t="shared" si="57"/>
        <v>0</v>
      </c>
      <c r="AC154" s="66">
        <f t="shared" si="57"/>
        <v>0</v>
      </c>
      <c r="AD154" s="66">
        <f t="shared" si="57"/>
        <v>0</v>
      </c>
      <c r="AE154" s="66">
        <f t="shared" si="57"/>
        <v>0</v>
      </c>
      <c r="AF154" s="66">
        <f t="shared" si="57"/>
        <v>0</v>
      </c>
      <c r="AG154" s="66">
        <f t="shared" si="57"/>
        <v>0</v>
      </c>
      <c r="AH154" s="66">
        <f t="shared" si="57"/>
        <v>0</v>
      </c>
      <c r="AI154" s="66">
        <f t="shared" si="57"/>
        <v>0</v>
      </c>
      <c r="AJ154" s="66">
        <f t="shared" si="57"/>
        <v>0</v>
      </c>
      <c r="AK154" s="66">
        <f t="shared" si="57"/>
        <v>0</v>
      </c>
      <c r="AL154" s="66">
        <f t="shared" si="57"/>
        <v>0</v>
      </c>
      <c r="AM154" s="66">
        <f t="shared" si="57"/>
        <v>0</v>
      </c>
      <c r="AN154" s="66">
        <f t="shared" si="57"/>
        <v>0</v>
      </c>
      <c r="AO154" s="66">
        <f t="shared" si="57"/>
        <v>0</v>
      </c>
      <c r="AP154" s="66">
        <f t="shared" si="57"/>
        <v>0</v>
      </c>
      <c r="AQ154" s="66">
        <f t="shared" si="57"/>
        <v>0</v>
      </c>
      <c r="AR154" s="66">
        <f t="shared" si="57"/>
        <v>0</v>
      </c>
      <c r="AS154" s="66">
        <f t="shared" si="57"/>
        <v>0</v>
      </c>
      <c r="AT154" s="66">
        <f t="shared" si="57"/>
        <v>0</v>
      </c>
      <c r="AU154" s="66">
        <f t="shared" si="57"/>
        <v>0</v>
      </c>
    </row>
    <row r="155" spans="1:48">
      <c r="A155" s="18"/>
      <c r="B155" s="18" t="s">
        <v>218</v>
      </c>
      <c r="C155" s="151"/>
      <c r="D155" s="66">
        <f t="shared" ref="D155:AU155" si="58">D150+D154</f>
        <v>0</v>
      </c>
      <c r="E155" s="66">
        <f t="shared" si="58"/>
        <v>0</v>
      </c>
      <c r="F155" s="66">
        <f t="shared" si="58"/>
        <v>0</v>
      </c>
      <c r="G155" s="66">
        <f t="shared" si="58"/>
        <v>0</v>
      </c>
      <c r="H155" s="66">
        <f t="shared" si="58"/>
        <v>0</v>
      </c>
      <c r="I155" s="66">
        <f t="shared" si="58"/>
        <v>0</v>
      </c>
      <c r="J155" s="66">
        <f t="shared" si="58"/>
        <v>0</v>
      </c>
      <c r="K155" s="66">
        <f t="shared" si="58"/>
        <v>0</v>
      </c>
      <c r="L155" s="66">
        <f t="shared" si="58"/>
        <v>0</v>
      </c>
      <c r="M155" s="66">
        <f t="shared" si="58"/>
        <v>0</v>
      </c>
      <c r="N155" s="66">
        <f t="shared" si="58"/>
        <v>0</v>
      </c>
      <c r="O155" s="66">
        <f t="shared" si="58"/>
        <v>0</v>
      </c>
      <c r="P155" s="66">
        <f t="shared" si="58"/>
        <v>0</v>
      </c>
      <c r="Q155" s="66">
        <f t="shared" si="58"/>
        <v>0</v>
      </c>
      <c r="R155" s="66">
        <f t="shared" si="58"/>
        <v>0</v>
      </c>
      <c r="S155" s="66">
        <f t="shared" si="58"/>
        <v>0</v>
      </c>
      <c r="T155" s="66">
        <f t="shared" si="58"/>
        <v>0</v>
      </c>
      <c r="U155" s="66">
        <f t="shared" si="58"/>
        <v>0</v>
      </c>
      <c r="V155" s="66">
        <f t="shared" si="58"/>
        <v>0</v>
      </c>
      <c r="W155" s="66">
        <f t="shared" si="58"/>
        <v>0</v>
      </c>
      <c r="X155" s="66">
        <f t="shared" si="58"/>
        <v>0</v>
      </c>
      <c r="Y155" s="66">
        <f t="shared" si="58"/>
        <v>0</v>
      </c>
      <c r="Z155" s="66">
        <f t="shared" si="58"/>
        <v>0</v>
      </c>
      <c r="AA155" s="66">
        <f t="shared" si="58"/>
        <v>0</v>
      </c>
      <c r="AB155" s="66">
        <f t="shared" si="58"/>
        <v>0</v>
      </c>
      <c r="AC155" s="66">
        <f t="shared" si="58"/>
        <v>0</v>
      </c>
      <c r="AD155" s="66">
        <f t="shared" si="58"/>
        <v>0</v>
      </c>
      <c r="AE155" s="66">
        <f t="shared" si="58"/>
        <v>0</v>
      </c>
      <c r="AF155" s="66">
        <f t="shared" si="58"/>
        <v>0</v>
      </c>
      <c r="AG155" s="66">
        <f t="shared" si="58"/>
        <v>0</v>
      </c>
      <c r="AH155" s="66">
        <f t="shared" si="58"/>
        <v>0</v>
      </c>
      <c r="AI155" s="66">
        <f t="shared" si="58"/>
        <v>0</v>
      </c>
      <c r="AJ155" s="66">
        <f t="shared" si="58"/>
        <v>0</v>
      </c>
      <c r="AK155" s="66">
        <f t="shared" si="58"/>
        <v>0</v>
      </c>
      <c r="AL155" s="66">
        <f t="shared" si="58"/>
        <v>0</v>
      </c>
      <c r="AM155" s="66">
        <f t="shared" si="58"/>
        <v>0</v>
      </c>
      <c r="AN155" s="66">
        <f t="shared" si="58"/>
        <v>0</v>
      </c>
      <c r="AO155" s="66">
        <f t="shared" si="58"/>
        <v>0</v>
      </c>
      <c r="AP155" s="66">
        <f t="shared" si="58"/>
        <v>0</v>
      </c>
      <c r="AQ155" s="66">
        <f t="shared" si="58"/>
        <v>0</v>
      </c>
      <c r="AR155" s="66">
        <f t="shared" si="58"/>
        <v>0</v>
      </c>
      <c r="AS155" s="66">
        <f t="shared" si="58"/>
        <v>0</v>
      </c>
      <c r="AT155" s="66">
        <f t="shared" si="58"/>
        <v>0</v>
      </c>
      <c r="AU155" s="66">
        <f t="shared" si="58"/>
        <v>0</v>
      </c>
    </row>
    <row r="156" spans="1:48">
      <c r="A156" s="18"/>
      <c r="C156" s="15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</row>
    <row r="157" spans="1:48">
      <c r="A157" s="18"/>
      <c r="B157" s="18" t="s">
        <v>219</v>
      </c>
      <c r="C157" s="151"/>
      <c r="D157" s="66">
        <f>D150*(L8/12)</f>
        <v>0</v>
      </c>
      <c r="E157" s="66">
        <f>E150*(L8/12)</f>
        <v>0</v>
      </c>
      <c r="F157" s="66">
        <f>F150*(L8/12)</f>
        <v>0</v>
      </c>
      <c r="G157" s="66">
        <f>G150*(L8/12)</f>
        <v>0</v>
      </c>
      <c r="H157" s="66">
        <f>H150*(L8/12)</f>
        <v>0</v>
      </c>
      <c r="I157" s="66">
        <f>I150*(L8/12)</f>
        <v>0</v>
      </c>
      <c r="J157" s="66">
        <f>J150*(L8/12)</f>
        <v>0</v>
      </c>
      <c r="K157" s="66">
        <f>K150*(L8/12)</f>
        <v>0</v>
      </c>
      <c r="L157" s="66">
        <f>L150*(L8/12)</f>
        <v>0</v>
      </c>
      <c r="M157" s="66">
        <f>M150*(L8/12)</f>
        <v>0</v>
      </c>
      <c r="N157" s="66">
        <f>N150*(L8/12)</f>
        <v>0</v>
      </c>
      <c r="O157" s="66">
        <f>O150*(L8/12)</f>
        <v>0</v>
      </c>
      <c r="P157" s="66">
        <f>P150*(L8/12)</f>
        <v>0</v>
      </c>
      <c r="Q157" s="66">
        <f>Q150*(L8/12)</f>
        <v>0</v>
      </c>
      <c r="R157" s="66">
        <f>R150*(L8/12)</f>
        <v>0</v>
      </c>
      <c r="S157" s="66">
        <f>S150*(L8/12)</f>
        <v>0</v>
      </c>
      <c r="T157" s="66">
        <f>T150*(L8/12)</f>
        <v>0</v>
      </c>
      <c r="U157" s="66">
        <f>U150*(L8/12)</f>
        <v>0</v>
      </c>
      <c r="V157" s="66">
        <f>V150*(L8/12)</f>
        <v>0</v>
      </c>
      <c r="W157" s="66">
        <f>W150*(L8/12)</f>
        <v>0</v>
      </c>
      <c r="X157" s="66">
        <f>X150*(L8/12)</f>
        <v>0</v>
      </c>
      <c r="Y157" s="66">
        <f>Y150*(L8/12)</f>
        <v>0</v>
      </c>
      <c r="Z157" s="66">
        <f>Z150*(L8/12)</f>
        <v>0</v>
      </c>
      <c r="AA157" s="66">
        <f>AA150*(L8/12)</f>
        <v>0</v>
      </c>
      <c r="AB157" s="66">
        <f>AB150*(L8/12)</f>
        <v>0</v>
      </c>
      <c r="AC157" s="66">
        <f>AC150*(L8/12)</f>
        <v>0</v>
      </c>
      <c r="AD157" s="66">
        <f>AD150*(L8/12)</f>
        <v>0</v>
      </c>
      <c r="AE157" s="66">
        <f>AE150*(L8/12)</f>
        <v>0</v>
      </c>
      <c r="AF157" s="66">
        <f>AF150*(L8/12)</f>
        <v>0</v>
      </c>
      <c r="AG157" s="66">
        <f>AG150*(L8/12)</f>
        <v>0</v>
      </c>
      <c r="AH157" s="66">
        <f>AH150*(L8/12)</f>
        <v>0</v>
      </c>
      <c r="AI157" s="66">
        <f>AI150*(L8/12)</f>
        <v>0</v>
      </c>
      <c r="AJ157" s="66">
        <f>AJ150*(L8/12)</f>
        <v>0</v>
      </c>
      <c r="AK157" s="66">
        <f t="shared" ref="AK157:AU157" si="59">AK150*(L8/12)</f>
        <v>0</v>
      </c>
      <c r="AL157" s="66">
        <f t="shared" si="59"/>
        <v>0</v>
      </c>
      <c r="AM157" s="66">
        <f t="shared" si="59"/>
        <v>0</v>
      </c>
      <c r="AN157" s="66">
        <f t="shared" si="59"/>
        <v>0</v>
      </c>
      <c r="AO157" s="66">
        <f t="shared" si="59"/>
        <v>0</v>
      </c>
      <c r="AP157" s="66">
        <f t="shared" si="59"/>
        <v>0</v>
      </c>
      <c r="AQ157" s="66">
        <f t="shared" si="59"/>
        <v>0</v>
      </c>
      <c r="AR157" s="66">
        <f t="shared" si="59"/>
        <v>0</v>
      </c>
      <c r="AS157" s="66">
        <f t="shared" si="59"/>
        <v>0</v>
      </c>
      <c r="AT157" s="66">
        <f t="shared" si="59"/>
        <v>0</v>
      </c>
      <c r="AU157" s="66">
        <f t="shared" si="59"/>
        <v>0</v>
      </c>
    </row>
    <row r="158" spans="1:48">
      <c r="A158" s="18"/>
      <c r="B158" s="18" t="s">
        <v>220</v>
      </c>
      <c r="C158" s="151"/>
      <c r="D158" s="18">
        <f>IF(D151=0,D152*(L8/12),(D152*(L8-(D$151*52))/12))</f>
        <v>0</v>
      </c>
      <c r="E158" s="18">
        <f>IF(E151=0,E152*(L8/12),(E152*(L8-(E$151*52))/12))</f>
        <v>0</v>
      </c>
      <c r="F158" s="18">
        <f>IF(F151=0,F152*(L8/12),(F152*(L8-(F$151*52))/12))</f>
        <v>0</v>
      </c>
      <c r="G158" s="18">
        <f>IF(G151=0,G152*(L8/12),(G152*(L8-(G$151*52))/12))</f>
        <v>0</v>
      </c>
      <c r="H158" s="18">
        <f>IF(H151=0,H152*(L8/12),(H152*(L8-(H$151*52))/12))</f>
        <v>0</v>
      </c>
      <c r="I158" s="18">
        <f>IF(I151=0,I152*(L8/12),(I152*(L8-(I$151*52))/12))</f>
        <v>0</v>
      </c>
      <c r="J158" s="18">
        <f>IF(J151=0,J152*(L8/12),(J152*(L8-(J$151*52))/12))</f>
        <v>0</v>
      </c>
      <c r="K158" s="18">
        <f>IF(K151=0,K152*(L8/12),(K152*(L8-(K$151*52))/12))</f>
        <v>0</v>
      </c>
      <c r="L158" s="18">
        <f>IF(L151=0,L152*(L8/12),(L152*(L8-(L$151*52))/12))</f>
        <v>0</v>
      </c>
      <c r="M158" s="18">
        <f>IF(M151=0,M152*(L8/12),(M152*(L8-(M$151*52))/12))</f>
        <v>0</v>
      </c>
      <c r="N158" s="18">
        <f>IF(N151=0,N152*(L8/12),(N152*(L8-(N$151*52))/12))</f>
        <v>0</v>
      </c>
      <c r="O158" s="18">
        <f>IF(O151=0,O152*(L8/12),(O152*(L8-(O$151*52))/12))</f>
        <v>0</v>
      </c>
      <c r="P158" s="18">
        <f>IF(P151=0,P152*(L8/12),(P152*(L8-(P$151*52))/12))</f>
        <v>0</v>
      </c>
      <c r="Q158" s="18">
        <f>IF(Q151=0,Q152*(L8/12),(Q152*(L8-(Q$151*52))/12))</f>
        <v>0</v>
      </c>
      <c r="R158" s="18">
        <f>IF(R151=0,R152*(L8/12),(R152*(L8-(R$151*52))/12))</f>
        <v>0</v>
      </c>
      <c r="S158" s="18">
        <f>IF(S151=0,S152*(L8/12),(S152*(L8-(S$151*52))/12))</f>
        <v>0</v>
      </c>
      <c r="T158" s="18">
        <f>IF(T151=0,T152*(L8/12),(T152*(L8-(T$151*52))/12))</f>
        <v>0</v>
      </c>
      <c r="U158" s="18">
        <f>IF(U151=0,U152*(L8/12),(U152*(L8-(U$151*52))/12))</f>
        <v>0</v>
      </c>
      <c r="V158" s="18">
        <f>IF(V151=0,V152*(L8/12),(V152*(L8-(V$151*52))/12))</f>
        <v>0</v>
      </c>
      <c r="W158" s="18">
        <f>IF(W151=0,W152*(L8/12),(W152*(L8-(W$151*52))/12))</f>
        <v>0</v>
      </c>
      <c r="X158" s="18">
        <f>IF(X151=0,X152*(L8/12),(X152*(L8-(X$151*52))/12))</f>
        <v>0</v>
      </c>
      <c r="Y158" s="18">
        <f>IF(Y151=0,Y152*(L8/12),(Y152*(L8-(Y$151*52))/12))</f>
        <v>0</v>
      </c>
      <c r="Z158" s="18">
        <f>IF(Z151=0,Z152*(L8/12),(Z152*(L8-(Z$151*52))/12))</f>
        <v>0</v>
      </c>
      <c r="AA158" s="18">
        <f>IF(AA151=0,AA152*(L8/12),(AA152*(L8-(AA$151*52))/12))</f>
        <v>0</v>
      </c>
      <c r="AB158" s="18">
        <f>IF(AB151=0,AB152*(L8/12),(AB152*(L8-(AB$151*52))/12))</f>
        <v>0</v>
      </c>
      <c r="AC158" s="18">
        <f>IF(AC151=0,AC152*(L8/12),(AC152*(L8-(AC$151*52))/12))</f>
        <v>0</v>
      </c>
      <c r="AD158" s="18">
        <f>IF(AD151=0,AD152*(L8/12),(AD152*(L8-(AD$151*52))/12))</f>
        <v>0</v>
      </c>
      <c r="AE158" s="18">
        <f>IF(AE151=0,AE152*(L8/12),(AE152*(L8-(AE$151*52))/12))</f>
        <v>0</v>
      </c>
      <c r="AF158" s="18">
        <f>IF(AF151=0,AF152*(L8/12),(AF152*(L8-(AF$151*52))/12))</f>
        <v>0</v>
      </c>
      <c r="AG158" s="18">
        <f>IF(AG151=0,AG152*(L8/12),(AG152*(L8-(AG$151*52))/12))</f>
        <v>0</v>
      </c>
      <c r="AH158" s="18">
        <f>IF(AH151=0,AH152*(L8/12),(AH152*(L8-(AH$151*52))/12))</f>
        <v>0</v>
      </c>
      <c r="AI158" s="18">
        <f>IF(AI151=0,AI152*(L8/12),(AI152*(L8-(AI$151*52))/12))</f>
        <v>0</v>
      </c>
      <c r="AJ158" s="18">
        <f>IF(AJ151=0,AJ152*(L8/12),(AJ152*(L8-(AJ$151*52))/12))</f>
        <v>0</v>
      </c>
      <c r="AK158" s="18">
        <f t="shared" ref="AK158:AU158" si="60">IF(AK151=0,AK152*(L8/12),(AK152*(L8-(AK$151*52))/12))</f>
        <v>0</v>
      </c>
      <c r="AL158" s="18">
        <f t="shared" si="60"/>
        <v>0</v>
      </c>
      <c r="AM158" s="18">
        <f t="shared" si="60"/>
        <v>0</v>
      </c>
      <c r="AN158" s="18">
        <f t="shared" si="60"/>
        <v>0</v>
      </c>
      <c r="AO158" s="18">
        <f t="shared" si="60"/>
        <v>0</v>
      </c>
      <c r="AP158" s="18">
        <f t="shared" si="60"/>
        <v>0</v>
      </c>
      <c r="AQ158" s="18">
        <f t="shared" si="60"/>
        <v>0</v>
      </c>
      <c r="AR158" s="18">
        <f t="shared" si="60"/>
        <v>0</v>
      </c>
      <c r="AS158" s="18">
        <f t="shared" si="60"/>
        <v>0</v>
      </c>
      <c r="AT158" s="18">
        <f t="shared" si="60"/>
        <v>0</v>
      </c>
      <c r="AU158" s="18">
        <f t="shared" si="60"/>
        <v>0</v>
      </c>
      <c r="AV158" s="18">
        <f>IF(AV153=0,0,AV152*(L8/12))</f>
        <v>0</v>
      </c>
    </row>
    <row r="159" spans="1:48">
      <c r="A159" s="18"/>
      <c r="B159" s="18" t="s">
        <v>221</v>
      </c>
      <c r="C159" s="151"/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</row>
    <row r="160" spans="1:48">
      <c r="A160" s="18"/>
      <c r="B160" s="18" t="s">
        <v>222</v>
      </c>
      <c r="C160" s="151"/>
      <c r="D160" s="66">
        <f t="shared" ref="D160:AU160" si="61">SUM(D158:D159)</f>
        <v>0</v>
      </c>
      <c r="E160" s="66">
        <f t="shared" si="61"/>
        <v>0</v>
      </c>
      <c r="F160" s="66">
        <f t="shared" si="61"/>
        <v>0</v>
      </c>
      <c r="G160" s="66">
        <f t="shared" si="61"/>
        <v>0</v>
      </c>
      <c r="H160" s="66">
        <f t="shared" si="61"/>
        <v>0</v>
      </c>
      <c r="I160" s="66">
        <f t="shared" si="61"/>
        <v>0</v>
      </c>
      <c r="J160" s="66">
        <f t="shared" si="61"/>
        <v>0</v>
      </c>
      <c r="K160" s="66">
        <f t="shared" si="61"/>
        <v>0</v>
      </c>
      <c r="L160" s="66">
        <f t="shared" si="61"/>
        <v>0</v>
      </c>
      <c r="M160" s="66">
        <f t="shared" si="61"/>
        <v>0</v>
      </c>
      <c r="N160" s="66">
        <f t="shared" si="61"/>
        <v>0</v>
      </c>
      <c r="O160" s="66">
        <f t="shared" si="61"/>
        <v>0</v>
      </c>
      <c r="P160" s="66">
        <f t="shared" si="61"/>
        <v>0</v>
      </c>
      <c r="Q160" s="66">
        <f t="shared" si="61"/>
        <v>0</v>
      </c>
      <c r="R160" s="66">
        <f t="shared" si="61"/>
        <v>0</v>
      </c>
      <c r="S160" s="66">
        <f t="shared" si="61"/>
        <v>0</v>
      </c>
      <c r="T160" s="66">
        <f t="shared" si="61"/>
        <v>0</v>
      </c>
      <c r="U160" s="66">
        <f t="shared" si="61"/>
        <v>0</v>
      </c>
      <c r="V160" s="66">
        <f t="shared" si="61"/>
        <v>0</v>
      </c>
      <c r="W160" s="66">
        <f t="shared" si="61"/>
        <v>0</v>
      </c>
      <c r="X160" s="66">
        <f t="shared" si="61"/>
        <v>0</v>
      </c>
      <c r="Y160" s="66">
        <f t="shared" si="61"/>
        <v>0</v>
      </c>
      <c r="Z160" s="66">
        <f t="shared" si="61"/>
        <v>0</v>
      </c>
      <c r="AA160" s="66">
        <f t="shared" si="61"/>
        <v>0</v>
      </c>
      <c r="AB160" s="66">
        <f t="shared" si="61"/>
        <v>0</v>
      </c>
      <c r="AC160" s="66">
        <f t="shared" si="61"/>
        <v>0</v>
      </c>
      <c r="AD160" s="66">
        <f t="shared" si="61"/>
        <v>0</v>
      </c>
      <c r="AE160" s="66">
        <f t="shared" si="61"/>
        <v>0</v>
      </c>
      <c r="AF160" s="66">
        <f t="shared" si="61"/>
        <v>0</v>
      </c>
      <c r="AG160" s="66">
        <f t="shared" si="61"/>
        <v>0</v>
      </c>
      <c r="AH160" s="66">
        <f t="shared" si="61"/>
        <v>0</v>
      </c>
      <c r="AI160" s="66">
        <f t="shared" si="61"/>
        <v>0</v>
      </c>
      <c r="AJ160" s="66">
        <f t="shared" si="61"/>
        <v>0</v>
      </c>
      <c r="AK160" s="66">
        <f t="shared" si="61"/>
        <v>0</v>
      </c>
      <c r="AL160" s="66">
        <f t="shared" si="61"/>
        <v>0</v>
      </c>
      <c r="AM160" s="66">
        <f t="shared" si="61"/>
        <v>0</v>
      </c>
      <c r="AN160" s="66">
        <f t="shared" si="61"/>
        <v>0</v>
      </c>
      <c r="AO160" s="66">
        <f t="shared" si="61"/>
        <v>0</v>
      </c>
      <c r="AP160" s="66">
        <f t="shared" si="61"/>
        <v>0</v>
      </c>
      <c r="AQ160" s="66">
        <f t="shared" si="61"/>
        <v>0</v>
      </c>
      <c r="AR160" s="66">
        <f t="shared" si="61"/>
        <v>0</v>
      </c>
      <c r="AS160" s="66">
        <f t="shared" si="61"/>
        <v>0</v>
      </c>
      <c r="AT160" s="66">
        <f t="shared" si="61"/>
        <v>0</v>
      </c>
      <c r="AU160" s="66">
        <f t="shared" si="61"/>
        <v>0</v>
      </c>
    </row>
    <row r="161" spans="1:48">
      <c r="A161" s="18"/>
      <c r="B161" s="18" t="s">
        <v>223</v>
      </c>
      <c r="C161" s="151"/>
      <c r="D161" s="66">
        <f t="shared" ref="D161:AU161" si="62">D157+D160</f>
        <v>0</v>
      </c>
      <c r="E161" s="66">
        <f t="shared" si="62"/>
        <v>0</v>
      </c>
      <c r="F161" s="66">
        <f t="shared" si="62"/>
        <v>0</v>
      </c>
      <c r="G161" s="66">
        <f t="shared" si="62"/>
        <v>0</v>
      </c>
      <c r="H161" s="66">
        <f t="shared" si="62"/>
        <v>0</v>
      </c>
      <c r="I161" s="66">
        <f t="shared" si="62"/>
        <v>0</v>
      </c>
      <c r="J161" s="66">
        <f t="shared" si="62"/>
        <v>0</v>
      </c>
      <c r="K161" s="66">
        <f t="shared" si="62"/>
        <v>0</v>
      </c>
      <c r="L161" s="66">
        <f t="shared" si="62"/>
        <v>0</v>
      </c>
      <c r="M161" s="66">
        <f t="shared" si="62"/>
        <v>0</v>
      </c>
      <c r="N161" s="66">
        <f t="shared" si="62"/>
        <v>0</v>
      </c>
      <c r="O161" s="66">
        <f t="shared" si="62"/>
        <v>0</v>
      </c>
      <c r="P161" s="66">
        <f t="shared" si="62"/>
        <v>0</v>
      </c>
      <c r="Q161" s="66">
        <f t="shared" si="62"/>
        <v>0</v>
      </c>
      <c r="R161" s="66">
        <f t="shared" si="62"/>
        <v>0</v>
      </c>
      <c r="S161" s="66">
        <f t="shared" si="62"/>
        <v>0</v>
      </c>
      <c r="T161" s="66">
        <f t="shared" si="62"/>
        <v>0</v>
      </c>
      <c r="U161" s="66">
        <f t="shared" si="62"/>
        <v>0</v>
      </c>
      <c r="V161" s="66">
        <f t="shared" si="62"/>
        <v>0</v>
      </c>
      <c r="W161" s="66">
        <f t="shared" si="62"/>
        <v>0</v>
      </c>
      <c r="X161" s="66">
        <f t="shared" si="62"/>
        <v>0</v>
      </c>
      <c r="Y161" s="66">
        <f t="shared" si="62"/>
        <v>0</v>
      </c>
      <c r="Z161" s="66">
        <f t="shared" si="62"/>
        <v>0</v>
      </c>
      <c r="AA161" s="66">
        <f t="shared" si="62"/>
        <v>0</v>
      </c>
      <c r="AB161" s="66">
        <f t="shared" si="62"/>
        <v>0</v>
      </c>
      <c r="AC161" s="66">
        <f t="shared" si="62"/>
        <v>0</v>
      </c>
      <c r="AD161" s="66">
        <f t="shared" si="62"/>
        <v>0</v>
      </c>
      <c r="AE161" s="66">
        <f t="shared" si="62"/>
        <v>0</v>
      </c>
      <c r="AF161" s="66">
        <f t="shared" si="62"/>
        <v>0</v>
      </c>
      <c r="AG161" s="66">
        <f t="shared" si="62"/>
        <v>0</v>
      </c>
      <c r="AH161" s="66">
        <f t="shared" si="62"/>
        <v>0</v>
      </c>
      <c r="AI161" s="66">
        <f t="shared" si="62"/>
        <v>0</v>
      </c>
      <c r="AJ161" s="66">
        <f t="shared" si="62"/>
        <v>0</v>
      </c>
      <c r="AK161" s="66">
        <f t="shared" si="62"/>
        <v>0</v>
      </c>
      <c r="AL161" s="66">
        <f t="shared" si="62"/>
        <v>0</v>
      </c>
      <c r="AM161" s="66">
        <f t="shared" si="62"/>
        <v>0</v>
      </c>
      <c r="AN161" s="66">
        <f t="shared" si="62"/>
        <v>0</v>
      </c>
      <c r="AO161" s="66">
        <f t="shared" si="62"/>
        <v>0</v>
      </c>
      <c r="AP161" s="66">
        <f t="shared" si="62"/>
        <v>0</v>
      </c>
      <c r="AQ161" s="66">
        <f t="shared" si="62"/>
        <v>0</v>
      </c>
      <c r="AR161" s="66">
        <f t="shared" si="62"/>
        <v>0</v>
      </c>
      <c r="AS161" s="66">
        <f t="shared" si="62"/>
        <v>0</v>
      </c>
      <c r="AT161" s="66">
        <f t="shared" si="62"/>
        <v>0</v>
      </c>
      <c r="AU161" s="66">
        <f t="shared" si="62"/>
        <v>0</v>
      </c>
    </row>
    <row r="162" spans="1:48">
      <c r="A162" s="18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</row>
    <row r="163" spans="1:48">
      <c r="A163" s="18"/>
      <c r="B163" s="151" t="s">
        <v>224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</row>
    <row r="164" spans="1:48">
      <c r="A164" s="18"/>
      <c r="B164" s="151" t="s">
        <v>225</v>
      </c>
      <c r="C164" s="222"/>
      <c r="D164" s="222">
        <v>0</v>
      </c>
      <c r="E164" s="222">
        <f>D164</f>
        <v>0</v>
      </c>
      <c r="F164" s="222">
        <f t="shared" ref="F164:U167" si="63">E164</f>
        <v>0</v>
      </c>
      <c r="G164" s="222">
        <f t="shared" si="63"/>
        <v>0</v>
      </c>
      <c r="H164" s="222">
        <f t="shared" si="63"/>
        <v>0</v>
      </c>
      <c r="I164" s="222">
        <f t="shared" si="63"/>
        <v>0</v>
      </c>
      <c r="J164" s="222">
        <f t="shared" si="63"/>
        <v>0</v>
      </c>
      <c r="K164" s="222">
        <f t="shared" si="63"/>
        <v>0</v>
      </c>
      <c r="L164" s="222">
        <f t="shared" si="63"/>
        <v>0</v>
      </c>
      <c r="M164" s="222">
        <f t="shared" si="63"/>
        <v>0</v>
      </c>
      <c r="N164" s="222">
        <f t="shared" si="63"/>
        <v>0</v>
      </c>
      <c r="O164" s="222">
        <f t="shared" si="63"/>
        <v>0</v>
      </c>
      <c r="P164" s="222">
        <f t="shared" si="63"/>
        <v>0</v>
      </c>
      <c r="Q164" s="222">
        <f t="shared" si="63"/>
        <v>0</v>
      </c>
      <c r="R164" s="222">
        <f t="shared" si="63"/>
        <v>0</v>
      </c>
      <c r="S164" s="222">
        <f t="shared" si="63"/>
        <v>0</v>
      </c>
      <c r="T164" s="222">
        <f t="shared" si="63"/>
        <v>0</v>
      </c>
      <c r="U164" s="222">
        <f t="shared" si="63"/>
        <v>0</v>
      </c>
      <c r="V164" s="222">
        <f t="shared" ref="V164:AK167" si="64">U164</f>
        <v>0</v>
      </c>
      <c r="W164" s="222">
        <f t="shared" si="64"/>
        <v>0</v>
      </c>
      <c r="X164" s="222">
        <f t="shared" si="64"/>
        <v>0</v>
      </c>
      <c r="Y164" s="222">
        <f t="shared" si="64"/>
        <v>0</v>
      </c>
      <c r="Z164" s="222">
        <f t="shared" si="64"/>
        <v>0</v>
      </c>
      <c r="AA164" s="222">
        <f t="shared" si="64"/>
        <v>0</v>
      </c>
      <c r="AB164" s="222">
        <f t="shared" si="64"/>
        <v>0</v>
      </c>
      <c r="AC164" s="222">
        <f t="shared" si="64"/>
        <v>0</v>
      </c>
      <c r="AD164" s="222">
        <f t="shared" si="64"/>
        <v>0</v>
      </c>
      <c r="AE164" s="222">
        <f t="shared" si="64"/>
        <v>0</v>
      </c>
      <c r="AF164" s="222">
        <f t="shared" si="64"/>
        <v>0</v>
      </c>
      <c r="AG164" s="222">
        <f t="shared" si="64"/>
        <v>0</v>
      </c>
      <c r="AH164" s="222">
        <f t="shared" si="64"/>
        <v>0</v>
      </c>
      <c r="AI164" s="222">
        <f t="shared" si="64"/>
        <v>0</v>
      </c>
      <c r="AJ164" s="222">
        <f t="shared" si="64"/>
        <v>0</v>
      </c>
      <c r="AK164" s="222">
        <f t="shared" si="64"/>
        <v>0</v>
      </c>
      <c r="AL164" s="222">
        <f t="shared" ref="AK164:AU167" si="65">AK164</f>
        <v>0</v>
      </c>
      <c r="AM164" s="222">
        <f t="shared" si="65"/>
        <v>0</v>
      </c>
      <c r="AN164" s="222">
        <f t="shared" si="65"/>
        <v>0</v>
      </c>
      <c r="AO164" s="222">
        <f t="shared" si="65"/>
        <v>0</v>
      </c>
      <c r="AP164" s="222">
        <f t="shared" si="65"/>
        <v>0</v>
      </c>
      <c r="AQ164" s="222">
        <f t="shared" si="65"/>
        <v>0</v>
      </c>
      <c r="AR164" s="222">
        <f t="shared" si="65"/>
        <v>0</v>
      </c>
      <c r="AS164" s="222">
        <f t="shared" si="65"/>
        <v>0</v>
      </c>
      <c r="AT164" s="222">
        <f t="shared" si="65"/>
        <v>0</v>
      </c>
      <c r="AU164" s="222">
        <f t="shared" si="65"/>
        <v>0</v>
      </c>
    </row>
    <row r="165" spans="1:48">
      <c r="A165" s="18"/>
      <c r="B165" s="151" t="s">
        <v>226</v>
      </c>
      <c r="C165" s="222"/>
      <c r="D165" s="222">
        <v>0</v>
      </c>
      <c r="E165" s="222">
        <f>D165</f>
        <v>0</v>
      </c>
      <c r="F165" s="222">
        <f t="shared" si="63"/>
        <v>0</v>
      </c>
      <c r="G165" s="222">
        <f t="shared" si="63"/>
        <v>0</v>
      </c>
      <c r="H165" s="222">
        <f t="shared" si="63"/>
        <v>0</v>
      </c>
      <c r="I165" s="222">
        <f t="shared" si="63"/>
        <v>0</v>
      </c>
      <c r="J165" s="222">
        <f t="shared" si="63"/>
        <v>0</v>
      </c>
      <c r="K165" s="222">
        <f t="shared" si="63"/>
        <v>0</v>
      </c>
      <c r="L165" s="222">
        <f t="shared" si="63"/>
        <v>0</v>
      </c>
      <c r="M165" s="222">
        <f t="shared" si="63"/>
        <v>0</v>
      </c>
      <c r="N165" s="222">
        <f t="shared" si="63"/>
        <v>0</v>
      </c>
      <c r="O165" s="222">
        <f t="shared" si="63"/>
        <v>0</v>
      </c>
      <c r="P165" s="222">
        <f t="shared" si="63"/>
        <v>0</v>
      </c>
      <c r="Q165" s="222">
        <f t="shared" si="63"/>
        <v>0</v>
      </c>
      <c r="R165" s="222">
        <f t="shared" si="63"/>
        <v>0</v>
      </c>
      <c r="S165" s="222">
        <f t="shared" si="63"/>
        <v>0</v>
      </c>
      <c r="T165" s="222">
        <f t="shared" si="63"/>
        <v>0</v>
      </c>
      <c r="U165" s="222">
        <f t="shared" si="63"/>
        <v>0</v>
      </c>
      <c r="V165" s="222">
        <f t="shared" si="64"/>
        <v>0</v>
      </c>
      <c r="W165" s="222">
        <f t="shared" si="64"/>
        <v>0</v>
      </c>
      <c r="X165" s="222">
        <f t="shared" si="64"/>
        <v>0</v>
      </c>
      <c r="Y165" s="222">
        <f t="shared" si="64"/>
        <v>0</v>
      </c>
      <c r="Z165" s="222">
        <f t="shared" si="64"/>
        <v>0</v>
      </c>
      <c r="AA165" s="222">
        <f t="shared" si="64"/>
        <v>0</v>
      </c>
      <c r="AB165" s="222">
        <f t="shared" si="64"/>
        <v>0</v>
      </c>
      <c r="AC165" s="222">
        <f t="shared" si="64"/>
        <v>0</v>
      </c>
      <c r="AD165" s="222">
        <f t="shared" si="64"/>
        <v>0</v>
      </c>
      <c r="AE165" s="222">
        <f t="shared" si="64"/>
        <v>0</v>
      </c>
      <c r="AF165" s="222">
        <f t="shared" si="64"/>
        <v>0</v>
      </c>
      <c r="AG165" s="222">
        <f t="shared" si="64"/>
        <v>0</v>
      </c>
      <c r="AH165" s="222">
        <f t="shared" si="64"/>
        <v>0</v>
      </c>
      <c r="AI165" s="222">
        <f t="shared" si="64"/>
        <v>0</v>
      </c>
      <c r="AJ165" s="222">
        <f t="shared" si="64"/>
        <v>0</v>
      </c>
      <c r="AK165" s="222">
        <f t="shared" si="65"/>
        <v>0</v>
      </c>
      <c r="AL165" s="222">
        <f t="shared" si="65"/>
        <v>0</v>
      </c>
      <c r="AM165" s="222">
        <f t="shared" si="65"/>
        <v>0</v>
      </c>
      <c r="AN165" s="222">
        <f t="shared" si="65"/>
        <v>0</v>
      </c>
      <c r="AO165" s="222">
        <f t="shared" si="65"/>
        <v>0</v>
      </c>
      <c r="AP165" s="222">
        <f t="shared" si="65"/>
        <v>0</v>
      </c>
      <c r="AQ165" s="222">
        <f t="shared" si="65"/>
        <v>0</v>
      </c>
      <c r="AR165" s="222">
        <f t="shared" si="65"/>
        <v>0</v>
      </c>
      <c r="AS165" s="222">
        <f t="shared" si="65"/>
        <v>0</v>
      </c>
      <c r="AT165" s="222">
        <f t="shared" si="65"/>
        <v>0</v>
      </c>
      <c r="AU165" s="222">
        <f t="shared" si="65"/>
        <v>0</v>
      </c>
    </row>
    <row r="166" spans="1:48">
      <c r="A166" s="18"/>
      <c r="B166" s="151" t="s">
        <v>227</v>
      </c>
      <c r="C166" s="222"/>
      <c r="D166" s="222">
        <v>0</v>
      </c>
      <c r="E166" s="222">
        <f>D166</f>
        <v>0</v>
      </c>
      <c r="F166" s="222">
        <f t="shared" si="63"/>
        <v>0</v>
      </c>
      <c r="G166" s="222">
        <f t="shared" si="63"/>
        <v>0</v>
      </c>
      <c r="H166" s="222">
        <f t="shared" si="63"/>
        <v>0</v>
      </c>
      <c r="I166" s="222">
        <f t="shared" si="63"/>
        <v>0</v>
      </c>
      <c r="J166" s="222">
        <f t="shared" si="63"/>
        <v>0</v>
      </c>
      <c r="K166" s="222">
        <f t="shared" si="63"/>
        <v>0</v>
      </c>
      <c r="L166" s="222">
        <f t="shared" si="63"/>
        <v>0</v>
      </c>
      <c r="M166" s="222">
        <f t="shared" si="63"/>
        <v>0</v>
      </c>
      <c r="N166" s="222">
        <f t="shared" si="63"/>
        <v>0</v>
      </c>
      <c r="O166" s="222">
        <f t="shared" si="63"/>
        <v>0</v>
      </c>
      <c r="P166" s="222">
        <f t="shared" si="63"/>
        <v>0</v>
      </c>
      <c r="Q166" s="222">
        <f t="shared" si="63"/>
        <v>0</v>
      </c>
      <c r="R166" s="222">
        <f t="shared" si="63"/>
        <v>0</v>
      </c>
      <c r="S166" s="222">
        <f t="shared" si="63"/>
        <v>0</v>
      </c>
      <c r="T166" s="222">
        <f t="shared" si="63"/>
        <v>0</v>
      </c>
      <c r="U166" s="222">
        <f t="shared" si="63"/>
        <v>0</v>
      </c>
      <c r="V166" s="222">
        <f t="shared" si="64"/>
        <v>0</v>
      </c>
      <c r="W166" s="222">
        <f t="shared" si="64"/>
        <v>0</v>
      </c>
      <c r="X166" s="222">
        <f t="shared" si="64"/>
        <v>0</v>
      </c>
      <c r="Y166" s="222">
        <f t="shared" si="64"/>
        <v>0</v>
      </c>
      <c r="Z166" s="222">
        <f t="shared" si="64"/>
        <v>0</v>
      </c>
      <c r="AA166" s="222">
        <f t="shared" si="64"/>
        <v>0</v>
      </c>
      <c r="AB166" s="222">
        <f t="shared" si="64"/>
        <v>0</v>
      </c>
      <c r="AC166" s="222">
        <f t="shared" si="64"/>
        <v>0</v>
      </c>
      <c r="AD166" s="222">
        <f t="shared" si="64"/>
        <v>0</v>
      </c>
      <c r="AE166" s="222">
        <f t="shared" si="64"/>
        <v>0</v>
      </c>
      <c r="AF166" s="222">
        <f t="shared" si="64"/>
        <v>0</v>
      </c>
      <c r="AG166" s="222">
        <f t="shared" si="64"/>
        <v>0</v>
      </c>
      <c r="AH166" s="222">
        <f t="shared" si="64"/>
        <v>0</v>
      </c>
      <c r="AI166" s="222">
        <f t="shared" si="64"/>
        <v>0</v>
      </c>
      <c r="AJ166" s="222">
        <f t="shared" si="64"/>
        <v>0</v>
      </c>
      <c r="AK166" s="222">
        <f t="shared" si="65"/>
        <v>0</v>
      </c>
      <c r="AL166" s="222">
        <f t="shared" si="65"/>
        <v>0</v>
      </c>
      <c r="AM166" s="222">
        <f t="shared" si="65"/>
        <v>0</v>
      </c>
      <c r="AN166" s="222">
        <f t="shared" si="65"/>
        <v>0</v>
      </c>
      <c r="AO166" s="222">
        <f t="shared" si="65"/>
        <v>0</v>
      </c>
      <c r="AP166" s="222">
        <f t="shared" si="65"/>
        <v>0</v>
      </c>
      <c r="AQ166" s="222">
        <f t="shared" si="65"/>
        <v>0</v>
      </c>
      <c r="AR166" s="222">
        <f t="shared" si="65"/>
        <v>0</v>
      </c>
      <c r="AS166" s="222">
        <f t="shared" si="65"/>
        <v>0</v>
      </c>
      <c r="AT166" s="222">
        <f t="shared" si="65"/>
        <v>0</v>
      </c>
      <c r="AU166" s="222">
        <f t="shared" si="65"/>
        <v>0</v>
      </c>
    </row>
    <row r="167" spans="1:48">
      <c r="A167" s="18"/>
      <c r="B167" s="151" t="s">
        <v>228</v>
      </c>
      <c r="C167" s="222"/>
      <c r="D167" s="222">
        <v>0</v>
      </c>
      <c r="E167" s="222">
        <f>D167</f>
        <v>0</v>
      </c>
      <c r="F167" s="222">
        <f t="shared" si="63"/>
        <v>0</v>
      </c>
      <c r="G167" s="222">
        <f t="shared" si="63"/>
        <v>0</v>
      </c>
      <c r="H167" s="222">
        <f t="shared" si="63"/>
        <v>0</v>
      </c>
      <c r="I167" s="222">
        <f t="shared" si="63"/>
        <v>0</v>
      </c>
      <c r="J167" s="222">
        <f t="shared" si="63"/>
        <v>0</v>
      </c>
      <c r="K167" s="222">
        <f t="shared" si="63"/>
        <v>0</v>
      </c>
      <c r="L167" s="222">
        <f t="shared" si="63"/>
        <v>0</v>
      </c>
      <c r="M167" s="222">
        <f t="shared" si="63"/>
        <v>0</v>
      </c>
      <c r="N167" s="222">
        <f t="shared" si="63"/>
        <v>0</v>
      </c>
      <c r="O167" s="222">
        <f t="shared" si="63"/>
        <v>0</v>
      </c>
      <c r="P167" s="222">
        <f t="shared" si="63"/>
        <v>0</v>
      </c>
      <c r="Q167" s="222">
        <f t="shared" si="63"/>
        <v>0</v>
      </c>
      <c r="R167" s="222">
        <f t="shared" si="63"/>
        <v>0</v>
      </c>
      <c r="S167" s="222">
        <f t="shared" si="63"/>
        <v>0</v>
      </c>
      <c r="T167" s="222">
        <f t="shared" si="63"/>
        <v>0</v>
      </c>
      <c r="U167" s="222">
        <f t="shared" si="63"/>
        <v>0</v>
      </c>
      <c r="V167" s="222">
        <f t="shared" si="64"/>
        <v>0</v>
      </c>
      <c r="W167" s="222">
        <f t="shared" si="64"/>
        <v>0</v>
      </c>
      <c r="X167" s="222">
        <f t="shared" si="64"/>
        <v>0</v>
      </c>
      <c r="Y167" s="222">
        <f t="shared" si="64"/>
        <v>0</v>
      </c>
      <c r="Z167" s="222">
        <f t="shared" si="64"/>
        <v>0</v>
      </c>
      <c r="AA167" s="222">
        <f t="shared" si="64"/>
        <v>0</v>
      </c>
      <c r="AB167" s="222">
        <f t="shared" si="64"/>
        <v>0</v>
      </c>
      <c r="AC167" s="222">
        <f t="shared" si="64"/>
        <v>0</v>
      </c>
      <c r="AD167" s="222">
        <f t="shared" si="64"/>
        <v>0</v>
      </c>
      <c r="AE167" s="222">
        <f t="shared" si="64"/>
        <v>0</v>
      </c>
      <c r="AF167" s="222">
        <f t="shared" si="64"/>
        <v>0</v>
      </c>
      <c r="AG167" s="222">
        <f t="shared" si="64"/>
        <v>0</v>
      </c>
      <c r="AH167" s="222">
        <f t="shared" si="64"/>
        <v>0</v>
      </c>
      <c r="AI167" s="222">
        <f t="shared" si="64"/>
        <v>0</v>
      </c>
      <c r="AJ167" s="222">
        <f t="shared" si="64"/>
        <v>0</v>
      </c>
      <c r="AK167" s="222">
        <f t="shared" si="65"/>
        <v>0</v>
      </c>
      <c r="AL167" s="222">
        <f t="shared" si="65"/>
        <v>0</v>
      </c>
      <c r="AM167" s="222">
        <f t="shared" si="65"/>
        <v>0</v>
      </c>
      <c r="AN167" s="222">
        <f t="shared" si="65"/>
        <v>0</v>
      </c>
      <c r="AO167" s="222">
        <f t="shared" si="65"/>
        <v>0</v>
      </c>
      <c r="AP167" s="222">
        <f t="shared" si="65"/>
        <v>0</v>
      </c>
      <c r="AQ167" s="222">
        <f t="shared" si="65"/>
        <v>0</v>
      </c>
      <c r="AR167" s="222">
        <f t="shared" si="65"/>
        <v>0</v>
      </c>
      <c r="AS167" s="222">
        <f t="shared" si="65"/>
        <v>0</v>
      </c>
      <c r="AT167" s="222">
        <f t="shared" si="65"/>
        <v>0</v>
      </c>
      <c r="AU167" s="222">
        <f t="shared" si="65"/>
        <v>0</v>
      </c>
    </row>
    <row r="168" spans="1:48">
      <c r="A168" s="18"/>
      <c r="B168" s="151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</row>
    <row r="169" spans="1:48">
      <c r="A169" s="18"/>
      <c r="B169" s="151" t="s">
        <v>229</v>
      </c>
      <c r="C169" s="151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</row>
    <row r="170" spans="1:48">
      <c r="A170" s="18"/>
      <c r="B170" s="151" t="s">
        <v>230</v>
      </c>
      <c r="C170" s="151"/>
      <c r="D170" s="222">
        <f t="shared" ref="D170:AU170" si="66">IF(D157&gt;D164,D164,D157)</f>
        <v>0</v>
      </c>
      <c r="E170" s="222">
        <f t="shared" si="66"/>
        <v>0</v>
      </c>
      <c r="F170" s="222">
        <f t="shared" si="66"/>
        <v>0</v>
      </c>
      <c r="G170" s="222">
        <f t="shared" si="66"/>
        <v>0</v>
      </c>
      <c r="H170" s="222">
        <f t="shared" si="66"/>
        <v>0</v>
      </c>
      <c r="I170" s="222">
        <f t="shared" si="66"/>
        <v>0</v>
      </c>
      <c r="J170" s="222">
        <f t="shared" si="66"/>
        <v>0</v>
      </c>
      <c r="K170" s="222">
        <f t="shared" si="66"/>
        <v>0</v>
      </c>
      <c r="L170" s="222">
        <f t="shared" si="66"/>
        <v>0</v>
      </c>
      <c r="M170" s="222">
        <f t="shared" si="66"/>
        <v>0</v>
      </c>
      <c r="N170" s="222">
        <f t="shared" si="66"/>
        <v>0</v>
      </c>
      <c r="O170" s="222">
        <f t="shared" si="66"/>
        <v>0</v>
      </c>
      <c r="P170" s="222">
        <f t="shared" si="66"/>
        <v>0</v>
      </c>
      <c r="Q170" s="222">
        <f t="shared" si="66"/>
        <v>0</v>
      </c>
      <c r="R170" s="222">
        <f t="shared" si="66"/>
        <v>0</v>
      </c>
      <c r="S170" s="222">
        <f t="shared" si="66"/>
        <v>0</v>
      </c>
      <c r="T170" s="222">
        <f t="shared" si="66"/>
        <v>0</v>
      </c>
      <c r="U170" s="222">
        <f t="shared" si="66"/>
        <v>0</v>
      </c>
      <c r="V170" s="222">
        <f t="shared" si="66"/>
        <v>0</v>
      </c>
      <c r="W170" s="222">
        <f t="shared" si="66"/>
        <v>0</v>
      </c>
      <c r="X170" s="222">
        <f t="shared" si="66"/>
        <v>0</v>
      </c>
      <c r="Y170" s="222">
        <f t="shared" si="66"/>
        <v>0</v>
      </c>
      <c r="Z170" s="222">
        <f t="shared" si="66"/>
        <v>0</v>
      </c>
      <c r="AA170" s="222">
        <f t="shared" si="66"/>
        <v>0</v>
      </c>
      <c r="AB170" s="222">
        <f t="shared" si="66"/>
        <v>0</v>
      </c>
      <c r="AC170" s="222">
        <f t="shared" si="66"/>
        <v>0</v>
      </c>
      <c r="AD170" s="222">
        <f t="shared" si="66"/>
        <v>0</v>
      </c>
      <c r="AE170" s="222">
        <f t="shared" si="66"/>
        <v>0</v>
      </c>
      <c r="AF170" s="222">
        <f t="shared" si="66"/>
        <v>0</v>
      </c>
      <c r="AG170" s="222">
        <f t="shared" si="66"/>
        <v>0</v>
      </c>
      <c r="AH170" s="222">
        <f t="shared" si="66"/>
        <v>0</v>
      </c>
      <c r="AI170" s="222">
        <f t="shared" si="66"/>
        <v>0</v>
      </c>
      <c r="AJ170" s="222">
        <f t="shared" si="66"/>
        <v>0</v>
      </c>
      <c r="AK170" s="222">
        <f t="shared" si="66"/>
        <v>0</v>
      </c>
      <c r="AL170" s="222">
        <f t="shared" si="66"/>
        <v>0</v>
      </c>
      <c r="AM170" s="222">
        <f t="shared" si="66"/>
        <v>0</v>
      </c>
      <c r="AN170" s="222">
        <f t="shared" si="66"/>
        <v>0</v>
      </c>
      <c r="AO170" s="222">
        <f t="shared" si="66"/>
        <v>0</v>
      </c>
      <c r="AP170" s="222">
        <f t="shared" si="66"/>
        <v>0</v>
      </c>
      <c r="AQ170" s="222">
        <f t="shared" si="66"/>
        <v>0</v>
      </c>
      <c r="AR170" s="222">
        <f t="shared" si="66"/>
        <v>0</v>
      </c>
      <c r="AS170" s="222">
        <f t="shared" si="66"/>
        <v>0</v>
      </c>
      <c r="AT170" s="222">
        <f t="shared" si="66"/>
        <v>0</v>
      </c>
      <c r="AU170" s="222">
        <f t="shared" si="66"/>
        <v>0</v>
      </c>
    </row>
    <row r="171" spans="1:48">
      <c r="A171" s="18"/>
      <c r="B171" s="151" t="s">
        <v>231</v>
      </c>
      <c r="C171" s="151"/>
      <c r="D171" s="222">
        <f>IF(D$157&lt;D164,0,IF(D$157&gt;D164+D165,D165,D$157-D164))</f>
        <v>0</v>
      </c>
      <c r="E171" s="222">
        <f t="shared" ref="E171:AU171" si="67">IF(E$157&lt;E164,0,IF(E$157&gt;E164+E165,E165,E$157-E164))</f>
        <v>0</v>
      </c>
      <c r="F171" s="222">
        <f t="shared" si="67"/>
        <v>0</v>
      </c>
      <c r="G171" s="222">
        <f t="shared" si="67"/>
        <v>0</v>
      </c>
      <c r="H171" s="222">
        <f t="shared" si="67"/>
        <v>0</v>
      </c>
      <c r="I171" s="222">
        <f t="shared" si="67"/>
        <v>0</v>
      </c>
      <c r="J171" s="222">
        <f t="shared" si="67"/>
        <v>0</v>
      </c>
      <c r="K171" s="222">
        <f t="shared" si="67"/>
        <v>0</v>
      </c>
      <c r="L171" s="222">
        <f t="shared" si="67"/>
        <v>0</v>
      </c>
      <c r="M171" s="222">
        <f t="shared" si="67"/>
        <v>0</v>
      </c>
      <c r="N171" s="222">
        <f t="shared" si="67"/>
        <v>0</v>
      </c>
      <c r="O171" s="222">
        <f t="shared" si="67"/>
        <v>0</v>
      </c>
      <c r="P171" s="222">
        <f t="shared" si="67"/>
        <v>0</v>
      </c>
      <c r="Q171" s="222">
        <f t="shared" si="67"/>
        <v>0</v>
      </c>
      <c r="R171" s="222">
        <f t="shared" si="67"/>
        <v>0</v>
      </c>
      <c r="S171" s="222">
        <f t="shared" si="67"/>
        <v>0</v>
      </c>
      <c r="T171" s="222">
        <f t="shared" si="67"/>
        <v>0</v>
      </c>
      <c r="U171" s="222">
        <f t="shared" si="67"/>
        <v>0</v>
      </c>
      <c r="V171" s="222">
        <f t="shared" si="67"/>
        <v>0</v>
      </c>
      <c r="W171" s="222">
        <f t="shared" si="67"/>
        <v>0</v>
      </c>
      <c r="X171" s="222">
        <f t="shared" si="67"/>
        <v>0</v>
      </c>
      <c r="Y171" s="222">
        <f t="shared" si="67"/>
        <v>0</v>
      </c>
      <c r="Z171" s="222">
        <f t="shared" si="67"/>
        <v>0</v>
      </c>
      <c r="AA171" s="222">
        <f t="shared" si="67"/>
        <v>0</v>
      </c>
      <c r="AB171" s="222">
        <f t="shared" si="67"/>
        <v>0</v>
      </c>
      <c r="AC171" s="222">
        <f t="shared" si="67"/>
        <v>0</v>
      </c>
      <c r="AD171" s="222">
        <f t="shared" si="67"/>
        <v>0</v>
      </c>
      <c r="AE171" s="222">
        <f t="shared" si="67"/>
        <v>0</v>
      </c>
      <c r="AF171" s="222">
        <f t="shared" si="67"/>
        <v>0</v>
      </c>
      <c r="AG171" s="222">
        <f t="shared" si="67"/>
        <v>0</v>
      </c>
      <c r="AH171" s="222">
        <f t="shared" si="67"/>
        <v>0</v>
      </c>
      <c r="AI171" s="222">
        <f t="shared" si="67"/>
        <v>0</v>
      </c>
      <c r="AJ171" s="222">
        <f t="shared" si="67"/>
        <v>0</v>
      </c>
      <c r="AK171" s="222">
        <f t="shared" si="67"/>
        <v>0</v>
      </c>
      <c r="AL171" s="222">
        <f t="shared" si="67"/>
        <v>0</v>
      </c>
      <c r="AM171" s="222">
        <f t="shared" si="67"/>
        <v>0</v>
      </c>
      <c r="AN171" s="222">
        <f t="shared" si="67"/>
        <v>0</v>
      </c>
      <c r="AO171" s="222">
        <f t="shared" si="67"/>
        <v>0</v>
      </c>
      <c r="AP171" s="222">
        <f t="shared" si="67"/>
        <v>0</v>
      </c>
      <c r="AQ171" s="222">
        <f t="shared" si="67"/>
        <v>0</v>
      </c>
      <c r="AR171" s="222">
        <f t="shared" si="67"/>
        <v>0</v>
      </c>
      <c r="AS171" s="222">
        <f t="shared" si="67"/>
        <v>0</v>
      </c>
      <c r="AT171" s="222">
        <f t="shared" si="67"/>
        <v>0</v>
      </c>
      <c r="AU171" s="222">
        <f t="shared" si="67"/>
        <v>0</v>
      </c>
    </row>
    <row r="172" spans="1:48">
      <c r="A172" s="18"/>
      <c r="B172" s="151" t="s">
        <v>232</v>
      </c>
      <c r="C172" s="230"/>
      <c r="D172" s="222">
        <f>IF(D$157&lt;D164+D165,0,IF(D$157&gt;D164+D165+D166,D166,D$157-D164-D165))</f>
        <v>0</v>
      </c>
      <c r="E172" s="222">
        <f t="shared" ref="E172:AU172" si="68">IF(E$157&lt;E164+E165,0,IF(E$157&gt;E164+E165+E166,E166,E$157-E164-E165))</f>
        <v>0</v>
      </c>
      <c r="F172" s="222">
        <f t="shared" si="68"/>
        <v>0</v>
      </c>
      <c r="G172" s="222">
        <f t="shared" si="68"/>
        <v>0</v>
      </c>
      <c r="H172" s="222">
        <f t="shared" si="68"/>
        <v>0</v>
      </c>
      <c r="I172" s="222">
        <f t="shared" si="68"/>
        <v>0</v>
      </c>
      <c r="J172" s="222">
        <f t="shared" si="68"/>
        <v>0</v>
      </c>
      <c r="K172" s="222">
        <f t="shared" si="68"/>
        <v>0</v>
      </c>
      <c r="L172" s="222">
        <f t="shared" si="68"/>
        <v>0</v>
      </c>
      <c r="M172" s="222">
        <f t="shared" si="68"/>
        <v>0</v>
      </c>
      <c r="N172" s="222">
        <f t="shared" si="68"/>
        <v>0</v>
      </c>
      <c r="O172" s="222">
        <f t="shared" si="68"/>
        <v>0</v>
      </c>
      <c r="P172" s="222">
        <f t="shared" si="68"/>
        <v>0</v>
      </c>
      <c r="Q172" s="222">
        <f t="shared" si="68"/>
        <v>0</v>
      </c>
      <c r="R172" s="222">
        <f t="shared" si="68"/>
        <v>0</v>
      </c>
      <c r="S172" s="222">
        <f t="shared" si="68"/>
        <v>0</v>
      </c>
      <c r="T172" s="222">
        <f t="shared" si="68"/>
        <v>0</v>
      </c>
      <c r="U172" s="222">
        <f t="shared" si="68"/>
        <v>0</v>
      </c>
      <c r="V172" s="222">
        <f t="shared" si="68"/>
        <v>0</v>
      </c>
      <c r="W172" s="222">
        <f t="shared" si="68"/>
        <v>0</v>
      </c>
      <c r="X172" s="222">
        <f t="shared" si="68"/>
        <v>0</v>
      </c>
      <c r="Y172" s="222">
        <f t="shared" si="68"/>
        <v>0</v>
      </c>
      <c r="Z172" s="222">
        <f t="shared" si="68"/>
        <v>0</v>
      </c>
      <c r="AA172" s="222">
        <f t="shared" si="68"/>
        <v>0</v>
      </c>
      <c r="AB172" s="222">
        <f t="shared" si="68"/>
        <v>0</v>
      </c>
      <c r="AC172" s="222">
        <f t="shared" si="68"/>
        <v>0</v>
      </c>
      <c r="AD172" s="222">
        <f t="shared" si="68"/>
        <v>0</v>
      </c>
      <c r="AE172" s="222">
        <f t="shared" si="68"/>
        <v>0</v>
      </c>
      <c r="AF172" s="222">
        <f t="shared" si="68"/>
        <v>0</v>
      </c>
      <c r="AG172" s="222">
        <f t="shared" si="68"/>
        <v>0</v>
      </c>
      <c r="AH172" s="222">
        <f t="shared" si="68"/>
        <v>0</v>
      </c>
      <c r="AI172" s="222">
        <f t="shared" si="68"/>
        <v>0</v>
      </c>
      <c r="AJ172" s="222">
        <f t="shared" si="68"/>
        <v>0</v>
      </c>
      <c r="AK172" s="222">
        <f t="shared" si="68"/>
        <v>0</v>
      </c>
      <c r="AL172" s="222">
        <f t="shared" si="68"/>
        <v>0</v>
      </c>
      <c r="AM172" s="222">
        <f t="shared" si="68"/>
        <v>0</v>
      </c>
      <c r="AN172" s="222">
        <f t="shared" si="68"/>
        <v>0</v>
      </c>
      <c r="AO172" s="222">
        <f t="shared" si="68"/>
        <v>0</v>
      </c>
      <c r="AP172" s="222">
        <f t="shared" si="68"/>
        <v>0</v>
      </c>
      <c r="AQ172" s="222">
        <f t="shared" si="68"/>
        <v>0</v>
      </c>
      <c r="AR172" s="222">
        <f t="shared" si="68"/>
        <v>0</v>
      </c>
      <c r="AS172" s="222">
        <f t="shared" si="68"/>
        <v>0</v>
      </c>
      <c r="AT172" s="222">
        <f t="shared" si="68"/>
        <v>0</v>
      </c>
      <c r="AU172" s="222">
        <f t="shared" si="68"/>
        <v>0</v>
      </c>
      <c r="AV172" s="222">
        <f>IF(AND(AV$158&lt;SUM(AV$164:AV165),AV159&gt;AV166),AV166,IF((AV166-AV158+AV164+AV165&lt;AV159),AV166-AV158+AV164+AV165,AV159))</f>
        <v>0</v>
      </c>
    </row>
    <row r="173" spans="1:48">
      <c r="A173" s="18"/>
      <c r="B173" s="151" t="s">
        <v>233</v>
      </c>
      <c r="C173" s="151"/>
      <c r="D173" s="222">
        <f>IF(D$157&lt;D164+D165+D166,0,D$157-D170-D171-D172)</f>
        <v>0</v>
      </c>
      <c r="E173" s="222">
        <f t="shared" ref="E173:AU173" si="69">IF(E$157&lt;E164+E165+E166,0,E$157-E170-E171-E172)</f>
        <v>0</v>
      </c>
      <c r="F173" s="222">
        <f t="shared" si="69"/>
        <v>0</v>
      </c>
      <c r="G173" s="222">
        <f t="shared" si="69"/>
        <v>0</v>
      </c>
      <c r="H173" s="222">
        <f t="shared" si="69"/>
        <v>0</v>
      </c>
      <c r="I173" s="222">
        <f t="shared" si="69"/>
        <v>0</v>
      </c>
      <c r="J173" s="222">
        <f t="shared" si="69"/>
        <v>0</v>
      </c>
      <c r="K173" s="222">
        <f t="shared" si="69"/>
        <v>0</v>
      </c>
      <c r="L173" s="222">
        <f t="shared" si="69"/>
        <v>0</v>
      </c>
      <c r="M173" s="222">
        <f t="shared" si="69"/>
        <v>0</v>
      </c>
      <c r="N173" s="222">
        <f t="shared" si="69"/>
        <v>0</v>
      </c>
      <c r="O173" s="222">
        <f t="shared" si="69"/>
        <v>0</v>
      </c>
      <c r="P173" s="222">
        <f t="shared" si="69"/>
        <v>0</v>
      </c>
      <c r="Q173" s="222">
        <f t="shared" si="69"/>
        <v>0</v>
      </c>
      <c r="R173" s="222">
        <f t="shared" si="69"/>
        <v>0</v>
      </c>
      <c r="S173" s="222">
        <f t="shared" si="69"/>
        <v>0</v>
      </c>
      <c r="T173" s="222">
        <f t="shared" si="69"/>
        <v>0</v>
      </c>
      <c r="U173" s="222">
        <f t="shared" si="69"/>
        <v>0</v>
      </c>
      <c r="V173" s="222">
        <f t="shared" si="69"/>
        <v>0</v>
      </c>
      <c r="W173" s="222">
        <f t="shared" si="69"/>
        <v>0</v>
      </c>
      <c r="X173" s="222">
        <f t="shared" si="69"/>
        <v>0</v>
      </c>
      <c r="Y173" s="222">
        <f t="shared" si="69"/>
        <v>0</v>
      </c>
      <c r="Z173" s="222">
        <f t="shared" si="69"/>
        <v>0</v>
      </c>
      <c r="AA173" s="222">
        <f t="shared" si="69"/>
        <v>0</v>
      </c>
      <c r="AB173" s="222">
        <f t="shared" si="69"/>
        <v>0</v>
      </c>
      <c r="AC173" s="222">
        <f t="shared" si="69"/>
        <v>0</v>
      </c>
      <c r="AD173" s="222">
        <f t="shared" si="69"/>
        <v>0</v>
      </c>
      <c r="AE173" s="222">
        <f t="shared" si="69"/>
        <v>0</v>
      </c>
      <c r="AF173" s="222">
        <f t="shared" si="69"/>
        <v>0</v>
      </c>
      <c r="AG173" s="222">
        <f t="shared" si="69"/>
        <v>0</v>
      </c>
      <c r="AH173" s="222">
        <f t="shared" si="69"/>
        <v>0</v>
      </c>
      <c r="AI173" s="222">
        <f t="shared" si="69"/>
        <v>0</v>
      </c>
      <c r="AJ173" s="222">
        <f t="shared" si="69"/>
        <v>0</v>
      </c>
      <c r="AK173" s="222">
        <f t="shared" si="69"/>
        <v>0</v>
      </c>
      <c r="AL173" s="222">
        <f t="shared" si="69"/>
        <v>0</v>
      </c>
      <c r="AM173" s="222">
        <f t="shared" si="69"/>
        <v>0</v>
      </c>
      <c r="AN173" s="222">
        <f t="shared" si="69"/>
        <v>0</v>
      </c>
      <c r="AO173" s="222">
        <f t="shared" si="69"/>
        <v>0</v>
      </c>
      <c r="AP173" s="222">
        <f t="shared" si="69"/>
        <v>0</v>
      </c>
      <c r="AQ173" s="222">
        <f t="shared" si="69"/>
        <v>0</v>
      </c>
      <c r="AR173" s="222">
        <f t="shared" si="69"/>
        <v>0</v>
      </c>
      <c r="AS173" s="222">
        <f t="shared" si="69"/>
        <v>0</v>
      </c>
      <c r="AT173" s="222">
        <f t="shared" si="69"/>
        <v>0</v>
      </c>
      <c r="AU173" s="222">
        <f t="shared" si="69"/>
        <v>0</v>
      </c>
      <c r="AV173" s="222">
        <f>IF(AV$159-SUM(AV$170:AV172)&gt;0,IF(AV$158&gt;SUM(AV$164:AV167),0,AV$159-SUM(AV$170:AV172)),0)</f>
        <v>0</v>
      </c>
    </row>
    <row r="174" spans="1:48">
      <c r="A174" s="18"/>
      <c r="B174" s="151"/>
      <c r="C174" s="230"/>
      <c r="D174" s="231">
        <f t="shared" ref="D174:AU174" si="70">SUM(D170:D173)</f>
        <v>0</v>
      </c>
      <c r="E174" s="231">
        <f t="shared" si="70"/>
        <v>0</v>
      </c>
      <c r="F174" s="231">
        <f t="shared" si="70"/>
        <v>0</v>
      </c>
      <c r="G174" s="231">
        <f t="shared" si="70"/>
        <v>0</v>
      </c>
      <c r="H174" s="231">
        <f t="shared" si="70"/>
        <v>0</v>
      </c>
      <c r="I174" s="231">
        <f t="shared" si="70"/>
        <v>0</v>
      </c>
      <c r="J174" s="231">
        <f t="shared" si="70"/>
        <v>0</v>
      </c>
      <c r="K174" s="231">
        <f t="shared" si="70"/>
        <v>0</v>
      </c>
      <c r="L174" s="231">
        <f t="shared" si="70"/>
        <v>0</v>
      </c>
      <c r="M174" s="231">
        <f t="shared" si="70"/>
        <v>0</v>
      </c>
      <c r="N174" s="231">
        <f t="shared" si="70"/>
        <v>0</v>
      </c>
      <c r="O174" s="231">
        <f t="shared" si="70"/>
        <v>0</v>
      </c>
      <c r="P174" s="231">
        <f t="shared" si="70"/>
        <v>0</v>
      </c>
      <c r="Q174" s="231">
        <f t="shared" si="70"/>
        <v>0</v>
      </c>
      <c r="R174" s="231">
        <f t="shared" si="70"/>
        <v>0</v>
      </c>
      <c r="S174" s="231">
        <f t="shared" si="70"/>
        <v>0</v>
      </c>
      <c r="T174" s="231">
        <f t="shared" si="70"/>
        <v>0</v>
      </c>
      <c r="U174" s="231">
        <f t="shared" si="70"/>
        <v>0</v>
      </c>
      <c r="V174" s="231">
        <f t="shared" si="70"/>
        <v>0</v>
      </c>
      <c r="W174" s="231">
        <f t="shared" si="70"/>
        <v>0</v>
      </c>
      <c r="X174" s="231">
        <f t="shared" si="70"/>
        <v>0</v>
      </c>
      <c r="Y174" s="231">
        <f t="shared" si="70"/>
        <v>0</v>
      </c>
      <c r="Z174" s="231">
        <f t="shared" si="70"/>
        <v>0</v>
      </c>
      <c r="AA174" s="231">
        <f t="shared" si="70"/>
        <v>0</v>
      </c>
      <c r="AB174" s="231">
        <f t="shared" si="70"/>
        <v>0</v>
      </c>
      <c r="AC174" s="231">
        <f t="shared" si="70"/>
        <v>0</v>
      </c>
      <c r="AD174" s="231">
        <f t="shared" si="70"/>
        <v>0</v>
      </c>
      <c r="AE174" s="231">
        <f t="shared" si="70"/>
        <v>0</v>
      </c>
      <c r="AF174" s="231">
        <f t="shared" si="70"/>
        <v>0</v>
      </c>
      <c r="AG174" s="231">
        <f t="shared" si="70"/>
        <v>0</v>
      </c>
      <c r="AH174" s="231">
        <f t="shared" si="70"/>
        <v>0</v>
      </c>
      <c r="AI174" s="231">
        <f t="shared" si="70"/>
        <v>0</v>
      </c>
      <c r="AJ174" s="231">
        <f t="shared" si="70"/>
        <v>0</v>
      </c>
      <c r="AK174" s="231">
        <f t="shared" si="70"/>
        <v>0</v>
      </c>
      <c r="AL174" s="231">
        <f t="shared" si="70"/>
        <v>0</v>
      </c>
      <c r="AM174" s="231">
        <f t="shared" si="70"/>
        <v>0</v>
      </c>
      <c r="AN174" s="231">
        <f t="shared" si="70"/>
        <v>0</v>
      </c>
      <c r="AO174" s="231">
        <f t="shared" si="70"/>
        <v>0</v>
      </c>
      <c r="AP174" s="231">
        <f t="shared" si="70"/>
        <v>0</v>
      </c>
      <c r="AQ174" s="231">
        <f t="shared" si="70"/>
        <v>0</v>
      </c>
      <c r="AR174" s="231">
        <f t="shared" si="70"/>
        <v>0</v>
      </c>
      <c r="AS174" s="231">
        <f t="shared" si="70"/>
        <v>0</v>
      </c>
      <c r="AT174" s="231">
        <f t="shared" si="70"/>
        <v>0</v>
      </c>
      <c r="AU174" s="231">
        <f t="shared" si="70"/>
        <v>0</v>
      </c>
    </row>
    <row r="175" spans="1:48">
      <c r="A175" s="18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</row>
    <row r="176" spans="1:48">
      <c r="A176" s="18"/>
      <c r="B176" s="151" t="s">
        <v>234</v>
      </c>
      <c r="C176" s="219" t="s">
        <v>148</v>
      </c>
      <c r="D176" s="222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</row>
    <row r="177" spans="1:47">
      <c r="A177" s="18"/>
      <c r="B177" s="151" t="s">
        <v>230</v>
      </c>
      <c r="C177" s="230">
        <f>D170+D177</f>
        <v>0</v>
      </c>
      <c r="D177" s="222">
        <f t="shared" ref="D177:AU177" si="71">IF(D170=D164,0,IF(D160&gt;D164,D164-D170,D160))</f>
        <v>0</v>
      </c>
      <c r="E177" s="222">
        <f t="shared" si="71"/>
        <v>0</v>
      </c>
      <c r="F177" s="222">
        <f t="shared" si="71"/>
        <v>0</v>
      </c>
      <c r="G177" s="222">
        <f t="shared" si="71"/>
        <v>0</v>
      </c>
      <c r="H177" s="222">
        <f t="shared" si="71"/>
        <v>0</v>
      </c>
      <c r="I177" s="222">
        <f t="shared" si="71"/>
        <v>0</v>
      </c>
      <c r="J177" s="222">
        <f t="shared" si="71"/>
        <v>0</v>
      </c>
      <c r="K177" s="222">
        <f t="shared" si="71"/>
        <v>0</v>
      </c>
      <c r="L177" s="222">
        <f t="shared" si="71"/>
        <v>0</v>
      </c>
      <c r="M177" s="222">
        <f t="shared" si="71"/>
        <v>0</v>
      </c>
      <c r="N177" s="222">
        <f t="shared" si="71"/>
        <v>0</v>
      </c>
      <c r="O177" s="222">
        <f t="shared" si="71"/>
        <v>0</v>
      </c>
      <c r="P177" s="222">
        <f t="shared" si="71"/>
        <v>0</v>
      </c>
      <c r="Q177" s="222">
        <f t="shared" si="71"/>
        <v>0</v>
      </c>
      <c r="R177" s="222">
        <f t="shared" si="71"/>
        <v>0</v>
      </c>
      <c r="S177" s="222">
        <f t="shared" si="71"/>
        <v>0</v>
      </c>
      <c r="T177" s="222">
        <f t="shared" si="71"/>
        <v>0</v>
      </c>
      <c r="U177" s="222">
        <f t="shared" si="71"/>
        <v>0</v>
      </c>
      <c r="V177" s="222">
        <f t="shared" si="71"/>
        <v>0</v>
      </c>
      <c r="W177" s="222">
        <f t="shared" si="71"/>
        <v>0</v>
      </c>
      <c r="X177" s="222">
        <f t="shared" si="71"/>
        <v>0</v>
      </c>
      <c r="Y177" s="222">
        <f t="shared" si="71"/>
        <v>0</v>
      </c>
      <c r="Z177" s="222">
        <f t="shared" si="71"/>
        <v>0</v>
      </c>
      <c r="AA177" s="222">
        <f t="shared" si="71"/>
        <v>0</v>
      </c>
      <c r="AB177" s="222">
        <f t="shared" si="71"/>
        <v>0</v>
      </c>
      <c r="AC177" s="222">
        <f t="shared" si="71"/>
        <v>0</v>
      </c>
      <c r="AD177" s="222">
        <f t="shared" si="71"/>
        <v>0</v>
      </c>
      <c r="AE177" s="222">
        <f t="shared" si="71"/>
        <v>0</v>
      </c>
      <c r="AF177" s="222">
        <f t="shared" si="71"/>
        <v>0</v>
      </c>
      <c r="AG177" s="222">
        <f t="shared" si="71"/>
        <v>0</v>
      </c>
      <c r="AH177" s="222">
        <f t="shared" si="71"/>
        <v>0</v>
      </c>
      <c r="AI177" s="222">
        <f t="shared" si="71"/>
        <v>0</v>
      </c>
      <c r="AJ177" s="222">
        <f t="shared" si="71"/>
        <v>0</v>
      </c>
      <c r="AK177" s="222">
        <f t="shared" si="71"/>
        <v>0</v>
      </c>
      <c r="AL177" s="222">
        <f t="shared" si="71"/>
        <v>0</v>
      </c>
      <c r="AM177" s="222">
        <f t="shared" si="71"/>
        <v>0</v>
      </c>
      <c r="AN177" s="222">
        <f t="shared" si="71"/>
        <v>0</v>
      </c>
      <c r="AO177" s="222">
        <f t="shared" si="71"/>
        <v>0</v>
      </c>
      <c r="AP177" s="222">
        <f t="shared" si="71"/>
        <v>0</v>
      </c>
      <c r="AQ177" s="222">
        <f t="shared" si="71"/>
        <v>0</v>
      </c>
      <c r="AR177" s="222">
        <f t="shared" si="71"/>
        <v>0</v>
      </c>
      <c r="AS177" s="222">
        <f t="shared" si="71"/>
        <v>0</v>
      </c>
      <c r="AT177" s="222">
        <f t="shared" si="71"/>
        <v>0</v>
      </c>
      <c r="AU177" s="222">
        <f t="shared" si="71"/>
        <v>0</v>
      </c>
    </row>
    <row r="178" spans="1:47">
      <c r="A178" s="18"/>
      <c r="B178" s="151" t="s">
        <v>231</v>
      </c>
      <c r="C178" s="230">
        <f>D171+D178</f>
        <v>0</v>
      </c>
      <c r="D178" s="222">
        <f>IF(D$160&lt;D164-D170,0,IF(D$160&gt;(D164+D165-D170-D171),D$165-D171,D160-D177))</f>
        <v>0</v>
      </c>
      <c r="E178" s="222">
        <f t="shared" ref="E178:AU178" si="72">IF(E$160&lt;E164-E170,0,IF(E$160&gt;(E164+E165-E170-E171),E$165-E171,E160-E177))</f>
        <v>0</v>
      </c>
      <c r="F178" s="222">
        <f t="shared" si="72"/>
        <v>0</v>
      </c>
      <c r="G178" s="222">
        <f t="shared" si="72"/>
        <v>0</v>
      </c>
      <c r="H178" s="222">
        <f t="shared" si="72"/>
        <v>0</v>
      </c>
      <c r="I178" s="222">
        <f t="shared" si="72"/>
        <v>0</v>
      </c>
      <c r="J178" s="222">
        <f t="shared" si="72"/>
        <v>0</v>
      </c>
      <c r="K178" s="222">
        <f t="shared" si="72"/>
        <v>0</v>
      </c>
      <c r="L178" s="222">
        <f t="shared" si="72"/>
        <v>0</v>
      </c>
      <c r="M178" s="222">
        <f t="shared" si="72"/>
        <v>0</v>
      </c>
      <c r="N178" s="222">
        <f t="shared" si="72"/>
        <v>0</v>
      </c>
      <c r="O178" s="222">
        <f t="shared" si="72"/>
        <v>0</v>
      </c>
      <c r="P178" s="222">
        <f t="shared" si="72"/>
        <v>0</v>
      </c>
      <c r="Q178" s="222">
        <f t="shared" si="72"/>
        <v>0</v>
      </c>
      <c r="R178" s="222">
        <f t="shared" si="72"/>
        <v>0</v>
      </c>
      <c r="S178" s="222">
        <f t="shared" si="72"/>
        <v>0</v>
      </c>
      <c r="T178" s="222">
        <f t="shared" si="72"/>
        <v>0</v>
      </c>
      <c r="U178" s="222">
        <f t="shared" si="72"/>
        <v>0</v>
      </c>
      <c r="V178" s="222">
        <f t="shared" si="72"/>
        <v>0</v>
      </c>
      <c r="W178" s="222">
        <f t="shared" si="72"/>
        <v>0</v>
      </c>
      <c r="X178" s="222">
        <f t="shared" si="72"/>
        <v>0</v>
      </c>
      <c r="Y178" s="222">
        <f t="shared" si="72"/>
        <v>0</v>
      </c>
      <c r="Z178" s="222">
        <f t="shared" si="72"/>
        <v>0</v>
      </c>
      <c r="AA178" s="222">
        <f t="shared" si="72"/>
        <v>0</v>
      </c>
      <c r="AB178" s="222">
        <f t="shared" si="72"/>
        <v>0</v>
      </c>
      <c r="AC178" s="222">
        <f t="shared" si="72"/>
        <v>0</v>
      </c>
      <c r="AD178" s="222">
        <f t="shared" si="72"/>
        <v>0</v>
      </c>
      <c r="AE178" s="222">
        <f t="shared" si="72"/>
        <v>0</v>
      </c>
      <c r="AF178" s="222">
        <f t="shared" si="72"/>
        <v>0</v>
      </c>
      <c r="AG178" s="222">
        <f t="shared" si="72"/>
        <v>0</v>
      </c>
      <c r="AH178" s="222">
        <f t="shared" si="72"/>
        <v>0</v>
      </c>
      <c r="AI178" s="222">
        <f t="shared" si="72"/>
        <v>0</v>
      </c>
      <c r="AJ178" s="222">
        <f t="shared" si="72"/>
        <v>0</v>
      </c>
      <c r="AK178" s="222">
        <f t="shared" si="72"/>
        <v>0</v>
      </c>
      <c r="AL178" s="222">
        <f t="shared" si="72"/>
        <v>0</v>
      </c>
      <c r="AM178" s="222">
        <f t="shared" si="72"/>
        <v>0</v>
      </c>
      <c r="AN178" s="222">
        <f t="shared" si="72"/>
        <v>0</v>
      </c>
      <c r="AO178" s="222">
        <f t="shared" si="72"/>
        <v>0</v>
      </c>
      <c r="AP178" s="222">
        <f t="shared" si="72"/>
        <v>0</v>
      </c>
      <c r="AQ178" s="222">
        <f t="shared" si="72"/>
        <v>0</v>
      </c>
      <c r="AR178" s="222">
        <f t="shared" si="72"/>
        <v>0</v>
      </c>
      <c r="AS178" s="222">
        <f t="shared" si="72"/>
        <v>0</v>
      </c>
      <c r="AT178" s="222">
        <f t="shared" si="72"/>
        <v>0</v>
      </c>
      <c r="AU178" s="222">
        <f t="shared" si="72"/>
        <v>0</v>
      </c>
    </row>
    <row r="179" spans="1:47">
      <c r="A179" s="18"/>
      <c r="B179" s="151" t="s">
        <v>232</v>
      </c>
      <c r="C179" s="230">
        <f>D172+D179</f>
        <v>0</v>
      </c>
      <c r="D179" s="222">
        <f>IF(D$160&lt;D164+D165-D170-D171,0,IF(D$160&gt;D164+D165+D166-D170-D171-D172,D166-D172,D$160-D177-D178))</f>
        <v>0</v>
      </c>
      <c r="E179" s="222">
        <f t="shared" ref="E179:AU179" si="73">IF(E$160&lt;E164+E165-E170-E171,0,IF(E$160&gt;E164+E165+E166-E170-E171-E172,E166-E172,E$160-E177-E178))</f>
        <v>0</v>
      </c>
      <c r="F179" s="222">
        <f t="shared" si="73"/>
        <v>0</v>
      </c>
      <c r="G179" s="222">
        <f t="shared" si="73"/>
        <v>0</v>
      </c>
      <c r="H179" s="222">
        <f t="shared" si="73"/>
        <v>0</v>
      </c>
      <c r="I179" s="222">
        <f t="shared" si="73"/>
        <v>0</v>
      </c>
      <c r="J179" s="222">
        <f t="shared" si="73"/>
        <v>0</v>
      </c>
      <c r="K179" s="222">
        <f t="shared" si="73"/>
        <v>0</v>
      </c>
      <c r="L179" s="222">
        <f t="shared" si="73"/>
        <v>0</v>
      </c>
      <c r="M179" s="222">
        <f t="shared" si="73"/>
        <v>0</v>
      </c>
      <c r="N179" s="222">
        <f t="shared" si="73"/>
        <v>0</v>
      </c>
      <c r="O179" s="222">
        <f t="shared" si="73"/>
        <v>0</v>
      </c>
      <c r="P179" s="222">
        <f t="shared" si="73"/>
        <v>0</v>
      </c>
      <c r="Q179" s="222">
        <f t="shared" si="73"/>
        <v>0</v>
      </c>
      <c r="R179" s="222">
        <f t="shared" si="73"/>
        <v>0</v>
      </c>
      <c r="S179" s="222">
        <f t="shared" si="73"/>
        <v>0</v>
      </c>
      <c r="T179" s="222">
        <f t="shared" si="73"/>
        <v>0</v>
      </c>
      <c r="U179" s="222">
        <f t="shared" si="73"/>
        <v>0</v>
      </c>
      <c r="V179" s="222">
        <f t="shared" si="73"/>
        <v>0</v>
      </c>
      <c r="W179" s="222">
        <f t="shared" si="73"/>
        <v>0</v>
      </c>
      <c r="X179" s="222">
        <f t="shared" si="73"/>
        <v>0</v>
      </c>
      <c r="Y179" s="222">
        <f t="shared" si="73"/>
        <v>0</v>
      </c>
      <c r="Z179" s="222">
        <f t="shared" si="73"/>
        <v>0</v>
      </c>
      <c r="AA179" s="222">
        <f t="shared" si="73"/>
        <v>0</v>
      </c>
      <c r="AB179" s="222">
        <f t="shared" si="73"/>
        <v>0</v>
      </c>
      <c r="AC179" s="222">
        <f t="shared" si="73"/>
        <v>0</v>
      </c>
      <c r="AD179" s="222">
        <f t="shared" si="73"/>
        <v>0</v>
      </c>
      <c r="AE179" s="222">
        <f t="shared" si="73"/>
        <v>0</v>
      </c>
      <c r="AF179" s="222">
        <f t="shared" si="73"/>
        <v>0</v>
      </c>
      <c r="AG179" s="222">
        <f t="shared" si="73"/>
        <v>0</v>
      </c>
      <c r="AH179" s="222">
        <f t="shared" si="73"/>
        <v>0</v>
      </c>
      <c r="AI179" s="222">
        <f t="shared" si="73"/>
        <v>0</v>
      </c>
      <c r="AJ179" s="222">
        <f t="shared" si="73"/>
        <v>0</v>
      </c>
      <c r="AK179" s="222">
        <f t="shared" si="73"/>
        <v>0</v>
      </c>
      <c r="AL179" s="222">
        <f t="shared" si="73"/>
        <v>0</v>
      </c>
      <c r="AM179" s="222">
        <f t="shared" si="73"/>
        <v>0</v>
      </c>
      <c r="AN179" s="222">
        <f t="shared" si="73"/>
        <v>0</v>
      </c>
      <c r="AO179" s="222">
        <f t="shared" si="73"/>
        <v>0</v>
      </c>
      <c r="AP179" s="222">
        <f t="shared" si="73"/>
        <v>0</v>
      </c>
      <c r="AQ179" s="222">
        <f t="shared" si="73"/>
        <v>0</v>
      </c>
      <c r="AR179" s="222">
        <f t="shared" si="73"/>
        <v>0</v>
      </c>
      <c r="AS179" s="222">
        <f t="shared" si="73"/>
        <v>0</v>
      </c>
      <c r="AT179" s="222">
        <f t="shared" si="73"/>
        <v>0</v>
      </c>
      <c r="AU179" s="222">
        <f t="shared" si="73"/>
        <v>0</v>
      </c>
    </row>
    <row r="180" spans="1:47">
      <c r="A180" s="18"/>
      <c r="B180" s="151" t="s">
        <v>233</v>
      </c>
      <c r="C180" s="230">
        <f>D173+D180</f>
        <v>0</v>
      </c>
      <c r="D180" s="222">
        <f>IF(D$160&lt;D164+D165+D166-D170-D171-D172,0,D$160-D164-D165-D166+D170+D171+D172)</f>
        <v>0</v>
      </c>
      <c r="E180" s="222">
        <f t="shared" ref="E180:AU180" si="74">IF(E$160&lt;E164+E165+E166-E170-E171-E172,0,E$160-E164-E165-E166+E170+E171+E172)</f>
        <v>0</v>
      </c>
      <c r="F180" s="222">
        <f t="shared" si="74"/>
        <v>0</v>
      </c>
      <c r="G180" s="222">
        <f t="shared" si="74"/>
        <v>0</v>
      </c>
      <c r="H180" s="222">
        <f t="shared" si="74"/>
        <v>0</v>
      </c>
      <c r="I180" s="222">
        <f t="shared" si="74"/>
        <v>0</v>
      </c>
      <c r="J180" s="222">
        <f t="shared" si="74"/>
        <v>0</v>
      </c>
      <c r="K180" s="222">
        <f t="shared" si="74"/>
        <v>0</v>
      </c>
      <c r="L180" s="222">
        <f t="shared" si="74"/>
        <v>0</v>
      </c>
      <c r="M180" s="222">
        <f t="shared" si="74"/>
        <v>0</v>
      </c>
      <c r="N180" s="222">
        <f t="shared" si="74"/>
        <v>0</v>
      </c>
      <c r="O180" s="222">
        <f t="shared" si="74"/>
        <v>0</v>
      </c>
      <c r="P180" s="222">
        <f t="shared" si="74"/>
        <v>0</v>
      </c>
      <c r="Q180" s="222">
        <f t="shared" si="74"/>
        <v>0</v>
      </c>
      <c r="R180" s="222">
        <f t="shared" si="74"/>
        <v>0</v>
      </c>
      <c r="S180" s="222">
        <f t="shared" si="74"/>
        <v>0</v>
      </c>
      <c r="T180" s="222">
        <f t="shared" si="74"/>
        <v>0</v>
      </c>
      <c r="U180" s="222">
        <f t="shared" si="74"/>
        <v>0</v>
      </c>
      <c r="V180" s="222">
        <f t="shared" si="74"/>
        <v>0</v>
      </c>
      <c r="W180" s="222">
        <f t="shared" si="74"/>
        <v>0</v>
      </c>
      <c r="X180" s="222">
        <f t="shared" si="74"/>
        <v>0</v>
      </c>
      <c r="Y180" s="222">
        <f t="shared" si="74"/>
        <v>0</v>
      </c>
      <c r="Z180" s="222">
        <f t="shared" si="74"/>
        <v>0</v>
      </c>
      <c r="AA180" s="222">
        <f t="shared" si="74"/>
        <v>0</v>
      </c>
      <c r="AB180" s="222">
        <f t="shared" si="74"/>
        <v>0</v>
      </c>
      <c r="AC180" s="222">
        <f t="shared" si="74"/>
        <v>0</v>
      </c>
      <c r="AD180" s="222">
        <f t="shared" si="74"/>
        <v>0</v>
      </c>
      <c r="AE180" s="222">
        <f t="shared" si="74"/>
        <v>0</v>
      </c>
      <c r="AF180" s="222">
        <f t="shared" si="74"/>
        <v>0</v>
      </c>
      <c r="AG180" s="222">
        <f t="shared" si="74"/>
        <v>0</v>
      </c>
      <c r="AH180" s="222">
        <f t="shared" si="74"/>
        <v>0</v>
      </c>
      <c r="AI180" s="222">
        <f t="shared" si="74"/>
        <v>0</v>
      </c>
      <c r="AJ180" s="222">
        <f t="shared" si="74"/>
        <v>0</v>
      </c>
      <c r="AK180" s="222">
        <f t="shared" si="74"/>
        <v>0</v>
      </c>
      <c r="AL180" s="222">
        <f t="shared" si="74"/>
        <v>0</v>
      </c>
      <c r="AM180" s="222">
        <f t="shared" si="74"/>
        <v>0</v>
      </c>
      <c r="AN180" s="222">
        <f t="shared" si="74"/>
        <v>0</v>
      </c>
      <c r="AO180" s="222">
        <f t="shared" si="74"/>
        <v>0</v>
      </c>
      <c r="AP180" s="222">
        <f t="shared" si="74"/>
        <v>0</v>
      </c>
      <c r="AQ180" s="222">
        <f t="shared" si="74"/>
        <v>0</v>
      </c>
      <c r="AR180" s="222">
        <f t="shared" si="74"/>
        <v>0</v>
      </c>
      <c r="AS180" s="222">
        <f t="shared" si="74"/>
        <v>0</v>
      </c>
      <c r="AT180" s="222">
        <f t="shared" si="74"/>
        <v>0</v>
      </c>
      <c r="AU180" s="222">
        <f t="shared" si="74"/>
        <v>0</v>
      </c>
    </row>
    <row r="181" spans="1:47">
      <c r="A181" s="18"/>
      <c r="B181" s="151" t="s">
        <v>235</v>
      </c>
      <c r="C181" s="230"/>
      <c r="D181" s="231">
        <f t="shared" ref="D181:AU181" si="75">SUM(D177:D180)</f>
        <v>0</v>
      </c>
      <c r="E181" s="231">
        <f t="shared" si="75"/>
        <v>0</v>
      </c>
      <c r="F181" s="231">
        <f t="shared" si="75"/>
        <v>0</v>
      </c>
      <c r="G181" s="231">
        <f t="shared" si="75"/>
        <v>0</v>
      </c>
      <c r="H181" s="231">
        <f t="shared" si="75"/>
        <v>0</v>
      </c>
      <c r="I181" s="231">
        <f t="shared" si="75"/>
        <v>0</v>
      </c>
      <c r="J181" s="231">
        <f t="shared" si="75"/>
        <v>0</v>
      </c>
      <c r="K181" s="231">
        <f t="shared" si="75"/>
        <v>0</v>
      </c>
      <c r="L181" s="231">
        <f t="shared" si="75"/>
        <v>0</v>
      </c>
      <c r="M181" s="231">
        <f t="shared" si="75"/>
        <v>0</v>
      </c>
      <c r="N181" s="231">
        <f t="shared" si="75"/>
        <v>0</v>
      </c>
      <c r="O181" s="231">
        <f t="shared" si="75"/>
        <v>0</v>
      </c>
      <c r="P181" s="231">
        <f t="shared" si="75"/>
        <v>0</v>
      </c>
      <c r="Q181" s="231">
        <f t="shared" si="75"/>
        <v>0</v>
      </c>
      <c r="R181" s="231">
        <f t="shared" si="75"/>
        <v>0</v>
      </c>
      <c r="S181" s="231">
        <f t="shared" si="75"/>
        <v>0</v>
      </c>
      <c r="T181" s="231">
        <f t="shared" si="75"/>
        <v>0</v>
      </c>
      <c r="U181" s="231">
        <f t="shared" si="75"/>
        <v>0</v>
      </c>
      <c r="V181" s="231">
        <f t="shared" si="75"/>
        <v>0</v>
      </c>
      <c r="W181" s="231">
        <f t="shared" si="75"/>
        <v>0</v>
      </c>
      <c r="X181" s="231">
        <f t="shared" si="75"/>
        <v>0</v>
      </c>
      <c r="Y181" s="231">
        <f t="shared" si="75"/>
        <v>0</v>
      </c>
      <c r="Z181" s="231">
        <f t="shared" si="75"/>
        <v>0</v>
      </c>
      <c r="AA181" s="231">
        <f t="shared" si="75"/>
        <v>0</v>
      </c>
      <c r="AB181" s="231">
        <f t="shared" si="75"/>
        <v>0</v>
      </c>
      <c r="AC181" s="231">
        <f t="shared" si="75"/>
        <v>0</v>
      </c>
      <c r="AD181" s="231">
        <f t="shared" si="75"/>
        <v>0</v>
      </c>
      <c r="AE181" s="231">
        <f t="shared" si="75"/>
        <v>0</v>
      </c>
      <c r="AF181" s="231">
        <f t="shared" si="75"/>
        <v>0</v>
      </c>
      <c r="AG181" s="231">
        <f t="shared" si="75"/>
        <v>0</v>
      </c>
      <c r="AH181" s="231">
        <f t="shared" si="75"/>
        <v>0</v>
      </c>
      <c r="AI181" s="231">
        <f t="shared" si="75"/>
        <v>0</v>
      </c>
      <c r="AJ181" s="231">
        <f t="shared" si="75"/>
        <v>0</v>
      </c>
      <c r="AK181" s="231">
        <f t="shared" si="75"/>
        <v>0</v>
      </c>
      <c r="AL181" s="231">
        <f t="shared" si="75"/>
        <v>0</v>
      </c>
      <c r="AM181" s="231">
        <f t="shared" si="75"/>
        <v>0</v>
      </c>
      <c r="AN181" s="231">
        <f t="shared" si="75"/>
        <v>0</v>
      </c>
      <c r="AO181" s="231">
        <f t="shared" si="75"/>
        <v>0</v>
      </c>
      <c r="AP181" s="231">
        <f t="shared" si="75"/>
        <v>0</v>
      </c>
      <c r="AQ181" s="231">
        <f t="shared" si="75"/>
        <v>0</v>
      </c>
      <c r="AR181" s="231">
        <f t="shared" si="75"/>
        <v>0</v>
      </c>
      <c r="AS181" s="231">
        <f t="shared" si="75"/>
        <v>0</v>
      </c>
      <c r="AT181" s="231">
        <f t="shared" si="75"/>
        <v>0</v>
      </c>
      <c r="AU181" s="231">
        <f t="shared" si="75"/>
        <v>0</v>
      </c>
    </row>
    <row r="182" spans="1:47">
      <c r="A182" s="18"/>
      <c r="B182" s="151" t="s">
        <v>236</v>
      </c>
      <c r="C182" s="230"/>
      <c r="D182" s="231">
        <f t="shared" ref="D182:AU182" si="76">D174+D181</f>
        <v>0</v>
      </c>
      <c r="E182" s="231">
        <f t="shared" si="76"/>
        <v>0</v>
      </c>
      <c r="F182" s="231">
        <f t="shared" si="76"/>
        <v>0</v>
      </c>
      <c r="G182" s="231">
        <f t="shared" si="76"/>
        <v>0</v>
      </c>
      <c r="H182" s="231">
        <f t="shared" si="76"/>
        <v>0</v>
      </c>
      <c r="I182" s="231">
        <f t="shared" si="76"/>
        <v>0</v>
      </c>
      <c r="J182" s="231">
        <f t="shared" si="76"/>
        <v>0</v>
      </c>
      <c r="K182" s="231">
        <f t="shared" si="76"/>
        <v>0</v>
      </c>
      <c r="L182" s="231">
        <f t="shared" si="76"/>
        <v>0</v>
      </c>
      <c r="M182" s="231">
        <f t="shared" si="76"/>
        <v>0</v>
      </c>
      <c r="N182" s="231">
        <f t="shared" si="76"/>
        <v>0</v>
      </c>
      <c r="O182" s="231">
        <f t="shared" si="76"/>
        <v>0</v>
      </c>
      <c r="P182" s="231">
        <f t="shared" si="76"/>
        <v>0</v>
      </c>
      <c r="Q182" s="231">
        <f t="shared" si="76"/>
        <v>0</v>
      </c>
      <c r="R182" s="231">
        <f t="shared" si="76"/>
        <v>0</v>
      </c>
      <c r="S182" s="231">
        <f t="shared" si="76"/>
        <v>0</v>
      </c>
      <c r="T182" s="231">
        <f t="shared" si="76"/>
        <v>0</v>
      </c>
      <c r="U182" s="231">
        <f t="shared" si="76"/>
        <v>0</v>
      </c>
      <c r="V182" s="231">
        <f t="shared" si="76"/>
        <v>0</v>
      </c>
      <c r="W182" s="231">
        <f t="shared" si="76"/>
        <v>0</v>
      </c>
      <c r="X182" s="231">
        <f t="shared" si="76"/>
        <v>0</v>
      </c>
      <c r="Y182" s="231">
        <f t="shared" si="76"/>
        <v>0</v>
      </c>
      <c r="Z182" s="231">
        <f t="shared" si="76"/>
        <v>0</v>
      </c>
      <c r="AA182" s="231">
        <f t="shared" si="76"/>
        <v>0</v>
      </c>
      <c r="AB182" s="231">
        <f t="shared" si="76"/>
        <v>0</v>
      </c>
      <c r="AC182" s="231">
        <f t="shared" si="76"/>
        <v>0</v>
      </c>
      <c r="AD182" s="231">
        <f t="shared" si="76"/>
        <v>0</v>
      </c>
      <c r="AE182" s="231">
        <f t="shared" si="76"/>
        <v>0</v>
      </c>
      <c r="AF182" s="231">
        <f t="shared" si="76"/>
        <v>0</v>
      </c>
      <c r="AG182" s="231">
        <f t="shared" si="76"/>
        <v>0</v>
      </c>
      <c r="AH182" s="231">
        <f t="shared" si="76"/>
        <v>0</v>
      </c>
      <c r="AI182" s="231">
        <f t="shared" si="76"/>
        <v>0</v>
      </c>
      <c r="AJ182" s="231">
        <f t="shared" si="76"/>
        <v>0</v>
      </c>
      <c r="AK182" s="231">
        <f t="shared" si="76"/>
        <v>0</v>
      </c>
      <c r="AL182" s="231">
        <f t="shared" si="76"/>
        <v>0</v>
      </c>
      <c r="AM182" s="231">
        <f t="shared" si="76"/>
        <v>0</v>
      </c>
      <c r="AN182" s="231">
        <f t="shared" si="76"/>
        <v>0</v>
      </c>
      <c r="AO182" s="231">
        <f t="shared" si="76"/>
        <v>0</v>
      </c>
      <c r="AP182" s="231">
        <f t="shared" si="76"/>
        <v>0</v>
      </c>
      <c r="AQ182" s="231">
        <f t="shared" si="76"/>
        <v>0</v>
      </c>
      <c r="AR182" s="231">
        <f t="shared" si="76"/>
        <v>0</v>
      </c>
      <c r="AS182" s="231">
        <f t="shared" si="76"/>
        <v>0</v>
      </c>
      <c r="AT182" s="231">
        <f t="shared" si="76"/>
        <v>0</v>
      </c>
      <c r="AU182" s="231">
        <f t="shared" si="76"/>
        <v>0</v>
      </c>
    </row>
    <row r="183" spans="1:47">
      <c r="A183" s="18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</row>
    <row r="184" spans="1:47">
      <c r="B184" s="151" t="s">
        <v>237</v>
      </c>
      <c r="C184" s="151" t="s">
        <v>238</v>
      </c>
      <c r="D184" s="151"/>
      <c r="E184" s="190"/>
      <c r="F184" s="154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</row>
    <row r="185" spans="1:47">
      <c r="B185" s="151" t="s">
        <v>225</v>
      </c>
      <c r="C185" s="151"/>
      <c r="D185" s="232">
        <v>0.17344999999999999</v>
      </c>
      <c r="E185" s="233">
        <f>D185</f>
        <v>0.17344999999999999</v>
      </c>
      <c r="F185" s="233">
        <f t="shared" ref="F185:U188" si="77">E185</f>
        <v>0.17344999999999999</v>
      </c>
      <c r="G185" s="233">
        <f t="shared" si="77"/>
        <v>0.17344999999999999</v>
      </c>
      <c r="H185" s="233">
        <f t="shared" si="77"/>
        <v>0.17344999999999999</v>
      </c>
      <c r="I185" s="233">
        <f t="shared" si="77"/>
        <v>0.17344999999999999</v>
      </c>
      <c r="J185" s="233">
        <f t="shared" si="77"/>
        <v>0.17344999999999999</v>
      </c>
      <c r="K185" s="233">
        <f t="shared" si="77"/>
        <v>0.17344999999999999</v>
      </c>
      <c r="L185" s="233">
        <f t="shared" si="77"/>
        <v>0.17344999999999999</v>
      </c>
      <c r="M185" s="233">
        <f t="shared" si="77"/>
        <v>0.17344999999999999</v>
      </c>
      <c r="N185" s="233">
        <f t="shared" si="77"/>
        <v>0.17344999999999999</v>
      </c>
      <c r="O185" s="233">
        <f t="shared" si="77"/>
        <v>0.17344999999999999</v>
      </c>
      <c r="P185" s="233">
        <f t="shared" si="77"/>
        <v>0.17344999999999999</v>
      </c>
      <c r="Q185" s="233">
        <f t="shared" si="77"/>
        <v>0.17344999999999999</v>
      </c>
      <c r="R185" s="233">
        <f t="shared" si="77"/>
        <v>0.17344999999999999</v>
      </c>
      <c r="S185" s="233">
        <f t="shared" si="77"/>
        <v>0.17344999999999999</v>
      </c>
      <c r="T185" s="233">
        <f t="shared" si="77"/>
        <v>0.17344999999999999</v>
      </c>
      <c r="U185" s="233">
        <f t="shared" si="77"/>
        <v>0.17344999999999999</v>
      </c>
      <c r="V185" s="233">
        <f t="shared" ref="V185:AK188" si="78">U185</f>
        <v>0.17344999999999999</v>
      </c>
      <c r="W185" s="233">
        <f t="shared" si="78"/>
        <v>0.17344999999999999</v>
      </c>
      <c r="X185" s="233">
        <f t="shared" si="78"/>
        <v>0.17344999999999999</v>
      </c>
      <c r="Y185" s="233">
        <f t="shared" si="78"/>
        <v>0.17344999999999999</v>
      </c>
      <c r="Z185" s="233">
        <f t="shared" si="78"/>
        <v>0.17344999999999999</v>
      </c>
      <c r="AA185" s="233">
        <f t="shared" si="78"/>
        <v>0.17344999999999999</v>
      </c>
      <c r="AB185" s="233">
        <f t="shared" si="78"/>
        <v>0.17344999999999999</v>
      </c>
      <c r="AC185" s="233">
        <f t="shared" si="78"/>
        <v>0.17344999999999999</v>
      </c>
      <c r="AD185" s="233">
        <f t="shared" si="78"/>
        <v>0.17344999999999999</v>
      </c>
      <c r="AE185" s="233">
        <f t="shared" si="78"/>
        <v>0.17344999999999999</v>
      </c>
      <c r="AF185" s="233">
        <f t="shared" si="78"/>
        <v>0.17344999999999999</v>
      </c>
      <c r="AG185" s="233">
        <f t="shared" si="78"/>
        <v>0.17344999999999999</v>
      </c>
      <c r="AH185" s="233">
        <f t="shared" si="78"/>
        <v>0.17344999999999999</v>
      </c>
      <c r="AI185" s="233">
        <f t="shared" si="78"/>
        <v>0.17344999999999999</v>
      </c>
      <c r="AJ185" s="233">
        <f t="shared" si="78"/>
        <v>0.17344999999999999</v>
      </c>
      <c r="AK185" s="233">
        <f t="shared" si="78"/>
        <v>0.17344999999999999</v>
      </c>
      <c r="AL185" s="233">
        <f t="shared" ref="AK185:AU188" si="79">AK185</f>
        <v>0.17344999999999999</v>
      </c>
      <c r="AM185" s="233">
        <f t="shared" si="79"/>
        <v>0.17344999999999999</v>
      </c>
      <c r="AN185" s="233">
        <f t="shared" si="79"/>
        <v>0.17344999999999999</v>
      </c>
      <c r="AO185" s="233">
        <f t="shared" si="79"/>
        <v>0.17344999999999999</v>
      </c>
      <c r="AP185" s="233">
        <f t="shared" si="79"/>
        <v>0.17344999999999999</v>
      </c>
      <c r="AQ185" s="233">
        <f t="shared" si="79"/>
        <v>0.17344999999999999</v>
      </c>
      <c r="AR185" s="233">
        <f t="shared" si="79"/>
        <v>0.17344999999999999</v>
      </c>
      <c r="AS185" s="233">
        <f t="shared" si="79"/>
        <v>0.17344999999999999</v>
      </c>
      <c r="AT185" s="233">
        <f t="shared" si="79"/>
        <v>0.17344999999999999</v>
      </c>
      <c r="AU185" s="233">
        <f t="shared" si="79"/>
        <v>0.17344999999999999</v>
      </c>
    </row>
    <row r="186" spans="1:47">
      <c r="B186" s="151" t="s">
        <v>226</v>
      </c>
      <c r="C186" s="151"/>
      <c r="D186" s="232">
        <v>0.16086</v>
      </c>
      <c r="E186" s="233">
        <f>D186</f>
        <v>0.16086</v>
      </c>
      <c r="F186" s="233">
        <f t="shared" si="77"/>
        <v>0.16086</v>
      </c>
      <c r="G186" s="233">
        <f t="shared" si="77"/>
        <v>0.16086</v>
      </c>
      <c r="H186" s="233">
        <f t="shared" si="77"/>
        <v>0.16086</v>
      </c>
      <c r="I186" s="233">
        <f t="shared" si="77"/>
        <v>0.16086</v>
      </c>
      <c r="J186" s="233">
        <f t="shared" si="77"/>
        <v>0.16086</v>
      </c>
      <c r="K186" s="233">
        <f t="shared" si="77"/>
        <v>0.16086</v>
      </c>
      <c r="L186" s="233">
        <f t="shared" si="77"/>
        <v>0.16086</v>
      </c>
      <c r="M186" s="233">
        <f t="shared" si="77"/>
        <v>0.16086</v>
      </c>
      <c r="N186" s="233">
        <f t="shared" si="77"/>
        <v>0.16086</v>
      </c>
      <c r="O186" s="233">
        <f t="shared" si="77"/>
        <v>0.16086</v>
      </c>
      <c r="P186" s="233">
        <f t="shared" si="77"/>
        <v>0.16086</v>
      </c>
      <c r="Q186" s="233">
        <f t="shared" si="77"/>
        <v>0.16086</v>
      </c>
      <c r="R186" s="233">
        <f t="shared" si="77"/>
        <v>0.16086</v>
      </c>
      <c r="S186" s="233">
        <f t="shared" si="77"/>
        <v>0.16086</v>
      </c>
      <c r="T186" s="233">
        <f t="shared" si="77"/>
        <v>0.16086</v>
      </c>
      <c r="U186" s="233">
        <f t="shared" si="77"/>
        <v>0.16086</v>
      </c>
      <c r="V186" s="233">
        <f t="shared" si="78"/>
        <v>0.16086</v>
      </c>
      <c r="W186" s="233">
        <f t="shared" si="78"/>
        <v>0.16086</v>
      </c>
      <c r="X186" s="233">
        <f t="shared" si="78"/>
        <v>0.16086</v>
      </c>
      <c r="Y186" s="233">
        <f t="shared" si="78"/>
        <v>0.16086</v>
      </c>
      <c r="Z186" s="233">
        <f t="shared" si="78"/>
        <v>0.16086</v>
      </c>
      <c r="AA186" s="233">
        <f t="shared" si="78"/>
        <v>0.16086</v>
      </c>
      <c r="AB186" s="233">
        <f t="shared" si="78"/>
        <v>0.16086</v>
      </c>
      <c r="AC186" s="233">
        <f t="shared" si="78"/>
        <v>0.16086</v>
      </c>
      <c r="AD186" s="233">
        <f t="shared" si="78"/>
        <v>0.16086</v>
      </c>
      <c r="AE186" s="233">
        <f t="shared" si="78"/>
        <v>0.16086</v>
      </c>
      <c r="AF186" s="233">
        <f t="shared" si="78"/>
        <v>0.16086</v>
      </c>
      <c r="AG186" s="233">
        <f t="shared" si="78"/>
        <v>0.16086</v>
      </c>
      <c r="AH186" s="233">
        <f t="shared" si="78"/>
        <v>0.16086</v>
      </c>
      <c r="AI186" s="233">
        <f t="shared" si="78"/>
        <v>0.16086</v>
      </c>
      <c r="AJ186" s="233">
        <f t="shared" si="78"/>
        <v>0.16086</v>
      </c>
      <c r="AK186" s="233">
        <f t="shared" si="79"/>
        <v>0.16086</v>
      </c>
      <c r="AL186" s="233">
        <f t="shared" si="79"/>
        <v>0.16086</v>
      </c>
      <c r="AM186" s="233">
        <f t="shared" si="79"/>
        <v>0.16086</v>
      </c>
      <c r="AN186" s="233">
        <f t="shared" si="79"/>
        <v>0.16086</v>
      </c>
      <c r="AO186" s="233">
        <f t="shared" si="79"/>
        <v>0.16086</v>
      </c>
      <c r="AP186" s="233">
        <f t="shared" si="79"/>
        <v>0.16086</v>
      </c>
      <c r="AQ186" s="233">
        <f t="shared" si="79"/>
        <v>0.16086</v>
      </c>
      <c r="AR186" s="233">
        <f t="shared" si="79"/>
        <v>0.16086</v>
      </c>
      <c r="AS186" s="233">
        <f t="shared" si="79"/>
        <v>0.16086</v>
      </c>
      <c r="AT186" s="233">
        <f t="shared" si="79"/>
        <v>0.16086</v>
      </c>
      <c r="AU186" s="233">
        <f t="shared" si="79"/>
        <v>0.16086</v>
      </c>
    </row>
    <row r="187" spans="1:47">
      <c r="B187" s="151" t="s">
        <v>227</v>
      </c>
      <c r="C187" s="151"/>
      <c r="D187" s="232">
        <v>0.10696</v>
      </c>
      <c r="E187" s="233">
        <f>D187</f>
        <v>0.10696</v>
      </c>
      <c r="F187" s="233">
        <f t="shared" si="77"/>
        <v>0.10696</v>
      </c>
      <c r="G187" s="233">
        <f t="shared" si="77"/>
        <v>0.10696</v>
      </c>
      <c r="H187" s="233">
        <f t="shared" si="77"/>
        <v>0.10696</v>
      </c>
      <c r="I187" s="233">
        <f t="shared" si="77"/>
        <v>0.10696</v>
      </c>
      <c r="J187" s="233">
        <f t="shared" si="77"/>
        <v>0.10696</v>
      </c>
      <c r="K187" s="233">
        <f t="shared" si="77"/>
        <v>0.10696</v>
      </c>
      <c r="L187" s="233">
        <f t="shared" si="77"/>
        <v>0.10696</v>
      </c>
      <c r="M187" s="233">
        <f t="shared" si="77"/>
        <v>0.10696</v>
      </c>
      <c r="N187" s="233">
        <f t="shared" si="77"/>
        <v>0.10696</v>
      </c>
      <c r="O187" s="233">
        <f t="shared" si="77"/>
        <v>0.10696</v>
      </c>
      <c r="P187" s="233">
        <f t="shared" si="77"/>
        <v>0.10696</v>
      </c>
      <c r="Q187" s="233">
        <f t="shared" si="77"/>
        <v>0.10696</v>
      </c>
      <c r="R187" s="233">
        <f t="shared" si="77"/>
        <v>0.10696</v>
      </c>
      <c r="S187" s="233">
        <f t="shared" si="77"/>
        <v>0.10696</v>
      </c>
      <c r="T187" s="233">
        <f t="shared" si="77"/>
        <v>0.10696</v>
      </c>
      <c r="U187" s="233">
        <f t="shared" si="77"/>
        <v>0.10696</v>
      </c>
      <c r="V187" s="233">
        <f t="shared" si="78"/>
        <v>0.10696</v>
      </c>
      <c r="W187" s="233">
        <f t="shared" si="78"/>
        <v>0.10696</v>
      </c>
      <c r="X187" s="233">
        <f t="shared" si="78"/>
        <v>0.10696</v>
      </c>
      <c r="Y187" s="233">
        <f t="shared" si="78"/>
        <v>0.10696</v>
      </c>
      <c r="Z187" s="233">
        <f t="shared" si="78"/>
        <v>0.10696</v>
      </c>
      <c r="AA187" s="233">
        <f t="shared" si="78"/>
        <v>0.10696</v>
      </c>
      <c r="AB187" s="233">
        <f t="shared" si="78"/>
        <v>0.10696</v>
      </c>
      <c r="AC187" s="233">
        <f t="shared" si="78"/>
        <v>0.10696</v>
      </c>
      <c r="AD187" s="233">
        <f t="shared" si="78"/>
        <v>0.10696</v>
      </c>
      <c r="AE187" s="233">
        <f t="shared" si="78"/>
        <v>0.10696</v>
      </c>
      <c r="AF187" s="233">
        <f t="shared" si="78"/>
        <v>0.10696</v>
      </c>
      <c r="AG187" s="233">
        <f t="shared" si="78"/>
        <v>0.10696</v>
      </c>
      <c r="AH187" s="233">
        <f t="shared" si="78"/>
        <v>0.10696</v>
      </c>
      <c r="AI187" s="233">
        <f t="shared" si="78"/>
        <v>0.10696</v>
      </c>
      <c r="AJ187" s="233">
        <f t="shared" si="78"/>
        <v>0.10696</v>
      </c>
      <c r="AK187" s="233">
        <f t="shared" si="79"/>
        <v>0.10696</v>
      </c>
      <c r="AL187" s="233">
        <f t="shared" si="79"/>
        <v>0.10696</v>
      </c>
      <c r="AM187" s="233">
        <f t="shared" si="79"/>
        <v>0.10696</v>
      </c>
      <c r="AN187" s="233">
        <f t="shared" si="79"/>
        <v>0.10696</v>
      </c>
      <c r="AO187" s="233">
        <f t="shared" si="79"/>
        <v>0.10696</v>
      </c>
      <c r="AP187" s="233">
        <f t="shared" si="79"/>
        <v>0.10696</v>
      </c>
      <c r="AQ187" s="233">
        <f t="shared" si="79"/>
        <v>0.10696</v>
      </c>
      <c r="AR187" s="233">
        <f t="shared" si="79"/>
        <v>0.10696</v>
      </c>
      <c r="AS187" s="233">
        <f t="shared" si="79"/>
        <v>0.10696</v>
      </c>
      <c r="AT187" s="233">
        <f t="shared" si="79"/>
        <v>0.10696</v>
      </c>
      <c r="AU187" s="233">
        <f t="shared" si="79"/>
        <v>0.10696</v>
      </c>
    </row>
    <row r="188" spans="1:47">
      <c r="B188" s="151" t="s">
        <v>228</v>
      </c>
      <c r="C188" s="151"/>
      <c r="D188" s="232">
        <v>2.3630000000000002E-2</v>
      </c>
      <c r="E188" s="233">
        <f>D188</f>
        <v>2.3630000000000002E-2</v>
      </c>
      <c r="F188" s="233">
        <f t="shared" si="77"/>
        <v>2.3630000000000002E-2</v>
      </c>
      <c r="G188" s="233">
        <f t="shared" si="77"/>
        <v>2.3630000000000002E-2</v>
      </c>
      <c r="H188" s="233">
        <f t="shared" si="77"/>
        <v>2.3630000000000002E-2</v>
      </c>
      <c r="I188" s="233">
        <f t="shared" si="77"/>
        <v>2.3630000000000002E-2</v>
      </c>
      <c r="J188" s="233">
        <f t="shared" si="77"/>
        <v>2.3630000000000002E-2</v>
      </c>
      <c r="K188" s="233">
        <f t="shared" si="77"/>
        <v>2.3630000000000002E-2</v>
      </c>
      <c r="L188" s="233">
        <f t="shared" si="77"/>
        <v>2.3630000000000002E-2</v>
      </c>
      <c r="M188" s="233">
        <f t="shared" si="77"/>
        <v>2.3630000000000002E-2</v>
      </c>
      <c r="N188" s="233">
        <f t="shared" si="77"/>
        <v>2.3630000000000002E-2</v>
      </c>
      <c r="O188" s="233">
        <f t="shared" si="77"/>
        <v>2.3630000000000002E-2</v>
      </c>
      <c r="P188" s="233">
        <f t="shared" si="77"/>
        <v>2.3630000000000002E-2</v>
      </c>
      <c r="Q188" s="233">
        <f t="shared" si="77"/>
        <v>2.3630000000000002E-2</v>
      </c>
      <c r="R188" s="233">
        <f t="shared" si="77"/>
        <v>2.3630000000000002E-2</v>
      </c>
      <c r="S188" s="233">
        <f t="shared" si="77"/>
        <v>2.3630000000000002E-2</v>
      </c>
      <c r="T188" s="233">
        <f t="shared" si="77"/>
        <v>2.3630000000000002E-2</v>
      </c>
      <c r="U188" s="233">
        <f t="shared" si="77"/>
        <v>2.3630000000000002E-2</v>
      </c>
      <c r="V188" s="233">
        <f t="shared" si="78"/>
        <v>2.3630000000000002E-2</v>
      </c>
      <c r="W188" s="233">
        <f t="shared" si="78"/>
        <v>2.3630000000000002E-2</v>
      </c>
      <c r="X188" s="233">
        <f t="shared" si="78"/>
        <v>2.3630000000000002E-2</v>
      </c>
      <c r="Y188" s="233">
        <f t="shared" si="78"/>
        <v>2.3630000000000002E-2</v>
      </c>
      <c r="Z188" s="233">
        <f t="shared" si="78"/>
        <v>2.3630000000000002E-2</v>
      </c>
      <c r="AA188" s="233">
        <f t="shared" si="78"/>
        <v>2.3630000000000002E-2</v>
      </c>
      <c r="AB188" s="233">
        <f t="shared" si="78"/>
        <v>2.3630000000000002E-2</v>
      </c>
      <c r="AC188" s="233">
        <f t="shared" si="78"/>
        <v>2.3630000000000002E-2</v>
      </c>
      <c r="AD188" s="233">
        <f t="shared" si="78"/>
        <v>2.3630000000000002E-2</v>
      </c>
      <c r="AE188" s="233">
        <f t="shared" si="78"/>
        <v>2.3630000000000002E-2</v>
      </c>
      <c r="AF188" s="233">
        <f t="shared" si="78"/>
        <v>2.3630000000000002E-2</v>
      </c>
      <c r="AG188" s="233">
        <f t="shared" si="78"/>
        <v>2.3630000000000002E-2</v>
      </c>
      <c r="AH188" s="233">
        <f t="shared" si="78"/>
        <v>2.3630000000000002E-2</v>
      </c>
      <c r="AI188" s="233">
        <f t="shared" si="78"/>
        <v>2.3630000000000002E-2</v>
      </c>
      <c r="AJ188" s="233">
        <f t="shared" si="78"/>
        <v>2.3630000000000002E-2</v>
      </c>
      <c r="AK188" s="233">
        <f t="shared" si="79"/>
        <v>2.3630000000000002E-2</v>
      </c>
      <c r="AL188" s="233">
        <f t="shared" si="79"/>
        <v>2.3630000000000002E-2</v>
      </c>
      <c r="AM188" s="233">
        <f t="shared" si="79"/>
        <v>2.3630000000000002E-2</v>
      </c>
      <c r="AN188" s="233">
        <f t="shared" si="79"/>
        <v>2.3630000000000002E-2</v>
      </c>
      <c r="AO188" s="233">
        <f t="shared" si="79"/>
        <v>2.3630000000000002E-2</v>
      </c>
      <c r="AP188" s="233">
        <f t="shared" si="79"/>
        <v>2.3630000000000002E-2</v>
      </c>
      <c r="AQ188" s="233">
        <f t="shared" si="79"/>
        <v>2.3630000000000002E-2</v>
      </c>
      <c r="AR188" s="233">
        <f t="shared" si="79"/>
        <v>2.3630000000000002E-2</v>
      </c>
      <c r="AS188" s="233">
        <f t="shared" si="79"/>
        <v>2.3630000000000002E-2</v>
      </c>
      <c r="AT188" s="233">
        <f t="shared" si="79"/>
        <v>2.3630000000000002E-2</v>
      </c>
      <c r="AU188" s="233">
        <f t="shared" si="79"/>
        <v>2.3630000000000002E-2</v>
      </c>
    </row>
    <row r="189" spans="1:47">
      <c r="B189" s="151"/>
      <c r="C189" s="151"/>
      <c r="D189" s="232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</row>
    <row r="190" spans="1:47">
      <c r="B190" s="151" t="s">
        <v>239</v>
      </c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</row>
    <row r="191" spans="1:47">
      <c r="B191" s="151" t="str">
        <f>B185</f>
        <v>1st</v>
      </c>
      <c r="C191" s="151"/>
      <c r="D191" s="17">
        <f t="shared" ref="D191:AU194" si="80">D177*D185</f>
        <v>0</v>
      </c>
      <c r="E191" s="17">
        <f t="shared" si="80"/>
        <v>0</v>
      </c>
      <c r="F191" s="17">
        <f t="shared" si="80"/>
        <v>0</v>
      </c>
      <c r="G191" s="17">
        <f t="shared" si="80"/>
        <v>0</v>
      </c>
      <c r="H191" s="17">
        <f t="shared" si="80"/>
        <v>0</v>
      </c>
      <c r="I191" s="17">
        <f t="shared" si="80"/>
        <v>0</v>
      </c>
      <c r="J191" s="17">
        <f t="shared" si="80"/>
        <v>0</v>
      </c>
      <c r="K191" s="17">
        <f t="shared" si="80"/>
        <v>0</v>
      </c>
      <c r="L191" s="17">
        <f t="shared" si="80"/>
        <v>0</v>
      </c>
      <c r="M191" s="17">
        <f t="shared" si="80"/>
        <v>0</v>
      </c>
      <c r="N191" s="17">
        <f t="shared" si="80"/>
        <v>0</v>
      </c>
      <c r="O191" s="17">
        <f t="shared" si="80"/>
        <v>0</v>
      </c>
      <c r="P191" s="17">
        <f t="shared" si="80"/>
        <v>0</v>
      </c>
      <c r="Q191" s="17">
        <f t="shared" si="80"/>
        <v>0</v>
      </c>
      <c r="R191" s="17">
        <f t="shared" si="80"/>
        <v>0</v>
      </c>
      <c r="S191" s="17">
        <f t="shared" si="80"/>
        <v>0</v>
      </c>
      <c r="T191" s="17">
        <f t="shared" si="80"/>
        <v>0</v>
      </c>
      <c r="U191" s="17">
        <f t="shared" si="80"/>
        <v>0</v>
      </c>
      <c r="V191" s="17">
        <f t="shared" si="80"/>
        <v>0</v>
      </c>
      <c r="W191" s="17">
        <f t="shared" si="80"/>
        <v>0</v>
      </c>
      <c r="X191" s="17">
        <f t="shared" si="80"/>
        <v>0</v>
      </c>
      <c r="Y191" s="17">
        <f t="shared" si="80"/>
        <v>0</v>
      </c>
      <c r="Z191" s="17">
        <f t="shared" si="80"/>
        <v>0</v>
      </c>
      <c r="AA191" s="17">
        <f t="shared" si="80"/>
        <v>0</v>
      </c>
      <c r="AB191" s="17">
        <f t="shared" si="80"/>
        <v>0</v>
      </c>
      <c r="AC191" s="17">
        <f t="shared" si="80"/>
        <v>0</v>
      </c>
      <c r="AD191" s="17">
        <f t="shared" si="80"/>
        <v>0</v>
      </c>
      <c r="AE191" s="17">
        <f t="shared" si="80"/>
        <v>0</v>
      </c>
      <c r="AF191" s="17">
        <f t="shared" si="80"/>
        <v>0</v>
      </c>
      <c r="AG191" s="17">
        <f t="shared" si="80"/>
        <v>0</v>
      </c>
      <c r="AH191" s="17">
        <f t="shared" si="80"/>
        <v>0</v>
      </c>
      <c r="AI191" s="17">
        <f t="shared" si="80"/>
        <v>0</v>
      </c>
      <c r="AJ191" s="17">
        <f t="shared" si="80"/>
        <v>0</v>
      </c>
      <c r="AK191" s="17">
        <f t="shared" si="80"/>
        <v>0</v>
      </c>
      <c r="AL191" s="17">
        <f t="shared" si="80"/>
        <v>0</v>
      </c>
      <c r="AM191" s="17">
        <f t="shared" si="80"/>
        <v>0</v>
      </c>
      <c r="AN191" s="17">
        <f t="shared" si="80"/>
        <v>0</v>
      </c>
      <c r="AO191" s="17">
        <f t="shared" si="80"/>
        <v>0</v>
      </c>
      <c r="AP191" s="17">
        <f t="shared" si="80"/>
        <v>0</v>
      </c>
      <c r="AQ191" s="17">
        <f t="shared" si="80"/>
        <v>0</v>
      </c>
      <c r="AR191" s="17">
        <f t="shared" si="80"/>
        <v>0</v>
      </c>
      <c r="AS191" s="17">
        <f t="shared" si="80"/>
        <v>0</v>
      </c>
      <c r="AT191" s="17">
        <f t="shared" si="80"/>
        <v>0</v>
      </c>
      <c r="AU191" s="17">
        <f t="shared" si="80"/>
        <v>0</v>
      </c>
    </row>
    <row r="192" spans="1:47">
      <c r="B192" s="151" t="str">
        <f>B186</f>
        <v>2nd</v>
      </c>
      <c r="C192" s="151"/>
      <c r="D192" s="17">
        <f t="shared" si="80"/>
        <v>0</v>
      </c>
      <c r="E192" s="17">
        <f t="shared" si="80"/>
        <v>0</v>
      </c>
      <c r="F192" s="17">
        <f t="shared" si="80"/>
        <v>0</v>
      </c>
      <c r="G192" s="17">
        <f t="shared" si="80"/>
        <v>0</v>
      </c>
      <c r="H192" s="17">
        <f t="shared" si="80"/>
        <v>0</v>
      </c>
      <c r="I192" s="17">
        <f t="shared" si="80"/>
        <v>0</v>
      </c>
      <c r="J192" s="17">
        <f t="shared" si="80"/>
        <v>0</v>
      </c>
      <c r="K192" s="17">
        <f t="shared" si="80"/>
        <v>0</v>
      </c>
      <c r="L192" s="17">
        <f t="shared" si="80"/>
        <v>0</v>
      </c>
      <c r="M192" s="17">
        <f t="shared" si="80"/>
        <v>0</v>
      </c>
      <c r="N192" s="17">
        <f t="shared" si="80"/>
        <v>0</v>
      </c>
      <c r="O192" s="17">
        <f t="shared" si="80"/>
        <v>0</v>
      </c>
      <c r="P192" s="17">
        <f t="shared" si="80"/>
        <v>0</v>
      </c>
      <c r="Q192" s="17">
        <f t="shared" si="80"/>
        <v>0</v>
      </c>
      <c r="R192" s="17">
        <f t="shared" si="80"/>
        <v>0</v>
      </c>
      <c r="S192" s="17">
        <f t="shared" si="80"/>
        <v>0</v>
      </c>
      <c r="T192" s="17">
        <f t="shared" si="80"/>
        <v>0</v>
      </c>
      <c r="U192" s="17">
        <f t="shared" si="80"/>
        <v>0</v>
      </c>
      <c r="V192" s="17">
        <f t="shared" si="80"/>
        <v>0</v>
      </c>
      <c r="W192" s="17">
        <f t="shared" si="80"/>
        <v>0</v>
      </c>
      <c r="X192" s="17">
        <f t="shared" si="80"/>
        <v>0</v>
      </c>
      <c r="Y192" s="17">
        <f t="shared" si="80"/>
        <v>0</v>
      </c>
      <c r="Z192" s="17">
        <f t="shared" si="80"/>
        <v>0</v>
      </c>
      <c r="AA192" s="17">
        <f t="shared" si="80"/>
        <v>0</v>
      </c>
      <c r="AB192" s="17">
        <f t="shared" si="80"/>
        <v>0</v>
      </c>
      <c r="AC192" s="17">
        <f t="shared" si="80"/>
        <v>0</v>
      </c>
      <c r="AD192" s="17">
        <f t="shared" si="80"/>
        <v>0</v>
      </c>
      <c r="AE192" s="17">
        <f t="shared" si="80"/>
        <v>0</v>
      </c>
      <c r="AF192" s="17">
        <f t="shared" si="80"/>
        <v>0</v>
      </c>
      <c r="AG192" s="17">
        <f t="shared" si="80"/>
        <v>0</v>
      </c>
      <c r="AH192" s="17">
        <f t="shared" si="80"/>
        <v>0</v>
      </c>
      <c r="AI192" s="17">
        <f t="shared" si="80"/>
        <v>0</v>
      </c>
      <c r="AJ192" s="17">
        <f t="shared" si="80"/>
        <v>0</v>
      </c>
      <c r="AK192" s="17">
        <f t="shared" si="80"/>
        <v>0</v>
      </c>
      <c r="AL192" s="17">
        <f t="shared" si="80"/>
        <v>0</v>
      </c>
      <c r="AM192" s="17">
        <f t="shared" si="80"/>
        <v>0</v>
      </c>
      <c r="AN192" s="17">
        <f t="shared" si="80"/>
        <v>0</v>
      </c>
      <c r="AO192" s="17">
        <f t="shared" si="80"/>
        <v>0</v>
      </c>
      <c r="AP192" s="17">
        <f t="shared" si="80"/>
        <v>0</v>
      </c>
      <c r="AQ192" s="17">
        <f t="shared" si="80"/>
        <v>0</v>
      </c>
      <c r="AR192" s="17">
        <f t="shared" si="80"/>
        <v>0</v>
      </c>
      <c r="AS192" s="17">
        <f t="shared" si="80"/>
        <v>0</v>
      </c>
      <c r="AT192" s="17">
        <f t="shared" si="80"/>
        <v>0</v>
      </c>
      <c r="AU192" s="17">
        <f t="shared" si="80"/>
        <v>0</v>
      </c>
    </row>
    <row r="193" spans="1:50">
      <c r="B193" s="151" t="str">
        <f>B187</f>
        <v>3rd</v>
      </c>
      <c r="C193" s="151"/>
      <c r="D193" s="17">
        <f t="shared" si="80"/>
        <v>0</v>
      </c>
      <c r="E193" s="17">
        <f t="shared" si="80"/>
        <v>0</v>
      </c>
      <c r="F193" s="17">
        <f t="shared" si="80"/>
        <v>0</v>
      </c>
      <c r="G193" s="17">
        <f t="shared" si="80"/>
        <v>0</v>
      </c>
      <c r="H193" s="17">
        <f t="shared" si="80"/>
        <v>0</v>
      </c>
      <c r="I193" s="17">
        <f t="shared" si="80"/>
        <v>0</v>
      </c>
      <c r="J193" s="17">
        <f t="shared" si="80"/>
        <v>0</v>
      </c>
      <c r="K193" s="17">
        <f t="shared" si="80"/>
        <v>0</v>
      </c>
      <c r="L193" s="17">
        <f t="shared" si="80"/>
        <v>0</v>
      </c>
      <c r="M193" s="17">
        <f t="shared" si="80"/>
        <v>0</v>
      </c>
      <c r="N193" s="17">
        <f t="shared" si="80"/>
        <v>0</v>
      </c>
      <c r="O193" s="17">
        <f t="shared" si="80"/>
        <v>0</v>
      </c>
      <c r="P193" s="17">
        <f t="shared" si="80"/>
        <v>0</v>
      </c>
      <c r="Q193" s="17">
        <f t="shared" si="80"/>
        <v>0</v>
      </c>
      <c r="R193" s="17">
        <f t="shared" si="80"/>
        <v>0</v>
      </c>
      <c r="S193" s="17">
        <f t="shared" si="80"/>
        <v>0</v>
      </c>
      <c r="T193" s="17">
        <f t="shared" si="80"/>
        <v>0</v>
      </c>
      <c r="U193" s="17">
        <f t="shared" si="80"/>
        <v>0</v>
      </c>
      <c r="V193" s="17">
        <f t="shared" si="80"/>
        <v>0</v>
      </c>
      <c r="W193" s="17">
        <f t="shared" si="80"/>
        <v>0</v>
      </c>
      <c r="X193" s="17">
        <f t="shared" si="80"/>
        <v>0</v>
      </c>
      <c r="Y193" s="17">
        <f t="shared" si="80"/>
        <v>0</v>
      </c>
      <c r="Z193" s="17">
        <f t="shared" si="80"/>
        <v>0</v>
      </c>
      <c r="AA193" s="17">
        <f t="shared" si="80"/>
        <v>0</v>
      </c>
      <c r="AB193" s="17">
        <f t="shared" si="80"/>
        <v>0</v>
      </c>
      <c r="AC193" s="17">
        <f t="shared" si="80"/>
        <v>0</v>
      </c>
      <c r="AD193" s="17">
        <f t="shared" si="80"/>
        <v>0</v>
      </c>
      <c r="AE193" s="17">
        <f t="shared" si="80"/>
        <v>0</v>
      </c>
      <c r="AF193" s="17">
        <f t="shared" si="80"/>
        <v>0</v>
      </c>
      <c r="AG193" s="17">
        <f t="shared" si="80"/>
        <v>0</v>
      </c>
      <c r="AH193" s="17">
        <f t="shared" si="80"/>
        <v>0</v>
      </c>
      <c r="AI193" s="17">
        <f t="shared" si="80"/>
        <v>0</v>
      </c>
      <c r="AJ193" s="17">
        <f t="shared" si="80"/>
        <v>0</v>
      </c>
      <c r="AK193" s="17">
        <f t="shared" si="80"/>
        <v>0</v>
      </c>
      <c r="AL193" s="17">
        <f t="shared" si="80"/>
        <v>0</v>
      </c>
      <c r="AM193" s="17">
        <f t="shared" si="80"/>
        <v>0</v>
      </c>
      <c r="AN193" s="17">
        <f t="shared" si="80"/>
        <v>0</v>
      </c>
      <c r="AO193" s="17">
        <f t="shared" si="80"/>
        <v>0</v>
      </c>
      <c r="AP193" s="17">
        <f t="shared" si="80"/>
        <v>0</v>
      </c>
      <c r="AQ193" s="17">
        <f t="shared" si="80"/>
        <v>0</v>
      </c>
      <c r="AR193" s="17">
        <f t="shared" si="80"/>
        <v>0</v>
      </c>
      <c r="AS193" s="17">
        <f t="shared" si="80"/>
        <v>0</v>
      </c>
      <c r="AT193" s="17">
        <f t="shared" si="80"/>
        <v>0</v>
      </c>
      <c r="AU193" s="17">
        <f t="shared" si="80"/>
        <v>0</v>
      </c>
    </row>
    <row r="194" spans="1:50">
      <c r="B194" s="151" t="str">
        <f>B188</f>
        <v>4th</v>
      </c>
      <c r="C194" s="151"/>
      <c r="D194" s="17">
        <f t="shared" si="80"/>
        <v>0</v>
      </c>
      <c r="E194" s="17">
        <f t="shared" si="80"/>
        <v>0</v>
      </c>
      <c r="F194" s="17">
        <f t="shared" si="80"/>
        <v>0</v>
      </c>
      <c r="G194" s="17">
        <f t="shared" si="80"/>
        <v>0</v>
      </c>
      <c r="H194" s="17">
        <f t="shared" si="80"/>
        <v>0</v>
      </c>
      <c r="I194" s="17">
        <f t="shared" si="80"/>
        <v>0</v>
      </c>
      <c r="J194" s="17">
        <f t="shared" si="80"/>
        <v>0</v>
      </c>
      <c r="K194" s="17">
        <f t="shared" si="80"/>
        <v>0</v>
      </c>
      <c r="L194" s="17">
        <f t="shared" si="80"/>
        <v>0</v>
      </c>
      <c r="M194" s="17">
        <f t="shared" si="80"/>
        <v>0</v>
      </c>
      <c r="N194" s="17">
        <f t="shared" si="80"/>
        <v>0</v>
      </c>
      <c r="O194" s="17">
        <f t="shared" si="80"/>
        <v>0</v>
      </c>
      <c r="P194" s="17">
        <f t="shared" si="80"/>
        <v>0</v>
      </c>
      <c r="Q194" s="17">
        <f t="shared" si="80"/>
        <v>0</v>
      </c>
      <c r="R194" s="17">
        <f t="shared" si="80"/>
        <v>0</v>
      </c>
      <c r="S194" s="17">
        <f t="shared" si="80"/>
        <v>0</v>
      </c>
      <c r="T194" s="17">
        <f t="shared" si="80"/>
        <v>0</v>
      </c>
      <c r="U194" s="17">
        <f t="shared" si="80"/>
        <v>0</v>
      </c>
      <c r="V194" s="17">
        <f t="shared" si="80"/>
        <v>0</v>
      </c>
      <c r="W194" s="17">
        <f t="shared" si="80"/>
        <v>0</v>
      </c>
      <c r="X194" s="17">
        <f t="shared" si="80"/>
        <v>0</v>
      </c>
      <c r="Y194" s="17">
        <f t="shared" si="80"/>
        <v>0</v>
      </c>
      <c r="Z194" s="17">
        <f t="shared" si="80"/>
        <v>0</v>
      </c>
      <c r="AA194" s="17">
        <f t="shared" si="80"/>
        <v>0</v>
      </c>
      <c r="AB194" s="17">
        <f t="shared" si="80"/>
        <v>0</v>
      </c>
      <c r="AC194" s="17">
        <f t="shared" si="80"/>
        <v>0</v>
      </c>
      <c r="AD194" s="17">
        <f t="shared" si="80"/>
        <v>0</v>
      </c>
      <c r="AE194" s="17">
        <f t="shared" si="80"/>
        <v>0</v>
      </c>
      <c r="AF194" s="17">
        <f t="shared" si="80"/>
        <v>0</v>
      </c>
      <c r="AG194" s="17">
        <f t="shared" si="80"/>
        <v>0</v>
      </c>
      <c r="AH194" s="17">
        <f t="shared" si="80"/>
        <v>0</v>
      </c>
      <c r="AI194" s="17">
        <f t="shared" si="80"/>
        <v>0</v>
      </c>
      <c r="AJ194" s="17">
        <f t="shared" si="80"/>
        <v>0</v>
      </c>
      <c r="AK194" s="17">
        <f t="shared" si="80"/>
        <v>0</v>
      </c>
      <c r="AL194" s="17">
        <f t="shared" si="80"/>
        <v>0</v>
      </c>
      <c r="AM194" s="17">
        <f t="shared" si="80"/>
        <v>0</v>
      </c>
      <c r="AN194" s="17">
        <f t="shared" si="80"/>
        <v>0</v>
      </c>
      <c r="AO194" s="17">
        <f t="shared" si="80"/>
        <v>0</v>
      </c>
      <c r="AP194" s="17">
        <f t="shared" si="80"/>
        <v>0</v>
      </c>
      <c r="AQ194" s="17">
        <f t="shared" si="80"/>
        <v>0</v>
      </c>
      <c r="AR194" s="17">
        <f t="shared" si="80"/>
        <v>0</v>
      </c>
      <c r="AS194" s="17">
        <f t="shared" si="80"/>
        <v>0</v>
      </c>
      <c r="AT194" s="17">
        <f t="shared" si="80"/>
        <v>0</v>
      </c>
      <c r="AU194" s="17">
        <f t="shared" si="80"/>
        <v>0</v>
      </c>
    </row>
    <row r="195" spans="1:50">
      <c r="A195" s="20"/>
      <c r="B195" s="18" t="s">
        <v>37</v>
      </c>
      <c r="C195" s="151"/>
      <c r="D195" s="234">
        <f t="shared" ref="D195:AU195" si="81">SUM(D191:D194)</f>
        <v>0</v>
      </c>
      <c r="E195" s="234">
        <f t="shared" si="81"/>
        <v>0</v>
      </c>
      <c r="F195" s="234">
        <f t="shared" si="81"/>
        <v>0</v>
      </c>
      <c r="G195" s="234">
        <f t="shared" si="81"/>
        <v>0</v>
      </c>
      <c r="H195" s="234">
        <f t="shared" si="81"/>
        <v>0</v>
      </c>
      <c r="I195" s="234">
        <f t="shared" si="81"/>
        <v>0</v>
      </c>
      <c r="J195" s="234">
        <f t="shared" si="81"/>
        <v>0</v>
      </c>
      <c r="K195" s="234">
        <f t="shared" si="81"/>
        <v>0</v>
      </c>
      <c r="L195" s="234">
        <f t="shared" si="81"/>
        <v>0</v>
      </c>
      <c r="M195" s="234">
        <f t="shared" si="81"/>
        <v>0</v>
      </c>
      <c r="N195" s="234">
        <f t="shared" si="81"/>
        <v>0</v>
      </c>
      <c r="O195" s="234">
        <f t="shared" si="81"/>
        <v>0</v>
      </c>
      <c r="P195" s="234">
        <f t="shared" si="81"/>
        <v>0</v>
      </c>
      <c r="Q195" s="234">
        <f t="shared" si="81"/>
        <v>0</v>
      </c>
      <c r="R195" s="234">
        <f t="shared" si="81"/>
        <v>0</v>
      </c>
      <c r="S195" s="234">
        <f t="shared" si="81"/>
        <v>0</v>
      </c>
      <c r="T195" s="234">
        <f t="shared" si="81"/>
        <v>0</v>
      </c>
      <c r="U195" s="234">
        <f t="shared" si="81"/>
        <v>0</v>
      </c>
      <c r="V195" s="234">
        <f t="shared" si="81"/>
        <v>0</v>
      </c>
      <c r="W195" s="234">
        <f t="shared" si="81"/>
        <v>0</v>
      </c>
      <c r="X195" s="234">
        <f t="shared" si="81"/>
        <v>0</v>
      </c>
      <c r="Y195" s="234">
        <f t="shared" si="81"/>
        <v>0</v>
      </c>
      <c r="Z195" s="234">
        <f t="shared" si="81"/>
        <v>0</v>
      </c>
      <c r="AA195" s="234">
        <f t="shared" si="81"/>
        <v>0</v>
      </c>
      <c r="AB195" s="234">
        <f t="shared" si="81"/>
        <v>0</v>
      </c>
      <c r="AC195" s="234">
        <f t="shared" si="81"/>
        <v>0</v>
      </c>
      <c r="AD195" s="234">
        <f t="shared" si="81"/>
        <v>0</v>
      </c>
      <c r="AE195" s="234">
        <f t="shared" si="81"/>
        <v>0</v>
      </c>
      <c r="AF195" s="234">
        <f t="shared" si="81"/>
        <v>0</v>
      </c>
      <c r="AG195" s="234">
        <f t="shared" si="81"/>
        <v>0</v>
      </c>
      <c r="AH195" s="234">
        <f t="shared" si="81"/>
        <v>0</v>
      </c>
      <c r="AI195" s="234">
        <f t="shared" si="81"/>
        <v>0</v>
      </c>
      <c r="AJ195" s="234">
        <f t="shared" si="81"/>
        <v>0</v>
      </c>
      <c r="AK195" s="234">
        <f t="shared" si="81"/>
        <v>0</v>
      </c>
      <c r="AL195" s="234">
        <f t="shared" si="81"/>
        <v>0</v>
      </c>
      <c r="AM195" s="234">
        <f t="shared" si="81"/>
        <v>0</v>
      </c>
      <c r="AN195" s="234">
        <f t="shared" si="81"/>
        <v>0</v>
      </c>
      <c r="AO195" s="234">
        <f t="shared" si="81"/>
        <v>0</v>
      </c>
      <c r="AP195" s="234">
        <f t="shared" si="81"/>
        <v>0</v>
      </c>
      <c r="AQ195" s="234">
        <f t="shared" si="81"/>
        <v>0</v>
      </c>
      <c r="AR195" s="234">
        <f t="shared" si="81"/>
        <v>0</v>
      </c>
      <c r="AS195" s="234">
        <f t="shared" si="81"/>
        <v>0</v>
      </c>
      <c r="AT195" s="234">
        <f t="shared" si="81"/>
        <v>0</v>
      </c>
      <c r="AU195" s="234">
        <f t="shared" si="81"/>
        <v>0</v>
      </c>
    </row>
    <row r="196" spans="1:50">
      <c r="A196" s="20"/>
      <c r="B196" s="20"/>
      <c r="C196" s="151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</row>
    <row r="197" spans="1:50">
      <c r="B197" s="235" t="s">
        <v>240</v>
      </c>
      <c r="C197" s="236"/>
      <c r="D197" s="237">
        <f t="shared" ref="D197:AU197" si="82">D195*12</f>
        <v>0</v>
      </c>
      <c r="E197" s="237">
        <f t="shared" si="82"/>
        <v>0</v>
      </c>
      <c r="F197" s="237">
        <f t="shared" si="82"/>
        <v>0</v>
      </c>
      <c r="G197" s="237">
        <f t="shared" si="82"/>
        <v>0</v>
      </c>
      <c r="H197" s="237">
        <f t="shared" si="82"/>
        <v>0</v>
      </c>
      <c r="I197" s="237">
        <f t="shared" si="82"/>
        <v>0</v>
      </c>
      <c r="J197" s="237">
        <f t="shared" si="82"/>
        <v>0</v>
      </c>
      <c r="K197" s="237">
        <f t="shared" si="82"/>
        <v>0</v>
      </c>
      <c r="L197" s="237">
        <f t="shared" si="82"/>
        <v>0</v>
      </c>
      <c r="M197" s="237">
        <f t="shared" si="82"/>
        <v>0</v>
      </c>
      <c r="N197" s="237">
        <f t="shared" si="82"/>
        <v>0</v>
      </c>
      <c r="O197" s="237">
        <f t="shared" si="82"/>
        <v>0</v>
      </c>
      <c r="P197" s="237">
        <f t="shared" si="82"/>
        <v>0</v>
      </c>
      <c r="Q197" s="237">
        <f t="shared" si="82"/>
        <v>0</v>
      </c>
      <c r="R197" s="237">
        <f t="shared" si="82"/>
        <v>0</v>
      </c>
      <c r="S197" s="237">
        <f t="shared" si="82"/>
        <v>0</v>
      </c>
      <c r="T197" s="237">
        <f t="shared" si="82"/>
        <v>0</v>
      </c>
      <c r="U197" s="237">
        <f t="shared" si="82"/>
        <v>0</v>
      </c>
      <c r="V197" s="237">
        <f t="shared" si="82"/>
        <v>0</v>
      </c>
      <c r="W197" s="237">
        <f t="shared" si="82"/>
        <v>0</v>
      </c>
      <c r="X197" s="237">
        <f t="shared" si="82"/>
        <v>0</v>
      </c>
      <c r="Y197" s="237">
        <f t="shared" si="82"/>
        <v>0</v>
      </c>
      <c r="Z197" s="237">
        <f t="shared" si="82"/>
        <v>0</v>
      </c>
      <c r="AA197" s="237">
        <f t="shared" si="82"/>
        <v>0</v>
      </c>
      <c r="AB197" s="237">
        <f t="shared" si="82"/>
        <v>0</v>
      </c>
      <c r="AC197" s="237">
        <f t="shared" si="82"/>
        <v>0</v>
      </c>
      <c r="AD197" s="237">
        <f t="shared" si="82"/>
        <v>0</v>
      </c>
      <c r="AE197" s="237">
        <f t="shared" si="82"/>
        <v>0</v>
      </c>
      <c r="AF197" s="237">
        <f t="shared" si="82"/>
        <v>0</v>
      </c>
      <c r="AG197" s="237">
        <f t="shared" si="82"/>
        <v>0</v>
      </c>
      <c r="AH197" s="237">
        <f t="shared" si="82"/>
        <v>0</v>
      </c>
      <c r="AI197" s="237">
        <f t="shared" si="82"/>
        <v>0</v>
      </c>
      <c r="AJ197" s="237">
        <f t="shared" si="82"/>
        <v>0</v>
      </c>
      <c r="AK197" s="237">
        <f t="shared" si="82"/>
        <v>0</v>
      </c>
      <c r="AL197" s="237">
        <f t="shared" si="82"/>
        <v>0</v>
      </c>
      <c r="AM197" s="237">
        <f t="shared" si="82"/>
        <v>0</v>
      </c>
      <c r="AN197" s="237">
        <f t="shared" si="82"/>
        <v>0</v>
      </c>
      <c r="AO197" s="237">
        <f t="shared" si="82"/>
        <v>0</v>
      </c>
      <c r="AP197" s="237">
        <f t="shared" si="82"/>
        <v>0</v>
      </c>
      <c r="AQ197" s="237">
        <f t="shared" si="82"/>
        <v>0</v>
      </c>
      <c r="AR197" s="237">
        <f t="shared" si="82"/>
        <v>0</v>
      </c>
      <c r="AS197" s="237">
        <f t="shared" si="82"/>
        <v>0</v>
      </c>
      <c r="AT197" s="237">
        <f t="shared" si="82"/>
        <v>0</v>
      </c>
      <c r="AU197" s="237">
        <f t="shared" si="82"/>
        <v>0</v>
      </c>
    </row>
    <row r="198" spans="1:50">
      <c r="C198" s="151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</row>
    <row r="199" spans="1:50" ht="11.25" customHeight="1">
      <c r="D199" s="238"/>
      <c r="E199" s="238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238"/>
      <c r="AN199" s="238"/>
      <c r="AO199" s="238"/>
      <c r="AP199" s="238"/>
      <c r="AQ199" s="238"/>
      <c r="AR199" s="238"/>
      <c r="AS199" s="238"/>
      <c r="AT199" s="238"/>
      <c r="AU199" s="238"/>
    </row>
    <row r="200" spans="1:50" ht="12" customHeight="1">
      <c r="B200" s="170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348"/>
      <c r="AW200" s="348"/>
      <c r="AX200" s="348"/>
    </row>
    <row r="201" spans="1:50" ht="11.25" customHeight="1">
      <c r="B201" s="239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</row>
    <row r="202" spans="1:50" ht="11.25" customHeight="1"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  <c r="AJ202" s="238"/>
      <c r="AK202" s="238"/>
      <c r="AL202" s="238"/>
      <c r="AM202" s="238"/>
      <c r="AN202" s="238"/>
      <c r="AO202" s="238"/>
      <c r="AP202" s="238"/>
      <c r="AQ202" s="238"/>
      <c r="AR202" s="238"/>
      <c r="AS202" s="238"/>
      <c r="AT202" s="238"/>
      <c r="AU202" s="238"/>
    </row>
    <row r="203" spans="1:50">
      <c r="B203" s="151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</row>
    <row r="204" spans="1:50">
      <c r="B204" s="236"/>
      <c r="C204" s="15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  <c r="AR204" s="241"/>
      <c r="AS204" s="241"/>
      <c r="AT204" s="241"/>
      <c r="AU204" s="241"/>
    </row>
    <row r="205" spans="1:50">
      <c r="B205" s="151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</row>
    <row r="206" spans="1:50">
      <c r="B206" s="151"/>
      <c r="C206" s="242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</row>
    <row r="207" spans="1:50">
      <c r="B207" s="151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43"/>
      <c r="AT207" s="243"/>
      <c r="AU207" s="243"/>
    </row>
    <row r="208" spans="1:50">
      <c r="B208" s="151"/>
      <c r="C208" s="15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151"/>
      <c r="Y208" s="151"/>
      <c r="Z208" s="151"/>
      <c r="AA208" s="151"/>
      <c r="AB208" s="151"/>
    </row>
    <row r="209" spans="1:47">
      <c r="C209" s="151"/>
      <c r="D209" s="241"/>
      <c r="E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151"/>
      <c r="Y209" s="151"/>
      <c r="Z209" s="151"/>
      <c r="AA209" s="151"/>
      <c r="AB209" s="151"/>
    </row>
    <row r="210" spans="1:47">
      <c r="A210" s="171" t="s">
        <v>142</v>
      </c>
      <c r="B210" s="166" t="s">
        <v>143</v>
      </c>
      <c r="C210" s="166"/>
      <c r="D210" s="166">
        <v>1</v>
      </c>
      <c r="E210" s="166">
        <f>D210+1</f>
        <v>2</v>
      </c>
      <c r="F210" s="166">
        <f t="shared" ref="F210:AU210" si="83">E210+1</f>
        <v>3</v>
      </c>
      <c r="G210" s="166">
        <f t="shared" si="83"/>
        <v>4</v>
      </c>
      <c r="H210" s="166">
        <f t="shared" si="83"/>
        <v>5</v>
      </c>
      <c r="I210" s="166">
        <f t="shared" si="83"/>
        <v>6</v>
      </c>
      <c r="J210" s="166">
        <f t="shared" si="83"/>
        <v>7</v>
      </c>
      <c r="K210" s="166">
        <f t="shared" si="83"/>
        <v>8</v>
      </c>
      <c r="L210" s="166">
        <f t="shared" si="83"/>
        <v>9</v>
      </c>
      <c r="M210" s="166">
        <f t="shared" si="83"/>
        <v>10</v>
      </c>
      <c r="N210" s="166">
        <f t="shared" si="83"/>
        <v>11</v>
      </c>
      <c r="O210" s="166">
        <f t="shared" si="83"/>
        <v>12</v>
      </c>
      <c r="P210" s="166">
        <f t="shared" si="83"/>
        <v>13</v>
      </c>
      <c r="Q210" s="166">
        <f t="shared" si="83"/>
        <v>14</v>
      </c>
      <c r="R210" s="166">
        <f t="shared" si="83"/>
        <v>15</v>
      </c>
      <c r="S210" s="166">
        <f t="shared" si="83"/>
        <v>16</v>
      </c>
      <c r="T210" s="166">
        <f t="shared" si="83"/>
        <v>17</v>
      </c>
      <c r="U210" s="166">
        <f t="shared" si="83"/>
        <v>18</v>
      </c>
      <c r="V210" s="166">
        <f t="shared" si="83"/>
        <v>19</v>
      </c>
      <c r="W210" s="166">
        <f t="shared" si="83"/>
        <v>20</v>
      </c>
      <c r="X210" s="166">
        <f t="shared" si="83"/>
        <v>21</v>
      </c>
      <c r="Y210" s="166">
        <f t="shared" si="83"/>
        <v>22</v>
      </c>
      <c r="Z210" s="166">
        <f t="shared" si="83"/>
        <v>23</v>
      </c>
      <c r="AA210" s="166">
        <f t="shared" si="83"/>
        <v>24</v>
      </c>
      <c r="AB210" s="166">
        <f t="shared" si="83"/>
        <v>25</v>
      </c>
      <c r="AC210" s="166">
        <f t="shared" si="83"/>
        <v>26</v>
      </c>
      <c r="AD210" s="166">
        <f t="shared" si="83"/>
        <v>27</v>
      </c>
      <c r="AE210" s="166">
        <f t="shared" si="83"/>
        <v>28</v>
      </c>
      <c r="AF210" s="166">
        <f t="shared" si="83"/>
        <v>29</v>
      </c>
      <c r="AG210" s="166">
        <f t="shared" si="83"/>
        <v>30</v>
      </c>
      <c r="AH210" s="166">
        <f t="shared" si="83"/>
        <v>31</v>
      </c>
      <c r="AI210" s="166">
        <f t="shared" si="83"/>
        <v>32</v>
      </c>
      <c r="AJ210" s="166">
        <f t="shared" si="83"/>
        <v>33</v>
      </c>
      <c r="AK210" s="166">
        <f t="shared" si="83"/>
        <v>34</v>
      </c>
      <c r="AL210" s="166">
        <f t="shared" si="83"/>
        <v>35</v>
      </c>
      <c r="AM210" s="166">
        <f t="shared" si="83"/>
        <v>36</v>
      </c>
      <c r="AN210" s="166">
        <f t="shared" si="83"/>
        <v>37</v>
      </c>
      <c r="AO210" s="166">
        <f t="shared" si="83"/>
        <v>38</v>
      </c>
      <c r="AP210" s="166">
        <f t="shared" si="83"/>
        <v>39</v>
      </c>
      <c r="AQ210" s="166">
        <f t="shared" si="83"/>
        <v>40</v>
      </c>
      <c r="AR210" s="166">
        <f t="shared" si="83"/>
        <v>41</v>
      </c>
      <c r="AS210" s="166">
        <f t="shared" si="83"/>
        <v>42</v>
      </c>
      <c r="AT210" s="166">
        <f t="shared" si="83"/>
        <v>43</v>
      </c>
      <c r="AU210" s="166">
        <f t="shared" si="83"/>
        <v>44</v>
      </c>
    </row>
    <row r="211" spans="1:47">
      <c r="B211" s="244" t="s">
        <v>241</v>
      </c>
      <c r="C211" s="245" t="s">
        <v>242</v>
      </c>
      <c r="D211" s="241" t="s">
        <v>243</v>
      </c>
      <c r="E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5"/>
      <c r="Y211" s="245"/>
      <c r="Z211" s="245"/>
      <c r="AA211" s="245"/>
      <c r="AB211" s="245"/>
    </row>
    <row r="212" spans="1:47">
      <c r="B212" s="245" t="s">
        <v>244</v>
      </c>
      <c r="C212" s="245"/>
      <c r="D212" s="246">
        <f>IF(D211="D",D223,IF(D211="D15",D221,IF(D211="P",D222,IF(D211="DB",D224,D225))))</f>
        <v>0.05</v>
      </c>
      <c r="E212" s="246">
        <f t="shared" ref="E212:X212" si="84">IF(E211="D",E223,E221)</f>
        <v>9.5000000000000001E-2</v>
      </c>
      <c r="F212" s="246">
        <f t="shared" si="84"/>
        <v>8.5500000000000007E-2</v>
      </c>
      <c r="G212" s="246">
        <f t="shared" si="84"/>
        <v>7.6999999999999999E-2</v>
      </c>
      <c r="H212" s="246">
        <f t="shared" si="84"/>
        <v>6.93E-2</v>
      </c>
      <c r="I212" s="246">
        <f t="shared" si="84"/>
        <v>6.2300000000000001E-2</v>
      </c>
      <c r="J212" s="246">
        <f t="shared" si="84"/>
        <v>5.8999999999999997E-2</v>
      </c>
      <c r="K212" s="246">
        <f t="shared" si="84"/>
        <v>5.8999999999999997E-2</v>
      </c>
      <c r="L212" s="246">
        <f t="shared" si="84"/>
        <v>5.91E-2</v>
      </c>
      <c r="M212" s="246">
        <f t="shared" si="84"/>
        <v>5.8999999999999997E-2</v>
      </c>
      <c r="N212" s="246">
        <f t="shared" si="84"/>
        <v>5.91E-2</v>
      </c>
      <c r="O212" s="246">
        <f t="shared" si="84"/>
        <v>5.8999999999999997E-2</v>
      </c>
      <c r="P212" s="246">
        <f t="shared" si="84"/>
        <v>5.91E-2</v>
      </c>
      <c r="Q212" s="246">
        <f t="shared" si="84"/>
        <v>5.8999999999999997E-2</v>
      </c>
      <c r="R212" s="246">
        <f t="shared" si="84"/>
        <v>5.91E-2</v>
      </c>
      <c r="S212" s="246">
        <f t="shared" si="84"/>
        <v>2.9499999999999998E-2</v>
      </c>
      <c r="T212" s="246">
        <f t="shared" si="84"/>
        <v>0</v>
      </c>
      <c r="U212" s="246">
        <f t="shared" si="84"/>
        <v>0</v>
      </c>
      <c r="V212" s="246">
        <f t="shared" si="84"/>
        <v>0</v>
      </c>
      <c r="W212" s="246">
        <f t="shared" si="84"/>
        <v>0</v>
      </c>
      <c r="X212" s="246">
        <f t="shared" si="84"/>
        <v>0</v>
      </c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</row>
    <row r="213" spans="1:47">
      <c r="B213" s="245" t="s">
        <v>245</v>
      </c>
      <c r="C213" s="245"/>
      <c r="D213" s="247">
        <f t="shared" ref="D213:X213" si="85">$D$8</f>
        <v>0</v>
      </c>
      <c r="E213" s="247">
        <f t="shared" si="85"/>
        <v>0</v>
      </c>
      <c r="F213" s="247">
        <f t="shared" si="85"/>
        <v>0</v>
      </c>
      <c r="G213" s="247">
        <f t="shared" si="85"/>
        <v>0</v>
      </c>
      <c r="H213" s="247">
        <f t="shared" si="85"/>
        <v>0</v>
      </c>
      <c r="I213" s="247">
        <f t="shared" si="85"/>
        <v>0</v>
      </c>
      <c r="J213" s="247">
        <f t="shared" si="85"/>
        <v>0</v>
      </c>
      <c r="K213" s="247">
        <f t="shared" si="85"/>
        <v>0</v>
      </c>
      <c r="L213" s="247">
        <f t="shared" si="85"/>
        <v>0</v>
      </c>
      <c r="M213" s="247">
        <f t="shared" si="85"/>
        <v>0</v>
      </c>
      <c r="N213" s="247">
        <f t="shared" si="85"/>
        <v>0</v>
      </c>
      <c r="O213" s="247">
        <f t="shared" si="85"/>
        <v>0</v>
      </c>
      <c r="P213" s="247">
        <f t="shared" si="85"/>
        <v>0</v>
      </c>
      <c r="Q213" s="247">
        <f t="shared" si="85"/>
        <v>0</v>
      </c>
      <c r="R213" s="247">
        <f t="shared" si="85"/>
        <v>0</v>
      </c>
      <c r="S213" s="247">
        <f t="shared" si="85"/>
        <v>0</v>
      </c>
      <c r="T213" s="247">
        <f t="shared" si="85"/>
        <v>0</v>
      </c>
      <c r="U213" s="247">
        <f t="shared" si="85"/>
        <v>0</v>
      </c>
      <c r="V213" s="247">
        <f t="shared" si="85"/>
        <v>0</v>
      </c>
      <c r="W213" s="247">
        <f t="shared" si="85"/>
        <v>0</v>
      </c>
      <c r="X213" s="247">
        <f t="shared" si="85"/>
        <v>0</v>
      </c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</row>
    <row r="214" spans="1:47">
      <c r="B214" s="245" t="s">
        <v>35</v>
      </c>
      <c r="C214" s="245"/>
      <c r="D214" s="248">
        <f t="shared" ref="D214:X214" si="86">D212*D213</f>
        <v>0</v>
      </c>
      <c r="E214" s="248">
        <f t="shared" si="86"/>
        <v>0</v>
      </c>
      <c r="F214" s="248">
        <f t="shared" si="86"/>
        <v>0</v>
      </c>
      <c r="G214" s="248">
        <f t="shared" si="86"/>
        <v>0</v>
      </c>
      <c r="H214" s="248">
        <f t="shared" si="86"/>
        <v>0</v>
      </c>
      <c r="I214" s="248">
        <f t="shared" si="86"/>
        <v>0</v>
      </c>
      <c r="J214" s="248">
        <f t="shared" si="86"/>
        <v>0</v>
      </c>
      <c r="K214" s="248">
        <f t="shared" si="86"/>
        <v>0</v>
      </c>
      <c r="L214" s="248">
        <f t="shared" si="86"/>
        <v>0</v>
      </c>
      <c r="M214" s="248">
        <f t="shared" si="86"/>
        <v>0</v>
      </c>
      <c r="N214" s="248">
        <f t="shared" si="86"/>
        <v>0</v>
      </c>
      <c r="O214" s="248">
        <f t="shared" si="86"/>
        <v>0</v>
      </c>
      <c r="P214" s="248">
        <f t="shared" si="86"/>
        <v>0</v>
      </c>
      <c r="Q214" s="248">
        <f t="shared" si="86"/>
        <v>0</v>
      </c>
      <c r="R214" s="248">
        <f t="shared" si="86"/>
        <v>0</v>
      </c>
      <c r="S214" s="248">
        <f t="shared" si="86"/>
        <v>0</v>
      </c>
      <c r="T214" s="248">
        <f t="shared" si="86"/>
        <v>0</v>
      </c>
      <c r="U214" s="248">
        <f t="shared" si="86"/>
        <v>0</v>
      </c>
      <c r="V214" s="248">
        <f t="shared" si="86"/>
        <v>0</v>
      </c>
      <c r="W214" s="248">
        <f t="shared" si="86"/>
        <v>0</v>
      </c>
      <c r="X214" s="248">
        <f t="shared" si="86"/>
        <v>0</v>
      </c>
      <c r="Y214" s="249">
        <f>SUM(D214:X214)</f>
        <v>0</v>
      </c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</row>
    <row r="215" spans="1:47">
      <c r="B215" s="245" t="s">
        <v>246</v>
      </c>
      <c r="C215" s="250">
        <f>ROUND((H5-(H5*H6)+H6),5)</f>
        <v>0.24721000000000001</v>
      </c>
      <c r="D215" s="248">
        <f t="shared" ref="D215:X215" si="87">D214*$C$215</f>
        <v>0</v>
      </c>
      <c r="E215" s="248">
        <f t="shared" si="87"/>
        <v>0</v>
      </c>
      <c r="F215" s="248">
        <f t="shared" si="87"/>
        <v>0</v>
      </c>
      <c r="G215" s="248">
        <f t="shared" si="87"/>
        <v>0</v>
      </c>
      <c r="H215" s="248">
        <f t="shared" si="87"/>
        <v>0</v>
      </c>
      <c r="I215" s="248">
        <f t="shared" si="87"/>
        <v>0</v>
      </c>
      <c r="J215" s="248">
        <f t="shared" si="87"/>
        <v>0</v>
      </c>
      <c r="K215" s="248">
        <f t="shared" si="87"/>
        <v>0</v>
      </c>
      <c r="L215" s="248">
        <f t="shared" si="87"/>
        <v>0</v>
      </c>
      <c r="M215" s="248">
        <f t="shared" si="87"/>
        <v>0</v>
      </c>
      <c r="N215" s="248">
        <f t="shared" si="87"/>
        <v>0</v>
      </c>
      <c r="O215" s="248">
        <f t="shared" si="87"/>
        <v>0</v>
      </c>
      <c r="P215" s="248">
        <f t="shared" si="87"/>
        <v>0</v>
      </c>
      <c r="Q215" s="248">
        <f t="shared" si="87"/>
        <v>0</v>
      </c>
      <c r="R215" s="248">
        <f t="shared" si="87"/>
        <v>0</v>
      </c>
      <c r="S215" s="248">
        <f t="shared" si="87"/>
        <v>0</v>
      </c>
      <c r="T215" s="248">
        <f t="shared" si="87"/>
        <v>0</v>
      </c>
      <c r="U215" s="248">
        <f t="shared" si="87"/>
        <v>0</v>
      </c>
      <c r="V215" s="248">
        <f t="shared" si="87"/>
        <v>0</v>
      </c>
      <c r="W215" s="248">
        <f t="shared" si="87"/>
        <v>0</v>
      </c>
      <c r="X215" s="248">
        <f t="shared" si="87"/>
        <v>0</v>
      </c>
      <c r="Y215" s="248">
        <f>SUM(C215:X215)</f>
        <v>0.24721000000000001</v>
      </c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</row>
    <row r="216" spans="1:47">
      <c r="A216" s="18"/>
      <c r="B216" s="245" t="s">
        <v>247</v>
      </c>
      <c r="C216" s="251">
        <f>ROUND(NPV(M17,E215:X215)+D215,0)</f>
        <v>0</v>
      </c>
      <c r="D216" s="241"/>
      <c r="E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5"/>
      <c r="Y216" s="245"/>
      <c r="Z216" s="245"/>
      <c r="AA216" s="245"/>
      <c r="AB216" s="245"/>
    </row>
    <row r="217" spans="1:47">
      <c r="A217" s="18"/>
      <c r="B217" s="245" t="s">
        <v>248</v>
      </c>
      <c r="C217" s="251">
        <f>C216/(1-C215)</f>
        <v>0</v>
      </c>
      <c r="D217" s="241"/>
      <c r="E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5"/>
      <c r="Y217" s="245"/>
      <c r="Z217" s="245"/>
      <c r="AA217" s="245"/>
      <c r="AB217" s="245"/>
    </row>
    <row r="218" spans="1:47">
      <c r="A218" s="18"/>
      <c r="B218" s="245" t="s">
        <v>249</v>
      </c>
      <c r="C218" s="251">
        <f>D8*(1+H8)</f>
        <v>0</v>
      </c>
      <c r="D218" s="241"/>
      <c r="E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5"/>
      <c r="Y218" s="245"/>
      <c r="Z218" s="245"/>
      <c r="AA218" s="245"/>
      <c r="AB218" s="245"/>
    </row>
    <row r="219" spans="1:47">
      <c r="A219" s="18"/>
      <c r="B219" s="245" t="s">
        <v>250</v>
      </c>
      <c r="C219" s="251">
        <f>C218-C217</f>
        <v>0</v>
      </c>
      <c r="D219" s="241"/>
      <c r="E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5"/>
      <c r="Y219" s="245"/>
      <c r="Z219" s="245"/>
      <c r="AA219" s="245"/>
      <c r="AB219" s="245"/>
    </row>
    <row r="220" spans="1:47">
      <c r="A220" s="18"/>
      <c r="B220" s="245" t="s">
        <v>241</v>
      </c>
      <c r="C220" s="251">
        <f>C219-D8</f>
        <v>0</v>
      </c>
      <c r="D220" s="241"/>
      <c r="E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5"/>
      <c r="Y220" s="245"/>
      <c r="Z220" s="245"/>
      <c r="AA220" s="245"/>
      <c r="AB220" s="245"/>
    </row>
    <row r="221" spans="1:47">
      <c r="A221" s="18"/>
      <c r="B221" s="245" t="s">
        <v>251</v>
      </c>
      <c r="C221" s="18" t="s">
        <v>243</v>
      </c>
      <c r="D221" s="252">
        <v>0.05</v>
      </c>
      <c r="E221" s="252">
        <v>9.5000000000000001E-2</v>
      </c>
      <c r="F221" s="252">
        <v>8.5500000000000007E-2</v>
      </c>
      <c r="G221" s="252">
        <v>7.6999999999999999E-2</v>
      </c>
      <c r="H221" s="252">
        <v>6.93E-2</v>
      </c>
      <c r="I221" s="252">
        <v>6.2300000000000001E-2</v>
      </c>
      <c r="J221" s="252">
        <v>5.8999999999999997E-2</v>
      </c>
      <c r="K221" s="252">
        <v>5.8999999999999997E-2</v>
      </c>
      <c r="L221" s="252">
        <v>5.91E-2</v>
      </c>
      <c r="M221" s="252">
        <v>5.8999999999999997E-2</v>
      </c>
      <c r="N221" s="252">
        <v>5.91E-2</v>
      </c>
      <c r="O221" s="252">
        <v>5.8999999999999997E-2</v>
      </c>
      <c r="P221" s="252">
        <v>5.91E-2</v>
      </c>
      <c r="Q221" s="252">
        <v>5.8999999999999997E-2</v>
      </c>
      <c r="R221" s="252">
        <v>5.91E-2</v>
      </c>
      <c r="S221" s="252">
        <v>2.9499999999999998E-2</v>
      </c>
      <c r="T221" s="241"/>
      <c r="U221" s="241"/>
      <c r="V221" s="241"/>
      <c r="W221" s="241"/>
      <c r="X221" s="241"/>
      <c r="Y221" s="245"/>
      <c r="Z221" s="245"/>
      <c r="AA221" s="245"/>
      <c r="AB221" s="245"/>
    </row>
    <row r="222" spans="1:47">
      <c r="A222" s="18"/>
      <c r="B222" s="245" t="s">
        <v>252</v>
      </c>
      <c r="C222" s="18" t="s">
        <v>253</v>
      </c>
      <c r="D222" s="252">
        <v>0.1429</v>
      </c>
      <c r="E222" s="253">
        <v>0.24490000000000001</v>
      </c>
      <c r="F222" s="253">
        <v>0.1749</v>
      </c>
      <c r="G222" s="208">
        <v>0.1249</v>
      </c>
      <c r="H222" s="208">
        <v>8.9300000000000004E-2</v>
      </c>
      <c r="I222" s="208">
        <v>8.9200000000000002E-2</v>
      </c>
      <c r="J222" s="253">
        <v>8.9300000000000004E-2</v>
      </c>
      <c r="K222" s="253">
        <v>4.4600000000000001E-2</v>
      </c>
      <c r="L222" s="253">
        <v>0</v>
      </c>
      <c r="M222" s="253">
        <v>0</v>
      </c>
      <c r="N222" s="253">
        <v>0</v>
      </c>
      <c r="O222" s="253">
        <v>0</v>
      </c>
      <c r="P222" s="253">
        <v>0</v>
      </c>
      <c r="Q222" s="253">
        <v>0</v>
      </c>
      <c r="R222" s="253">
        <v>0</v>
      </c>
      <c r="S222" s="253">
        <v>0</v>
      </c>
      <c r="T222" s="241"/>
      <c r="U222" s="241"/>
      <c r="V222" s="241"/>
      <c r="W222" s="241"/>
      <c r="X222" s="241"/>
      <c r="Y222" s="245"/>
      <c r="Z222" s="245"/>
      <c r="AA222" s="245"/>
      <c r="AB222" s="245"/>
    </row>
    <row r="223" spans="1:47">
      <c r="A223" s="18"/>
      <c r="B223" s="245" t="s">
        <v>254</v>
      </c>
      <c r="C223" s="18" t="s">
        <v>255</v>
      </c>
      <c r="D223" s="252">
        <v>3.7499999999999999E-2</v>
      </c>
      <c r="E223" s="254">
        <v>7.2190000000000004E-2</v>
      </c>
      <c r="F223" s="254">
        <v>6.6769999999999996E-2</v>
      </c>
      <c r="G223" s="255">
        <v>6.1769999999999999E-2</v>
      </c>
      <c r="H223" s="255">
        <v>5.713E-2</v>
      </c>
      <c r="I223" s="255">
        <v>5.2850000000000001E-2</v>
      </c>
      <c r="J223" s="254">
        <v>4.888E-2</v>
      </c>
      <c r="K223" s="254">
        <v>4.5220000000000003E-2</v>
      </c>
      <c r="L223" s="254">
        <v>4.462E-2</v>
      </c>
      <c r="M223" s="254">
        <v>4.4609999999999997E-2</v>
      </c>
      <c r="N223" s="254">
        <v>4.462E-2</v>
      </c>
      <c r="O223" s="254">
        <v>4.4609999999999997E-2</v>
      </c>
      <c r="P223" s="254">
        <v>4.462E-2</v>
      </c>
      <c r="Q223" s="254">
        <v>4.4609999999999997E-2</v>
      </c>
      <c r="R223" s="254">
        <v>4.462E-2</v>
      </c>
      <c r="S223" s="254">
        <v>4.4609999999999997E-2</v>
      </c>
      <c r="T223" s="254">
        <v>4.462E-2</v>
      </c>
      <c r="U223" s="254">
        <v>4.4609999999999997E-2</v>
      </c>
      <c r="V223" s="254">
        <v>4.462E-2</v>
      </c>
      <c r="W223" s="254">
        <v>4.4603999999999998E-2</v>
      </c>
      <c r="X223" s="254">
        <v>2.231E-2</v>
      </c>
      <c r="Y223" s="245"/>
      <c r="Z223" s="245"/>
      <c r="AA223" s="245"/>
      <c r="AB223" s="245"/>
    </row>
    <row r="224" spans="1:47">
      <c r="A224" s="18"/>
      <c r="B224" s="245" t="s">
        <v>256</v>
      </c>
      <c r="C224" s="18" t="s">
        <v>257</v>
      </c>
      <c r="D224" s="256">
        <v>0.51875000000000004</v>
      </c>
      <c r="E224" s="254">
        <v>3.61E-2</v>
      </c>
      <c r="F224" s="254">
        <v>3.3390000000000003E-2</v>
      </c>
      <c r="G224" s="255">
        <v>3.0890000000000001E-2</v>
      </c>
      <c r="H224" s="255">
        <v>2.8570000000000002E-2</v>
      </c>
      <c r="I224" s="255">
        <v>2.6429999999999999E-2</v>
      </c>
      <c r="J224" s="254">
        <v>2.444E-2</v>
      </c>
      <c r="K224" s="254">
        <v>2.2610000000000002E-2</v>
      </c>
      <c r="L224" s="254">
        <v>2.231E-2</v>
      </c>
      <c r="M224" s="254">
        <v>2.231E-2</v>
      </c>
      <c r="N224" s="254">
        <v>2.231E-2</v>
      </c>
      <c r="O224" s="254">
        <v>2.231E-2</v>
      </c>
      <c r="P224" s="254">
        <v>2.231E-2</v>
      </c>
      <c r="Q224" s="254">
        <v>2.231E-2</v>
      </c>
      <c r="R224" s="254">
        <v>2.231E-2</v>
      </c>
      <c r="S224" s="254">
        <v>2.231E-2</v>
      </c>
      <c r="T224" s="254">
        <v>2.231E-2</v>
      </c>
      <c r="U224" s="254">
        <v>2.231E-2</v>
      </c>
      <c r="V224" s="254">
        <v>2.231E-2</v>
      </c>
      <c r="W224" s="254">
        <v>2.231E-2</v>
      </c>
      <c r="X224" s="254">
        <v>1.11E-2</v>
      </c>
      <c r="Y224" s="245"/>
      <c r="Z224" s="245"/>
      <c r="AA224" s="245"/>
      <c r="AB224" s="245"/>
    </row>
    <row r="225" spans="1:28">
      <c r="A225" s="18"/>
      <c r="B225" s="245" t="s">
        <v>258</v>
      </c>
      <c r="C225" s="18" t="s">
        <v>259</v>
      </c>
      <c r="D225" s="252">
        <v>0.44</v>
      </c>
      <c r="E225" s="254">
        <v>0.224</v>
      </c>
      <c r="F225" s="254">
        <v>0.13439999999999999</v>
      </c>
      <c r="G225" s="255">
        <v>8.0640000000000003E-2</v>
      </c>
      <c r="H225" s="255">
        <v>8.0640000000000003E-2</v>
      </c>
      <c r="I225" s="255">
        <v>4.0320000000000002E-2</v>
      </c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5"/>
      <c r="Z225" s="245"/>
      <c r="AA225" s="245"/>
      <c r="AB225" s="245"/>
    </row>
    <row r="226" spans="1:28">
      <c r="A226" s="18"/>
      <c r="B226" s="151"/>
      <c r="C226" s="151"/>
      <c r="D226" s="241"/>
      <c r="E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151"/>
      <c r="Y226" s="151"/>
      <c r="Z226" s="151"/>
      <c r="AA226" s="151"/>
      <c r="AB226" s="151"/>
    </row>
    <row r="227" spans="1:28">
      <c r="A227" s="18"/>
      <c r="B227" s="151"/>
      <c r="C227" s="151"/>
      <c r="D227" s="241"/>
      <c r="E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1"/>
      <c r="W227" s="241"/>
      <c r="X227" s="151"/>
      <c r="Y227" s="151"/>
      <c r="Z227" s="151"/>
      <c r="AA227" s="151"/>
      <c r="AB227" s="151"/>
    </row>
    <row r="228" spans="1:28">
      <c r="A228" s="18"/>
      <c r="B228" s="151"/>
      <c r="C228" s="151"/>
      <c r="D228" s="241"/>
      <c r="E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151"/>
      <c r="Y228" s="151"/>
      <c r="Z228" s="151"/>
      <c r="AA228" s="151"/>
      <c r="AB228" s="151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  <row r="304" s="18" customFormat="1"/>
    <row r="305" s="18" customFormat="1"/>
    <row r="306" s="18" customFormat="1"/>
    <row r="307" s="18" customFormat="1"/>
    <row r="308" s="18" customFormat="1"/>
    <row r="309" s="18" customFormat="1"/>
    <row r="310" s="18" customFormat="1"/>
    <row r="311" s="18" customFormat="1"/>
    <row r="312" s="18" customFormat="1"/>
    <row r="313" s="18" customFormat="1"/>
    <row r="314" s="18" customFormat="1"/>
    <row r="315" s="18" customFormat="1"/>
    <row r="316" s="18" customFormat="1"/>
    <row r="317" s="18" customFormat="1"/>
    <row r="318" s="18" customFormat="1"/>
    <row r="319" s="18" customFormat="1"/>
    <row r="320" s="18" customFormat="1"/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="18" customFormat="1"/>
    <row r="338" s="18" customFormat="1"/>
    <row r="339" s="18" customFormat="1"/>
    <row r="340" s="18" customFormat="1"/>
    <row r="341" s="18" customFormat="1"/>
    <row r="342" s="18" customFormat="1"/>
    <row r="343" s="18" customFormat="1"/>
    <row r="344" s="18" customFormat="1"/>
    <row r="345" s="18" customFormat="1"/>
    <row r="346" s="18" customFormat="1"/>
    <row r="347" s="18" customFormat="1"/>
    <row r="348" s="18" customFormat="1"/>
    <row r="349" s="18" customFormat="1"/>
    <row r="350" s="18" customFormat="1"/>
    <row r="351" s="18" customFormat="1"/>
    <row r="352" s="18" customFormat="1"/>
    <row r="353" s="18" customFormat="1"/>
    <row r="354" s="18" customFormat="1"/>
    <row r="355" s="18" customFormat="1"/>
    <row r="356" s="18" customFormat="1"/>
    <row r="357" s="18" customFormat="1"/>
    <row r="358" s="18" customFormat="1"/>
    <row r="359" s="18" customFormat="1"/>
    <row r="360" s="18" customFormat="1"/>
    <row r="361" s="18" customFormat="1"/>
    <row r="362" s="18" customFormat="1"/>
    <row r="363" s="18" customFormat="1"/>
  </sheetData>
  <mergeCells count="5">
    <mergeCell ref="N2:O2"/>
    <mergeCell ref="BH2:BJ2"/>
    <mergeCell ref="N3:O3"/>
    <mergeCell ref="N4:O4"/>
    <mergeCell ref="BH12:BJ12"/>
  </mergeCells>
  <dataValidations count="2">
    <dataValidation type="list" allowBlank="1" showInputMessage="1" showErrorMessage="1" sqref="C21">
      <formula1>"yes, no"</formula1>
    </dataValidation>
    <dataValidation type="list" allowBlank="1" showInputMessage="1" showErrorMessage="1" sqref="D211">
      <formula1>$C$221:$C$225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7"/>
  <sheetViews>
    <sheetView topLeftCell="G1" workbookViewId="0">
      <selection activeCell="V27" sqref="V27"/>
    </sheetView>
  </sheetViews>
  <sheetFormatPr defaultRowHeight="15"/>
  <cols>
    <col min="1" max="1" width="39" customWidth="1"/>
    <col min="2" max="2" width="21.85546875" bestFit="1" customWidth="1"/>
    <col min="3" max="3" width="10.85546875" bestFit="1" customWidth="1"/>
    <col min="4" max="4" width="14" bestFit="1" customWidth="1"/>
    <col min="5" max="7" width="14.5703125" bestFit="1" customWidth="1"/>
    <col min="8" max="8" width="11.85546875" bestFit="1" customWidth="1"/>
    <col min="14" max="14" width="4.7109375" bestFit="1" customWidth="1"/>
    <col min="15" max="15" width="4" bestFit="1" customWidth="1"/>
    <col min="17" max="17" width="11.7109375" bestFit="1" customWidth="1"/>
    <col min="18" max="18" width="10.140625" bestFit="1" customWidth="1"/>
    <col min="19" max="19" width="11.7109375" bestFit="1" customWidth="1"/>
    <col min="21" max="21" width="11.28515625" bestFit="1" customWidth="1"/>
    <col min="22" max="22" width="12" bestFit="1" customWidth="1"/>
    <col min="23" max="23" width="13.5703125" bestFit="1" customWidth="1"/>
    <col min="25" max="25" width="3" bestFit="1" customWidth="1"/>
    <col min="26" max="26" width="9.5703125" bestFit="1" customWidth="1"/>
    <col min="27" max="28" width="6.5703125" bestFit="1" customWidth="1"/>
    <col min="29" max="29" width="15.28515625" bestFit="1" customWidth="1"/>
    <col min="30" max="30" width="15" bestFit="1" customWidth="1"/>
    <col min="31" max="31" width="8" bestFit="1" customWidth="1"/>
    <col min="33" max="33" width="8.85546875" bestFit="1" customWidth="1"/>
    <col min="34" max="34" width="4.7109375" bestFit="1" customWidth="1"/>
    <col min="35" max="36" width="8.85546875" bestFit="1" customWidth="1"/>
  </cols>
  <sheetData>
    <row r="2" spans="1:37">
      <c r="A2" s="11" t="s">
        <v>0</v>
      </c>
    </row>
    <row r="4" spans="1:37">
      <c r="L4" s="265" t="s">
        <v>55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8"/>
      <c r="Z4" s="269" t="s">
        <v>1</v>
      </c>
      <c r="AA4" s="269"/>
      <c r="AB4" s="270" t="s">
        <v>62</v>
      </c>
      <c r="AC4" s="270" t="s">
        <v>270</v>
      </c>
      <c r="AD4" s="271" t="s">
        <v>271</v>
      </c>
      <c r="AE4" s="269"/>
      <c r="AF4" s="265"/>
      <c r="AG4" s="272"/>
      <c r="AH4" s="273"/>
      <c r="AI4" s="274" t="s">
        <v>57</v>
      </c>
      <c r="AJ4" s="274" t="s">
        <v>58</v>
      </c>
      <c r="AK4" s="265"/>
    </row>
    <row r="5" spans="1:37" ht="15.75" thickBot="1">
      <c r="A5" t="s">
        <v>16</v>
      </c>
      <c r="L5" s="275" t="s">
        <v>272</v>
      </c>
      <c r="M5" s="276"/>
      <c r="N5" s="276"/>
      <c r="O5" s="277"/>
      <c r="P5" s="277"/>
      <c r="Q5" s="384" t="s">
        <v>273</v>
      </c>
      <c r="R5" s="384"/>
      <c r="S5" s="384"/>
      <c r="T5" s="276"/>
      <c r="U5" s="278"/>
      <c r="V5" s="279"/>
      <c r="W5" s="278"/>
      <c r="X5" s="265"/>
      <c r="Y5" s="280"/>
      <c r="Z5" s="281" t="s">
        <v>274</v>
      </c>
      <c r="AA5" s="281" t="s">
        <v>63</v>
      </c>
      <c r="AB5" s="282" t="s">
        <v>64</v>
      </c>
      <c r="AC5" s="283">
        <v>43160</v>
      </c>
      <c r="AD5" s="282" t="s">
        <v>275</v>
      </c>
      <c r="AE5" s="281" t="s">
        <v>276</v>
      </c>
      <c r="AF5" s="265"/>
      <c r="AG5" s="273"/>
      <c r="AH5" s="284" t="s">
        <v>277</v>
      </c>
      <c r="AI5" s="285" t="s">
        <v>278</v>
      </c>
      <c r="AJ5" s="285" t="s">
        <v>278</v>
      </c>
      <c r="AK5" s="265"/>
    </row>
    <row r="6" spans="1:37">
      <c r="A6" s="2">
        <v>0.09</v>
      </c>
      <c r="B6" t="s">
        <v>4</v>
      </c>
      <c r="L6" s="275"/>
      <c r="M6" s="276"/>
      <c r="N6" s="276"/>
      <c r="O6" s="277"/>
      <c r="P6" s="277"/>
      <c r="Q6" s="286"/>
      <c r="R6" s="286" t="s">
        <v>59</v>
      </c>
      <c r="S6" s="286"/>
      <c r="T6" s="276"/>
      <c r="U6" s="278"/>
      <c r="V6" s="279" t="s">
        <v>279</v>
      </c>
      <c r="W6" s="278"/>
      <c r="X6" s="265"/>
      <c r="Y6" s="287"/>
      <c r="Z6" s="287"/>
      <c r="AA6" s="288"/>
      <c r="AB6" s="287"/>
      <c r="AC6" s="287"/>
      <c r="AD6" s="287"/>
      <c r="AE6" s="287"/>
      <c r="AF6" s="265"/>
      <c r="AG6" s="273" t="s">
        <v>289</v>
      </c>
      <c r="AH6" s="289">
        <v>6.75</v>
      </c>
      <c r="AI6" s="290">
        <v>6.9353300000000004</v>
      </c>
      <c r="AJ6" s="290">
        <v>8.2994599999999998</v>
      </c>
      <c r="AK6" s="265"/>
    </row>
    <row r="7" spans="1:37" ht="15.75" thickBot="1">
      <c r="A7" s="1">
        <f>A6*22590361</f>
        <v>2033132.49</v>
      </c>
      <c r="B7" t="s">
        <v>5</v>
      </c>
      <c r="L7" s="291" t="s">
        <v>281</v>
      </c>
      <c r="M7" s="292"/>
      <c r="N7" s="292"/>
      <c r="O7" s="293" t="s">
        <v>282</v>
      </c>
      <c r="P7" s="293"/>
      <c r="Q7" s="294" t="s">
        <v>282</v>
      </c>
      <c r="R7" s="294" t="s">
        <v>283</v>
      </c>
      <c r="S7" s="295" t="s">
        <v>83</v>
      </c>
      <c r="T7" s="276"/>
      <c r="U7" s="294" t="s">
        <v>195</v>
      </c>
      <c r="V7" s="294" t="s">
        <v>284</v>
      </c>
      <c r="W7" s="294" t="s">
        <v>285</v>
      </c>
      <c r="X7" s="265"/>
      <c r="Y7" s="288">
        <v>1</v>
      </c>
      <c r="Z7" s="288" t="s">
        <v>36</v>
      </c>
      <c r="AA7" s="288" t="s">
        <v>65</v>
      </c>
      <c r="AB7" s="296">
        <v>14.9</v>
      </c>
      <c r="AC7" s="297">
        <f>ROUND((AB7*AJ6)+AH6,2)</f>
        <v>130.41</v>
      </c>
      <c r="AD7" s="297">
        <f>ROUND((AB7*AJ8)+AH8,2)</f>
        <v>136.01</v>
      </c>
      <c r="AE7" s="297">
        <f t="shared" ref="AE7:AE18" si="0">AD7-AC7</f>
        <v>5.5999999999999943</v>
      </c>
      <c r="AF7" s="265"/>
      <c r="AG7" s="265"/>
      <c r="AH7" s="289"/>
      <c r="AI7" s="298"/>
      <c r="AJ7" s="298"/>
      <c r="AK7" s="265"/>
    </row>
    <row r="8" spans="1:37">
      <c r="A8" s="8">
        <f>A7*12</f>
        <v>24397589.879999999</v>
      </c>
      <c r="B8" t="s">
        <v>6</v>
      </c>
      <c r="L8" s="299" t="s">
        <v>58</v>
      </c>
      <c r="M8" s="299" t="s">
        <v>286</v>
      </c>
      <c r="N8" s="299" t="s">
        <v>287</v>
      </c>
      <c r="O8" s="300">
        <v>45</v>
      </c>
      <c r="P8" s="300"/>
      <c r="Q8" s="343">
        <v>62287423</v>
      </c>
      <c r="R8" s="302">
        <f>2.34949+0.22671</f>
        <v>2.5762</v>
      </c>
      <c r="S8" s="303">
        <f>ROUND(Q8*R8,0)</f>
        <v>160464859</v>
      </c>
      <c r="T8" s="304"/>
      <c r="U8" s="301">
        <f>W8*Q8</f>
        <v>0</v>
      </c>
      <c r="V8" s="305">
        <f>V13</f>
        <v>0</v>
      </c>
      <c r="W8" s="306">
        <f>V8*R8</f>
        <v>0</v>
      </c>
      <c r="X8" s="265"/>
      <c r="Y8" s="288">
        <f t="shared" ref="Y8:Y18" si="1">Y7+1</f>
        <v>2</v>
      </c>
      <c r="Z8" s="287"/>
      <c r="AA8" s="288" t="s">
        <v>66</v>
      </c>
      <c r="AB8" s="296">
        <v>12.5</v>
      </c>
      <c r="AC8" s="297">
        <f>ROUND((AB8*AJ6)+AH6,2)</f>
        <v>110.49</v>
      </c>
      <c r="AD8" s="297">
        <f>ROUND((AB8*AJ8)+AH8,2)</f>
        <v>115.19</v>
      </c>
      <c r="AE8" s="307">
        <f t="shared" si="0"/>
        <v>4.7000000000000028</v>
      </c>
      <c r="AF8" s="265"/>
      <c r="AG8" s="13" t="s">
        <v>280</v>
      </c>
      <c r="AH8" s="289">
        <v>6.75</v>
      </c>
      <c r="AI8" s="308">
        <f>AI6+W19+W11</f>
        <v>7.1118031856148667</v>
      </c>
      <c r="AJ8" s="308">
        <f>AJ6+W18+W8</f>
        <v>8.6753235423395676</v>
      </c>
      <c r="AK8" s="265"/>
    </row>
    <row r="9" spans="1:37">
      <c r="L9" s="299"/>
      <c r="M9" s="299" t="s">
        <v>288</v>
      </c>
      <c r="N9" s="299" t="s">
        <v>292</v>
      </c>
      <c r="O9" s="300">
        <v>45</v>
      </c>
      <c r="P9" s="300"/>
      <c r="Q9" s="343">
        <v>17131460</v>
      </c>
      <c r="R9" s="302">
        <f>1.34949+0.13021</f>
        <v>1.4797</v>
      </c>
      <c r="S9" s="303">
        <f>ROUND(Q9*R9,0)</f>
        <v>25349421</v>
      </c>
      <c r="T9" s="309"/>
      <c r="U9" s="301">
        <f>W9*Q9</f>
        <v>0</v>
      </c>
      <c r="V9" s="305">
        <f>V13</f>
        <v>0</v>
      </c>
      <c r="W9" s="306">
        <f>V9*R9</f>
        <v>0</v>
      </c>
      <c r="X9" s="265"/>
      <c r="Y9" s="288">
        <f t="shared" si="1"/>
        <v>3</v>
      </c>
      <c r="Z9" s="287"/>
      <c r="AA9" s="288" t="s">
        <v>67</v>
      </c>
      <c r="AB9" s="296">
        <v>10.1</v>
      </c>
      <c r="AC9" s="297">
        <f>ROUND((AB9*AJ6)+AH6,2)</f>
        <v>90.57</v>
      </c>
      <c r="AD9" s="297">
        <f>ROUND((AB9*AJ8)+AH8,2)</f>
        <v>94.37</v>
      </c>
      <c r="AE9" s="307">
        <f t="shared" si="0"/>
        <v>3.8000000000000114</v>
      </c>
      <c r="AF9" s="265"/>
      <c r="AG9" s="265"/>
      <c r="AH9" s="289"/>
      <c r="AI9" s="298"/>
      <c r="AJ9" s="298"/>
      <c r="AK9" s="265"/>
    </row>
    <row r="10" spans="1:37">
      <c r="L10" s="310"/>
      <c r="M10" s="299"/>
      <c r="N10" s="299"/>
      <c r="O10" s="311"/>
      <c r="P10" s="311"/>
      <c r="Q10" s="343"/>
      <c r="R10" s="302"/>
      <c r="S10" s="303"/>
      <c r="T10" s="309"/>
      <c r="U10" s="301"/>
      <c r="V10" s="302"/>
      <c r="W10" s="303"/>
      <c r="X10" s="265"/>
      <c r="Y10" s="288">
        <f t="shared" si="1"/>
        <v>4</v>
      </c>
      <c r="Z10" s="287"/>
      <c r="AA10" s="288" t="s">
        <v>68</v>
      </c>
      <c r="AB10" s="296">
        <v>8.3000000000000007</v>
      </c>
      <c r="AC10" s="297">
        <f>ROUND((AB10*AI6)+AH6,2)</f>
        <v>64.31</v>
      </c>
      <c r="AD10" s="297">
        <f>ROUND((AB10*AI8)+AH8,2)</f>
        <v>65.78</v>
      </c>
      <c r="AE10" s="307">
        <f t="shared" si="0"/>
        <v>1.4699999999999989</v>
      </c>
      <c r="AF10" s="265"/>
      <c r="AG10" s="265"/>
      <c r="AH10" s="265"/>
      <c r="AI10" s="265"/>
      <c r="AJ10" s="265"/>
      <c r="AK10" s="265"/>
    </row>
    <row r="11" spans="1:37">
      <c r="A11" t="s">
        <v>11</v>
      </c>
      <c r="L11" s="312" t="s">
        <v>57</v>
      </c>
      <c r="M11" s="299" t="s">
        <v>286</v>
      </c>
      <c r="N11" s="299" t="str">
        <f>N8</f>
        <v>First</v>
      </c>
      <c r="O11" s="311">
        <f>O8</f>
        <v>45</v>
      </c>
      <c r="P11" s="311"/>
      <c r="Q11" s="343">
        <v>25808736</v>
      </c>
      <c r="R11" s="302">
        <f>1.7267+0.16661</f>
        <v>1.8933099999999998</v>
      </c>
      <c r="S11" s="301">
        <f>ROUND(Q11*R11,0)</f>
        <v>48863938</v>
      </c>
      <c r="T11" s="309"/>
      <c r="U11" s="301">
        <f>W11*Q11</f>
        <v>0</v>
      </c>
      <c r="V11" s="305">
        <f>V13</f>
        <v>0</v>
      </c>
      <c r="W11" s="306">
        <f>V11*R11</f>
        <v>0</v>
      </c>
      <c r="X11" s="265"/>
      <c r="Y11" s="288">
        <f t="shared" si="1"/>
        <v>5</v>
      </c>
      <c r="Z11" s="287"/>
      <c r="AA11" s="288" t="s">
        <v>69</v>
      </c>
      <c r="AB11" s="296">
        <v>4.4000000000000004</v>
      </c>
      <c r="AC11" s="297">
        <f>ROUND((AB11*AI6)+AH6,2)</f>
        <v>37.270000000000003</v>
      </c>
      <c r="AD11" s="297">
        <f>ROUND((AB11*AI8)+AH8,2)</f>
        <v>38.04</v>
      </c>
      <c r="AE11" s="307">
        <f t="shared" si="0"/>
        <v>0.76999999999999602</v>
      </c>
      <c r="AF11" s="265"/>
      <c r="AG11" s="265"/>
      <c r="AH11" s="265"/>
      <c r="AI11" s="265"/>
      <c r="AJ11" s="265"/>
      <c r="AK11" s="265"/>
    </row>
    <row r="12" spans="1:37">
      <c r="A12" t="s">
        <v>7</v>
      </c>
      <c r="B12" s="7">
        <v>0.31502000000000002</v>
      </c>
      <c r="D12" s="2">
        <f>B12*100000</f>
        <v>31502.000000000004</v>
      </c>
      <c r="E12" t="s">
        <v>9</v>
      </c>
      <c r="G12" s="2">
        <f>D12*365</f>
        <v>11498230.000000002</v>
      </c>
      <c r="H12" t="s">
        <v>10</v>
      </c>
      <c r="L12" s="312"/>
      <c r="M12" s="299" t="s">
        <v>288</v>
      </c>
      <c r="N12" s="299" t="str">
        <f>N9</f>
        <v>Over</v>
      </c>
      <c r="O12" s="311">
        <v>45</v>
      </c>
      <c r="P12" s="311"/>
      <c r="Q12" s="343">
        <v>4737192</v>
      </c>
      <c r="R12" s="302">
        <f>0.7267+0.07012</f>
        <v>0.79681999999999997</v>
      </c>
      <c r="S12" s="301">
        <f>ROUND(Q12*R12,0)</f>
        <v>3774689</v>
      </c>
      <c r="T12" s="309"/>
      <c r="U12" s="301">
        <f>W12*Q12</f>
        <v>0</v>
      </c>
      <c r="V12" s="305">
        <f>V13</f>
        <v>0</v>
      </c>
      <c r="W12" s="306">
        <f>V12*R12</f>
        <v>0</v>
      </c>
      <c r="X12" s="265"/>
      <c r="Y12" s="288">
        <f t="shared" si="1"/>
        <v>6</v>
      </c>
      <c r="Z12" s="287"/>
      <c r="AA12" s="288" t="s">
        <v>70</v>
      </c>
      <c r="AB12" s="296">
        <v>3.1</v>
      </c>
      <c r="AC12" s="297">
        <f>ROUND((AB12*AI6)+AH6,2)</f>
        <v>28.25</v>
      </c>
      <c r="AD12" s="297">
        <f>ROUND((AB12*AI8)+AH8,2)</f>
        <v>28.8</v>
      </c>
      <c r="AE12" s="307">
        <f t="shared" si="0"/>
        <v>0.55000000000000071</v>
      </c>
      <c r="AF12" s="265"/>
      <c r="AG12" s="265"/>
      <c r="AH12" s="265"/>
      <c r="AI12" s="265"/>
      <c r="AJ12" s="265"/>
      <c r="AK12" s="265"/>
    </row>
    <row r="13" spans="1:37" ht="15.75" thickBot="1">
      <c r="A13" t="s">
        <v>8</v>
      </c>
      <c r="B13" s="7">
        <v>0.17652000000000001</v>
      </c>
      <c r="D13" s="2">
        <f>B13*50000</f>
        <v>8826</v>
      </c>
      <c r="E13" t="s">
        <v>9</v>
      </c>
      <c r="G13" s="1">
        <f>D13*365</f>
        <v>3221490</v>
      </c>
      <c r="H13" t="s">
        <v>10</v>
      </c>
      <c r="L13" s="313" t="s">
        <v>290</v>
      </c>
      <c r="M13" s="314"/>
      <c r="N13" s="299"/>
      <c r="O13" s="311"/>
      <c r="P13" s="311"/>
      <c r="Q13" s="315">
        <f>SUM(Q11:Q12,Q8:Q9)</f>
        <v>109964811</v>
      </c>
      <c r="R13" s="316"/>
      <c r="S13" s="315">
        <f>SUM(S8:S12)</f>
        <v>238452907</v>
      </c>
      <c r="T13" s="317"/>
      <c r="U13" s="267">
        <v>0</v>
      </c>
      <c r="V13" s="318">
        <f>U13/S13</f>
        <v>0</v>
      </c>
      <c r="W13" s="315"/>
      <c r="X13" s="265"/>
      <c r="Y13" s="288">
        <f t="shared" si="1"/>
        <v>7</v>
      </c>
      <c r="Z13" s="287"/>
      <c r="AA13" s="288" t="s">
        <v>71</v>
      </c>
      <c r="AB13" s="296">
        <v>2</v>
      </c>
      <c r="AC13" s="297">
        <f>ROUND((AB13*AI6)+AH6,2)</f>
        <v>20.62</v>
      </c>
      <c r="AD13" s="297">
        <f>ROUND((AB13*AI8)+AH8,2)</f>
        <v>20.97</v>
      </c>
      <c r="AE13" s="307">
        <f t="shared" si="0"/>
        <v>0.34999999999999787</v>
      </c>
      <c r="AF13" s="265"/>
      <c r="AG13" s="265"/>
      <c r="AH13" s="265"/>
      <c r="AI13" s="265"/>
      <c r="AJ13" s="265"/>
      <c r="AK13" s="265"/>
    </row>
    <row r="14" spans="1:37" ht="15.75" thickTop="1">
      <c r="G14" s="2">
        <f>SUM(G12:G13)</f>
        <v>14719720.000000002</v>
      </c>
      <c r="H14" t="s">
        <v>13</v>
      </c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88">
        <f t="shared" si="1"/>
        <v>8</v>
      </c>
      <c r="Z14" s="287"/>
      <c r="AA14" s="288" t="s">
        <v>72</v>
      </c>
      <c r="AB14" s="296">
        <v>1.8</v>
      </c>
      <c r="AC14" s="297">
        <f>ROUND((AB14*AI6)+AH6,2)</f>
        <v>19.23</v>
      </c>
      <c r="AD14" s="297">
        <f>ROUND((AB14*AI8)+AH8,2)</f>
        <v>19.55</v>
      </c>
      <c r="AE14" s="307">
        <f t="shared" si="0"/>
        <v>0.32000000000000028</v>
      </c>
      <c r="AF14" s="265"/>
      <c r="AG14" s="265"/>
      <c r="AH14" s="265"/>
      <c r="AI14" s="265"/>
      <c r="AJ14" s="265"/>
      <c r="AK14" s="265"/>
    </row>
    <row r="15" spans="1:37">
      <c r="L15" s="275"/>
      <c r="M15" s="276"/>
      <c r="N15" s="276"/>
      <c r="O15" s="277"/>
      <c r="P15" s="277"/>
      <c r="Q15" s="384" t="s">
        <v>273</v>
      </c>
      <c r="R15" s="384"/>
      <c r="S15" s="384"/>
      <c r="T15" s="276"/>
      <c r="U15" s="278"/>
      <c r="V15" s="279"/>
      <c r="W15" s="278"/>
      <c r="X15" s="265"/>
      <c r="Y15" s="288">
        <f t="shared" si="1"/>
        <v>9</v>
      </c>
      <c r="Z15" s="287"/>
      <c r="AA15" s="288" t="s">
        <v>73</v>
      </c>
      <c r="AB15" s="296">
        <v>2</v>
      </c>
      <c r="AC15" s="297">
        <f>ROUND((AB15*AI6)+AH6,2)</f>
        <v>20.62</v>
      </c>
      <c r="AD15" s="297">
        <f>ROUND((AB15*AI8)+AH8,2)</f>
        <v>20.97</v>
      </c>
      <c r="AE15" s="307">
        <f t="shared" si="0"/>
        <v>0.34999999999999787</v>
      </c>
      <c r="AF15" s="265"/>
      <c r="AG15" s="265"/>
      <c r="AH15" s="265"/>
      <c r="AI15" s="265"/>
      <c r="AJ15" s="265"/>
      <c r="AK15" s="265"/>
    </row>
    <row r="16" spans="1:37">
      <c r="L16" s="275"/>
      <c r="M16" s="276"/>
      <c r="N16" s="276"/>
      <c r="O16" s="277"/>
      <c r="P16" s="277"/>
      <c r="Q16" s="286"/>
      <c r="R16" s="286" t="s">
        <v>60</v>
      </c>
      <c r="S16" s="286"/>
      <c r="T16" s="276"/>
      <c r="U16" s="278"/>
      <c r="V16" s="279" t="s">
        <v>279</v>
      </c>
      <c r="W16" s="278"/>
      <c r="X16" s="265"/>
      <c r="Y16" s="288">
        <f t="shared" si="1"/>
        <v>10</v>
      </c>
      <c r="Z16" s="287"/>
      <c r="AA16" s="288" t="s">
        <v>74</v>
      </c>
      <c r="AB16" s="296">
        <v>3.1</v>
      </c>
      <c r="AC16" s="297">
        <f>ROUND((AB16*AI6)+AH6,2)</f>
        <v>28.25</v>
      </c>
      <c r="AD16" s="297">
        <f>ROUND((AB16*AI8)+AH8,2)</f>
        <v>28.8</v>
      </c>
      <c r="AE16" s="307">
        <f t="shared" si="0"/>
        <v>0.55000000000000071</v>
      </c>
      <c r="AF16" s="265"/>
      <c r="AG16" s="265"/>
      <c r="AH16" s="265"/>
      <c r="AI16" s="265"/>
      <c r="AJ16" s="265"/>
      <c r="AK16" s="265"/>
    </row>
    <row r="17" spans="1:37" ht="15.75" thickBot="1">
      <c r="A17" t="s">
        <v>262</v>
      </c>
      <c r="B17" s="12" t="s">
        <v>266</v>
      </c>
      <c r="C17" s="12" t="s">
        <v>1</v>
      </c>
      <c r="D17" s="12"/>
      <c r="E17" s="12" t="s">
        <v>263</v>
      </c>
      <c r="F17" t="s">
        <v>2</v>
      </c>
      <c r="L17" s="291" t="s">
        <v>281</v>
      </c>
      <c r="M17" s="292"/>
      <c r="N17" s="292"/>
      <c r="O17" s="293" t="s">
        <v>282</v>
      </c>
      <c r="P17" s="293"/>
      <c r="Q17" s="294" t="s">
        <v>282</v>
      </c>
      <c r="R17" s="294" t="s">
        <v>283</v>
      </c>
      <c r="S17" s="295" t="s">
        <v>83</v>
      </c>
      <c r="T17" s="276"/>
      <c r="U17" s="294" t="s">
        <v>195</v>
      </c>
      <c r="V17" s="294" t="s">
        <v>284</v>
      </c>
      <c r="W17" s="294" t="s">
        <v>285</v>
      </c>
      <c r="X17" s="265"/>
      <c r="Y17" s="288">
        <f t="shared" si="1"/>
        <v>11</v>
      </c>
      <c r="Z17" s="287"/>
      <c r="AA17" s="288" t="s">
        <v>75</v>
      </c>
      <c r="AB17" s="296">
        <v>6.3</v>
      </c>
      <c r="AC17" s="297">
        <f>ROUND((AB17*AJ6)+AH6,2)</f>
        <v>59.04</v>
      </c>
      <c r="AD17" s="297">
        <f>ROUND((AB17*AJ8)+AH8,2)</f>
        <v>61.4</v>
      </c>
      <c r="AE17" s="307">
        <f t="shared" si="0"/>
        <v>2.3599999999999994</v>
      </c>
      <c r="AF17" s="265"/>
      <c r="AG17" s="265"/>
      <c r="AH17" s="265"/>
      <c r="AI17" s="265"/>
      <c r="AJ17" s="265"/>
      <c r="AK17" s="265"/>
    </row>
    <row r="18" spans="1:37">
      <c r="A18" t="s">
        <v>265</v>
      </c>
      <c r="B18" s="260">
        <v>150000</v>
      </c>
      <c r="C18" s="134">
        <v>0.20930000000000001</v>
      </c>
      <c r="D18" t="s">
        <v>260</v>
      </c>
      <c r="E18">
        <v>365</v>
      </c>
      <c r="F18" s="8">
        <f>B18*C18*E18</f>
        <v>11459175.000000002</v>
      </c>
      <c r="G18" s="338" t="s">
        <v>297</v>
      </c>
      <c r="H18" s="338"/>
      <c r="L18" s="265" t="s">
        <v>58</v>
      </c>
      <c r="M18" s="265"/>
      <c r="N18" s="265"/>
      <c r="O18" s="265" t="s">
        <v>291</v>
      </c>
      <c r="P18" s="265"/>
      <c r="Q18" s="319">
        <f>+Q8+Q9</f>
        <v>79418883</v>
      </c>
      <c r="R18" s="320">
        <v>1.2336800000000001</v>
      </c>
      <c r="S18" s="321">
        <f>+Q18*R18</f>
        <v>97977487.579440013</v>
      </c>
      <c r="T18" s="321"/>
      <c r="U18" s="321">
        <f>+W18*Q18</f>
        <v>29850662.693031743</v>
      </c>
      <c r="V18" s="322">
        <f>+V20</f>
        <v>0.30466858694277976</v>
      </c>
      <c r="W18" s="323">
        <f>+R18*V18</f>
        <v>0.37586354233956859</v>
      </c>
      <c r="X18" s="320"/>
      <c r="Y18" s="288">
        <f t="shared" si="1"/>
        <v>12</v>
      </c>
      <c r="Z18" s="287"/>
      <c r="AA18" s="288" t="s">
        <v>76</v>
      </c>
      <c r="AB18" s="296">
        <v>11.5</v>
      </c>
      <c r="AC18" s="297">
        <f>ROUND((AB18*AJ6)+AH6,2)</f>
        <v>102.19</v>
      </c>
      <c r="AD18" s="297">
        <f>ROUND((AB18*AJ8)+AH8,2)</f>
        <v>106.52</v>
      </c>
      <c r="AE18" s="307">
        <f t="shared" si="0"/>
        <v>4.3299999999999983</v>
      </c>
      <c r="AF18" s="265"/>
      <c r="AG18" s="265"/>
      <c r="AH18" s="265"/>
      <c r="AI18" s="265"/>
      <c r="AJ18" s="265"/>
      <c r="AK18" s="265"/>
    </row>
    <row r="19" spans="1:37" ht="15.75" thickBot="1">
      <c r="A19" t="str">
        <f>'Option 1 Low Case SNG'!A8</f>
        <v>1/  Estimated negotiated rate of $0.2093 is based on the Kern River 25 year Period 2 rate</v>
      </c>
      <c r="B19" s="339"/>
      <c r="C19" s="339"/>
      <c r="D19" s="339"/>
      <c r="E19" s="339"/>
      <c r="F19" s="339"/>
      <c r="G19" s="339" t="s">
        <v>298</v>
      </c>
      <c r="H19" s="339"/>
      <c r="L19" s="265" t="s">
        <v>57</v>
      </c>
      <c r="M19" s="265"/>
      <c r="N19" s="265"/>
      <c r="O19" s="265" t="s">
        <v>291</v>
      </c>
      <c r="P19" s="265"/>
      <c r="Q19" s="319">
        <f>+Q11+Q12</f>
        <v>30545928</v>
      </c>
      <c r="R19" s="320">
        <v>0.57923000000000002</v>
      </c>
      <c r="S19" s="321">
        <f>+Q19*R19</f>
        <v>17693117.875440001</v>
      </c>
      <c r="T19" s="320"/>
      <c r="U19" s="321">
        <f>+W19*Q19</f>
        <v>5390537.221722343</v>
      </c>
      <c r="V19" s="322">
        <f>+V20</f>
        <v>0.30466858694277976</v>
      </c>
      <c r="W19" s="323">
        <f>+R19*V19</f>
        <v>0.17647318561486633</v>
      </c>
      <c r="X19" s="320"/>
      <c r="Y19" s="288"/>
      <c r="Z19" s="287"/>
      <c r="AA19" s="288"/>
      <c r="AB19" s="324"/>
      <c r="AC19" s="325"/>
      <c r="AD19" s="325"/>
      <c r="AE19" s="326"/>
      <c r="AF19" s="265"/>
      <c r="AG19" s="265"/>
      <c r="AH19" s="265"/>
      <c r="AI19" s="265"/>
      <c r="AJ19" s="265"/>
      <c r="AK19" s="265"/>
    </row>
    <row r="20" spans="1:37" ht="16.5" thickTop="1" thickBot="1">
      <c r="L20" s="265"/>
      <c r="M20" s="265"/>
      <c r="N20" s="265"/>
      <c r="O20" s="265"/>
      <c r="P20" s="265"/>
      <c r="Q20" s="315">
        <f>SUM(Q18:Q19)</f>
        <v>109964811</v>
      </c>
      <c r="R20" s="316"/>
      <c r="S20" s="315">
        <f>SUM(S18:S19)</f>
        <v>115670605.45488001</v>
      </c>
      <c r="T20" s="320"/>
      <c r="U20" s="334">
        <v>35241199.914754085</v>
      </c>
      <c r="V20" s="327">
        <f>+U20/S20</f>
        <v>0.30466858694277976</v>
      </c>
      <c r="W20" s="315"/>
      <c r="X20" s="320"/>
      <c r="Y20" s="288"/>
      <c r="Z20" s="287"/>
      <c r="AA20" s="288"/>
      <c r="AB20" s="328"/>
      <c r="AC20" s="329"/>
      <c r="AD20" s="288"/>
      <c r="AE20" s="329" t="s">
        <v>269</v>
      </c>
      <c r="AF20" s="265"/>
      <c r="AG20" s="265"/>
      <c r="AH20" s="265"/>
      <c r="AI20" s="265"/>
      <c r="AJ20" s="265"/>
      <c r="AK20" s="265"/>
    </row>
    <row r="21" spans="1:37" ht="15.75" thickTop="1">
      <c r="A21" t="s">
        <v>320</v>
      </c>
      <c r="B21" s="352">
        <f>+'Working Gas'!Z10</f>
        <v>4745333.333333333</v>
      </c>
      <c r="C21" s="357">
        <v>9.3299999999999994E-2</v>
      </c>
      <c r="F21" s="8">
        <f>+B21*C21</f>
        <v>442739.59999999992</v>
      </c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88">
        <f>Y18+1</f>
        <v>13</v>
      </c>
      <c r="Z21" s="287"/>
      <c r="AA21" s="330" t="s">
        <v>37</v>
      </c>
      <c r="AB21" s="331">
        <f>SUM(AB7:AB20)</f>
        <v>80</v>
      </c>
      <c r="AC21" s="297">
        <f>SUM(AC7:AC18)</f>
        <v>711.25</v>
      </c>
      <c r="AD21" s="297">
        <f>SUM(AD7:AD18)</f>
        <v>736.4</v>
      </c>
      <c r="AE21" s="297">
        <f>SUM(AE7:AE18)</f>
        <v>25.15</v>
      </c>
      <c r="AF21" s="265"/>
      <c r="AG21" s="265"/>
      <c r="AH21" s="265"/>
      <c r="AI21" s="265"/>
      <c r="AJ21" s="265"/>
      <c r="AK21" s="265"/>
    </row>
    <row r="22" spans="1:37"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87"/>
      <c r="Z22" s="287"/>
      <c r="AA22" s="288"/>
      <c r="AB22" s="287"/>
      <c r="AC22" s="332"/>
      <c r="AD22" s="287"/>
      <c r="AE22" s="287"/>
      <c r="AF22" s="265"/>
      <c r="AG22" s="265"/>
      <c r="AH22" s="265"/>
      <c r="AI22" s="265"/>
      <c r="AJ22" s="265"/>
      <c r="AK22" s="265"/>
    </row>
    <row r="23" spans="1:37">
      <c r="A23" s="11" t="s">
        <v>267</v>
      </c>
      <c r="B23" s="11"/>
      <c r="C23" s="11"/>
      <c r="D23" s="11"/>
      <c r="E23" s="11"/>
      <c r="F23" s="358">
        <f>+A8+F18+F21</f>
        <v>36299504.480000004</v>
      </c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87"/>
      <c r="Z23" s="287" t="s">
        <v>269</v>
      </c>
      <c r="AA23" s="288"/>
      <c r="AB23" s="287"/>
      <c r="AC23" s="287"/>
      <c r="AD23" s="333" t="s">
        <v>77</v>
      </c>
      <c r="AE23" s="335">
        <f>ROUND(AE21/AC21,4)</f>
        <v>3.5400000000000001E-2</v>
      </c>
      <c r="AF23" s="265"/>
      <c r="AG23" s="265"/>
      <c r="AH23" s="265"/>
      <c r="AI23" s="265"/>
      <c r="AJ23" s="265"/>
      <c r="AK23" s="265"/>
    </row>
    <row r="25" spans="1:37">
      <c r="A25" s="11"/>
    </row>
    <row r="27" spans="1:37">
      <c r="B27" s="133"/>
    </row>
  </sheetData>
  <mergeCells count="2">
    <mergeCell ref="Q5:S5"/>
    <mergeCell ref="Q15:S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opLeftCell="J1" workbookViewId="0">
      <selection activeCell="T20" sqref="T20"/>
    </sheetView>
  </sheetViews>
  <sheetFormatPr defaultRowHeight="15"/>
  <cols>
    <col min="1" max="1" width="22.85546875" customWidth="1"/>
    <col min="2" max="2" width="14.5703125" bestFit="1" customWidth="1"/>
    <col min="3" max="3" width="10.7109375" customWidth="1"/>
    <col min="4" max="4" width="10.85546875" bestFit="1" customWidth="1"/>
    <col min="5" max="5" width="15" bestFit="1" customWidth="1"/>
    <col min="6" max="6" width="11.85546875" bestFit="1" customWidth="1"/>
    <col min="7" max="7" width="14.5703125" bestFit="1" customWidth="1"/>
    <col min="8" max="8" width="13.28515625" customWidth="1"/>
    <col min="12" max="12" width="7.28515625" bestFit="1" customWidth="1"/>
    <col min="13" max="13" width="4.7109375" bestFit="1" customWidth="1"/>
    <col min="14" max="14" width="4" bestFit="1" customWidth="1"/>
    <col min="16" max="16" width="11.7109375" bestFit="1" customWidth="1"/>
    <col min="17" max="17" width="10.140625" bestFit="1" customWidth="1"/>
    <col min="18" max="18" width="11.7109375" bestFit="1" customWidth="1"/>
    <col min="20" max="20" width="11.28515625" bestFit="1" customWidth="1"/>
    <col min="21" max="21" width="12" bestFit="1" customWidth="1"/>
    <col min="22" max="22" width="13.5703125" bestFit="1" customWidth="1"/>
    <col min="24" max="24" width="3" bestFit="1" customWidth="1"/>
    <col min="25" max="25" width="9.5703125" bestFit="1" customWidth="1"/>
    <col min="26" max="27" width="6.5703125" bestFit="1" customWidth="1"/>
    <col min="28" max="28" width="15.28515625" bestFit="1" customWidth="1"/>
    <col min="29" max="29" width="15" bestFit="1" customWidth="1"/>
    <col min="30" max="30" width="8" bestFit="1" customWidth="1"/>
    <col min="32" max="32" width="8.85546875" bestFit="1" customWidth="1"/>
    <col min="33" max="33" width="4.7109375" bestFit="1" customWidth="1"/>
    <col min="34" max="35" width="8.85546875" bestFit="1" customWidth="1"/>
  </cols>
  <sheetData>
    <row r="1" spans="1:36">
      <c r="A1" s="11" t="s">
        <v>14</v>
      </c>
      <c r="K1" s="265" t="s">
        <v>41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8"/>
      <c r="Y1" s="269" t="s">
        <v>1</v>
      </c>
      <c r="Z1" s="269"/>
      <c r="AA1" s="270" t="s">
        <v>62</v>
      </c>
      <c r="AB1" s="270" t="s">
        <v>270</v>
      </c>
      <c r="AC1" s="271" t="s">
        <v>271</v>
      </c>
      <c r="AD1" s="269"/>
      <c r="AE1" s="265"/>
      <c r="AF1" s="272"/>
      <c r="AG1" s="273"/>
      <c r="AH1" s="274" t="s">
        <v>57</v>
      </c>
      <c r="AI1" s="274" t="s">
        <v>58</v>
      </c>
      <c r="AJ1" s="265"/>
    </row>
    <row r="2" spans="1:36" ht="15.75" thickBot="1">
      <c r="K2" s="275" t="s">
        <v>272</v>
      </c>
      <c r="L2" s="276"/>
      <c r="M2" s="276"/>
      <c r="N2" s="277"/>
      <c r="O2" s="277"/>
      <c r="P2" s="384" t="s">
        <v>273</v>
      </c>
      <c r="Q2" s="384"/>
      <c r="R2" s="384"/>
      <c r="S2" s="276"/>
      <c r="T2" s="278"/>
      <c r="U2" s="279"/>
      <c r="V2" s="278"/>
      <c r="W2" s="265"/>
      <c r="X2" s="280"/>
      <c r="Y2" s="281" t="s">
        <v>274</v>
      </c>
      <c r="Z2" s="281" t="s">
        <v>63</v>
      </c>
      <c r="AA2" s="282" t="s">
        <v>64</v>
      </c>
      <c r="AB2" s="283">
        <v>43160</v>
      </c>
      <c r="AC2" s="282" t="s">
        <v>275</v>
      </c>
      <c r="AD2" s="281" t="s">
        <v>276</v>
      </c>
      <c r="AE2" s="265"/>
      <c r="AF2" s="273"/>
      <c r="AG2" s="284" t="s">
        <v>277</v>
      </c>
      <c r="AH2" s="285" t="s">
        <v>278</v>
      </c>
      <c r="AI2" s="285" t="s">
        <v>278</v>
      </c>
      <c r="AJ2" s="265"/>
    </row>
    <row r="3" spans="1:36">
      <c r="K3" s="275"/>
      <c r="L3" s="276"/>
      <c r="M3" s="276"/>
      <c r="N3" s="277"/>
      <c r="O3" s="277"/>
      <c r="P3" s="286"/>
      <c r="Q3" s="286" t="s">
        <v>59</v>
      </c>
      <c r="R3" s="286"/>
      <c r="S3" s="276"/>
      <c r="T3" s="278"/>
      <c r="U3" s="279" t="s">
        <v>279</v>
      </c>
      <c r="V3" s="278"/>
      <c r="W3" s="265"/>
      <c r="X3" s="287"/>
      <c r="Y3" s="287"/>
      <c r="Z3" s="288"/>
      <c r="AA3" s="287"/>
      <c r="AB3" s="287"/>
      <c r="AC3" s="287"/>
      <c r="AD3" s="287"/>
      <c r="AE3" s="265"/>
      <c r="AF3" s="273" t="s">
        <v>289</v>
      </c>
      <c r="AG3" s="289">
        <v>6.75</v>
      </c>
      <c r="AH3" s="290">
        <v>6.9353300000000004</v>
      </c>
      <c r="AI3" s="290">
        <v>8.2994599999999998</v>
      </c>
      <c r="AJ3" s="265"/>
    </row>
    <row r="4" spans="1:36" ht="15.75" thickBot="1">
      <c r="A4" t="s">
        <v>15</v>
      </c>
      <c r="K4" s="291" t="s">
        <v>281</v>
      </c>
      <c r="L4" s="292"/>
      <c r="M4" s="292"/>
      <c r="N4" s="293" t="s">
        <v>282</v>
      </c>
      <c r="O4" s="293"/>
      <c r="P4" s="294" t="s">
        <v>282</v>
      </c>
      <c r="Q4" s="294" t="s">
        <v>283</v>
      </c>
      <c r="R4" s="295" t="s">
        <v>83</v>
      </c>
      <c r="S4" s="276"/>
      <c r="T4" s="294" t="s">
        <v>195</v>
      </c>
      <c r="U4" s="294" t="s">
        <v>284</v>
      </c>
      <c r="V4" s="294" t="s">
        <v>285</v>
      </c>
      <c r="W4" s="265"/>
      <c r="X4" s="288">
        <v>1</v>
      </c>
      <c r="Y4" s="288" t="s">
        <v>36</v>
      </c>
      <c r="Z4" s="288" t="s">
        <v>65</v>
      </c>
      <c r="AA4" s="296">
        <v>14.9</v>
      </c>
      <c r="AB4" s="297">
        <f>ROUND((AA4*AI3)+AG3,2)</f>
        <v>130.41</v>
      </c>
      <c r="AC4" s="297">
        <f>ROUND((AA4*AI5)+AG5,2)</f>
        <v>134.34</v>
      </c>
      <c r="AD4" s="297">
        <f t="shared" ref="AD4:AD15" si="0">AC4-AB4</f>
        <v>3.9300000000000068</v>
      </c>
      <c r="AE4" s="265"/>
      <c r="AF4" s="265"/>
      <c r="AG4" s="289"/>
      <c r="AH4" s="298"/>
      <c r="AI4" s="298"/>
      <c r="AJ4" s="265"/>
    </row>
    <row r="5" spans="1:36">
      <c r="A5" t="s">
        <v>17</v>
      </c>
      <c r="B5" s="7">
        <v>2.3779999999999999E-2</v>
      </c>
      <c r="C5" t="s">
        <v>19</v>
      </c>
      <c r="E5" s="3"/>
      <c r="F5" s="3"/>
      <c r="K5" s="299" t="s">
        <v>58</v>
      </c>
      <c r="L5" s="299" t="s">
        <v>286</v>
      </c>
      <c r="M5" s="299" t="s">
        <v>287</v>
      </c>
      <c r="N5" s="300">
        <v>45</v>
      </c>
      <c r="O5" s="300"/>
      <c r="P5" s="344">
        <v>62287423</v>
      </c>
      <c r="Q5" s="302">
        <f>2.34949+0.22671</f>
        <v>2.5762</v>
      </c>
      <c r="R5" s="303">
        <f>ROUND(P5*Q5,0)</f>
        <v>160464859</v>
      </c>
      <c r="S5" s="304"/>
      <c r="T5" s="301">
        <f>V5*P5</f>
        <v>0</v>
      </c>
      <c r="U5" s="305">
        <f>U10</f>
        <v>0</v>
      </c>
      <c r="V5" s="306">
        <f>U5*Q5</f>
        <v>0</v>
      </c>
      <c r="W5" s="265"/>
      <c r="X5" s="288">
        <f t="shared" ref="X5:X15" si="1">X4+1</f>
        <v>2</v>
      </c>
      <c r="Y5" s="287"/>
      <c r="Z5" s="288" t="s">
        <v>66</v>
      </c>
      <c r="AA5" s="296">
        <v>12.5</v>
      </c>
      <c r="AB5" s="297">
        <f>ROUND((AA5*AI3)+AG3,2)</f>
        <v>110.49</v>
      </c>
      <c r="AC5" s="297">
        <f>ROUND((AA5*AI5)+AG5,2)</f>
        <v>113.79</v>
      </c>
      <c r="AD5" s="307">
        <f t="shared" si="0"/>
        <v>3.3000000000000114</v>
      </c>
      <c r="AE5" s="265"/>
      <c r="AF5" s="13" t="s">
        <v>280</v>
      </c>
      <c r="AG5" s="289">
        <v>6.75</v>
      </c>
      <c r="AH5" s="308">
        <f>AH3+V16+V8</f>
        <v>7.058983292041674</v>
      </c>
      <c r="AI5" s="308">
        <f>AI3+V15+V5</f>
        <v>8.5628244550972354</v>
      </c>
      <c r="AJ5" s="265"/>
    </row>
    <row r="6" spans="1:36">
      <c r="A6" t="s">
        <v>18</v>
      </c>
      <c r="B6" s="7">
        <v>2.8534000000000002</v>
      </c>
      <c r="C6" t="s">
        <v>19</v>
      </c>
      <c r="E6" s="3"/>
      <c r="F6" s="3"/>
      <c r="K6" s="299"/>
      <c r="L6" s="299" t="s">
        <v>288</v>
      </c>
      <c r="M6" s="299" t="s">
        <v>292</v>
      </c>
      <c r="N6" s="300">
        <v>45</v>
      </c>
      <c r="O6" s="300"/>
      <c r="P6" s="344">
        <v>17131460</v>
      </c>
      <c r="Q6" s="302">
        <f>1.34949+0.13021</f>
        <v>1.4797</v>
      </c>
      <c r="R6" s="303">
        <f>ROUND(P6*Q6,0)</f>
        <v>25349421</v>
      </c>
      <c r="S6" s="309"/>
      <c r="T6" s="301">
        <f>V6*P6</f>
        <v>0</v>
      </c>
      <c r="U6" s="305">
        <f>U10</f>
        <v>0</v>
      </c>
      <c r="V6" s="306">
        <f>U6*Q6</f>
        <v>0</v>
      </c>
      <c r="W6" s="265"/>
      <c r="X6" s="288">
        <f t="shared" si="1"/>
        <v>3</v>
      </c>
      <c r="Y6" s="287"/>
      <c r="Z6" s="288" t="s">
        <v>67</v>
      </c>
      <c r="AA6" s="296">
        <v>10.1</v>
      </c>
      <c r="AB6" s="297">
        <f>ROUND((AA6*AI3)+AG3,2)</f>
        <v>90.57</v>
      </c>
      <c r="AC6" s="297">
        <f>ROUND((AA6*AI5)+AG5,2)</f>
        <v>93.23</v>
      </c>
      <c r="AD6" s="307">
        <f t="shared" si="0"/>
        <v>2.6600000000000108</v>
      </c>
      <c r="AE6" s="265"/>
      <c r="AF6" s="265"/>
      <c r="AG6" s="289"/>
      <c r="AH6" s="298"/>
      <c r="AI6" s="298"/>
      <c r="AJ6" s="265"/>
    </row>
    <row r="7" spans="1:36">
      <c r="F7" s="3"/>
      <c r="K7" s="310"/>
      <c r="L7" s="299"/>
      <c r="M7" s="299"/>
      <c r="N7" s="311"/>
      <c r="O7" s="311"/>
      <c r="P7" s="344"/>
      <c r="Q7" s="302"/>
      <c r="R7" s="303"/>
      <c r="S7" s="309"/>
      <c r="T7" s="301"/>
      <c r="U7" s="302"/>
      <c r="V7" s="303"/>
      <c r="W7" s="265"/>
      <c r="X7" s="288">
        <f t="shared" si="1"/>
        <v>4</v>
      </c>
      <c r="Y7" s="287"/>
      <c r="Z7" s="288" t="s">
        <v>68</v>
      </c>
      <c r="AA7" s="296">
        <v>8.3000000000000007</v>
      </c>
      <c r="AB7" s="297">
        <f>ROUND((AA7*AH3)+AG3,2)</f>
        <v>64.31</v>
      </c>
      <c r="AC7" s="297">
        <f>ROUND((AA7*AH5)+AG5,2)</f>
        <v>65.34</v>
      </c>
      <c r="AD7" s="307">
        <f t="shared" si="0"/>
        <v>1.0300000000000011</v>
      </c>
      <c r="AE7" s="265"/>
      <c r="AF7" s="265"/>
      <c r="AG7" s="265"/>
      <c r="AH7" s="265"/>
      <c r="AI7" s="265"/>
      <c r="AJ7" s="265"/>
    </row>
    <row r="8" spans="1:36">
      <c r="A8" t="s">
        <v>20</v>
      </c>
      <c r="B8" s="10">
        <v>10272301</v>
      </c>
      <c r="C8" t="s">
        <v>12</v>
      </c>
      <c r="F8" s="3"/>
      <c r="K8" s="312" t="s">
        <v>57</v>
      </c>
      <c r="L8" s="299" t="s">
        <v>286</v>
      </c>
      <c r="M8" s="299" t="str">
        <f>M5</f>
        <v>First</v>
      </c>
      <c r="N8" s="311">
        <f>N5</f>
        <v>45</v>
      </c>
      <c r="O8" s="311"/>
      <c r="P8" s="344">
        <v>25808736</v>
      </c>
      <c r="Q8" s="302">
        <f>1.7267+0.16661</f>
        <v>1.8933099999999998</v>
      </c>
      <c r="R8" s="301">
        <f>ROUND(P8*Q8,0)</f>
        <v>48863938</v>
      </c>
      <c r="S8" s="309"/>
      <c r="T8" s="301">
        <f>V8*P8</f>
        <v>0</v>
      </c>
      <c r="U8" s="305">
        <f>U10</f>
        <v>0</v>
      </c>
      <c r="V8" s="306">
        <f>U8*Q8</f>
        <v>0</v>
      </c>
      <c r="W8" s="265"/>
      <c r="X8" s="288">
        <f t="shared" si="1"/>
        <v>5</v>
      </c>
      <c r="Y8" s="287"/>
      <c r="Z8" s="288" t="s">
        <v>69</v>
      </c>
      <c r="AA8" s="296">
        <v>4.4000000000000004</v>
      </c>
      <c r="AB8" s="297">
        <f>ROUND((AA8*AH3)+AG3,2)</f>
        <v>37.270000000000003</v>
      </c>
      <c r="AC8" s="297">
        <f>ROUND((AA8*AH5)+AG5,2)</f>
        <v>37.81</v>
      </c>
      <c r="AD8" s="307">
        <f t="shared" si="0"/>
        <v>0.53999999999999915</v>
      </c>
      <c r="AE8" s="265"/>
      <c r="AF8" s="265"/>
      <c r="AG8" s="265"/>
      <c r="AH8" s="265"/>
      <c r="AI8" s="265"/>
      <c r="AJ8" s="265"/>
    </row>
    <row r="9" spans="1:36">
      <c r="K9" s="312"/>
      <c r="L9" s="299" t="s">
        <v>288</v>
      </c>
      <c r="M9" s="299" t="str">
        <f>M6</f>
        <v>Over</v>
      </c>
      <c r="N9" s="311">
        <v>45</v>
      </c>
      <c r="O9" s="311"/>
      <c r="P9" s="344">
        <v>4737192</v>
      </c>
      <c r="Q9" s="302">
        <f>0.7267+0.07012</f>
        <v>0.79681999999999997</v>
      </c>
      <c r="R9" s="301">
        <f>ROUND(P9*Q9,0)</f>
        <v>3774689</v>
      </c>
      <c r="S9" s="309"/>
      <c r="T9" s="301">
        <f>V9*P9</f>
        <v>0</v>
      </c>
      <c r="U9" s="305">
        <f>U10</f>
        <v>0</v>
      </c>
      <c r="V9" s="306">
        <f>U9*Q9</f>
        <v>0</v>
      </c>
      <c r="W9" s="265"/>
      <c r="X9" s="288">
        <f t="shared" si="1"/>
        <v>6</v>
      </c>
      <c r="Y9" s="287"/>
      <c r="Z9" s="288" t="s">
        <v>70</v>
      </c>
      <c r="AA9" s="296">
        <v>3.1</v>
      </c>
      <c r="AB9" s="297">
        <f>ROUND((AA9*AH3)+AG3,2)</f>
        <v>28.25</v>
      </c>
      <c r="AC9" s="297">
        <f>ROUND((AA9*AH5)+AG5,2)</f>
        <v>28.63</v>
      </c>
      <c r="AD9" s="307">
        <f t="shared" si="0"/>
        <v>0.37999999999999901</v>
      </c>
      <c r="AE9" s="265"/>
      <c r="AF9" s="265"/>
      <c r="AG9" s="265"/>
      <c r="AH9" s="265"/>
      <c r="AI9" s="265"/>
      <c r="AJ9" s="265"/>
    </row>
    <row r="10" spans="1:36" ht="15.75" thickBot="1">
      <c r="K10" s="313" t="s">
        <v>290</v>
      </c>
      <c r="L10" s="314"/>
      <c r="M10" s="299"/>
      <c r="N10" s="311"/>
      <c r="O10" s="311"/>
      <c r="P10" s="315">
        <f>SUM(P8:P9,P5:P6)</f>
        <v>109964811</v>
      </c>
      <c r="Q10" s="316"/>
      <c r="R10" s="315">
        <f>SUM(R5:R9)</f>
        <v>238452907</v>
      </c>
      <c r="S10" s="317"/>
      <c r="T10" s="267">
        <v>0</v>
      </c>
      <c r="U10" s="318">
        <f>T10/R10</f>
        <v>0</v>
      </c>
      <c r="V10" s="315"/>
      <c r="W10" s="265"/>
      <c r="X10" s="288">
        <f t="shared" si="1"/>
        <v>7</v>
      </c>
      <c r="Y10" s="287"/>
      <c r="Z10" s="288" t="s">
        <v>71</v>
      </c>
      <c r="AA10" s="296">
        <v>2</v>
      </c>
      <c r="AB10" s="297">
        <f>ROUND((AA10*AH3)+AG3,2)</f>
        <v>20.62</v>
      </c>
      <c r="AC10" s="297">
        <f>ROUND((AA10*AH5)+AG5,2)</f>
        <v>20.87</v>
      </c>
      <c r="AD10" s="307">
        <f t="shared" si="0"/>
        <v>0.25</v>
      </c>
      <c r="AE10" s="265"/>
      <c r="AF10" s="265"/>
      <c r="AG10" s="265"/>
      <c r="AH10" s="265"/>
      <c r="AI10" s="265"/>
      <c r="AJ10" s="265"/>
    </row>
    <row r="11" spans="1:36" ht="15.75" thickTop="1">
      <c r="A11" t="s">
        <v>11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88">
        <f t="shared" si="1"/>
        <v>8</v>
      </c>
      <c r="Y11" s="287"/>
      <c r="Z11" s="288" t="s">
        <v>72</v>
      </c>
      <c r="AA11" s="296">
        <v>1.8</v>
      </c>
      <c r="AB11" s="297">
        <f>ROUND((AA11*AH3)+AG3,2)</f>
        <v>19.23</v>
      </c>
      <c r="AC11" s="297">
        <f>ROUND((AA11*AH5)+AG5,2)</f>
        <v>19.46</v>
      </c>
      <c r="AD11" s="307">
        <f t="shared" si="0"/>
        <v>0.23000000000000043</v>
      </c>
      <c r="AE11" s="265"/>
      <c r="AF11" s="265"/>
      <c r="AG11" s="265"/>
      <c r="AH11" s="265"/>
      <c r="AI11" s="265"/>
      <c r="AJ11" s="265"/>
    </row>
    <row r="12" spans="1:36">
      <c r="A12" t="s">
        <v>7</v>
      </c>
      <c r="B12" s="7">
        <v>0.31502000000000002</v>
      </c>
      <c r="D12" s="2">
        <f>B12*100000</f>
        <v>31502.000000000004</v>
      </c>
      <c r="E12" t="s">
        <v>9</v>
      </c>
      <c r="G12" s="2">
        <f>D12*365</f>
        <v>11498230.000000002</v>
      </c>
      <c r="H12" t="s">
        <v>10</v>
      </c>
      <c r="K12" s="275"/>
      <c r="L12" s="276"/>
      <c r="M12" s="276"/>
      <c r="N12" s="277"/>
      <c r="O12" s="277"/>
      <c r="P12" s="384" t="s">
        <v>273</v>
      </c>
      <c r="Q12" s="384"/>
      <c r="R12" s="384"/>
      <c r="S12" s="276"/>
      <c r="T12" s="278"/>
      <c r="U12" s="279"/>
      <c r="V12" s="278"/>
      <c r="W12" s="265"/>
      <c r="X12" s="288">
        <f t="shared" si="1"/>
        <v>9</v>
      </c>
      <c r="Y12" s="287"/>
      <c r="Z12" s="288" t="s">
        <v>73</v>
      </c>
      <c r="AA12" s="296">
        <v>2</v>
      </c>
      <c r="AB12" s="297">
        <f>ROUND((AA12*AH3)+AG3,2)</f>
        <v>20.62</v>
      </c>
      <c r="AC12" s="297">
        <f>ROUND((AA12*AH5)+AG5,2)</f>
        <v>20.87</v>
      </c>
      <c r="AD12" s="307">
        <f t="shared" si="0"/>
        <v>0.25</v>
      </c>
      <c r="AE12" s="265"/>
      <c r="AF12" s="265"/>
      <c r="AG12" s="265"/>
      <c r="AH12" s="265"/>
      <c r="AI12" s="265"/>
      <c r="AJ12" s="265"/>
    </row>
    <row r="13" spans="1:36">
      <c r="A13" t="s">
        <v>8</v>
      </c>
      <c r="B13" s="7">
        <v>0.17652000000000001</v>
      </c>
      <c r="D13" s="2">
        <f>B13*50000</f>
        <v>8826</v>
      </c>
      <c r="E13" t="s">
        <v>9</v>
      </c>
      <c r="G13" s="1">
        <f>D13*365</f>
        <v>3221490</v>
      </c>
      <c r="H13" t="s">
        <v>10</v>
      </c>
      <c r="K13" s="275"/>
      <c r="L13" s="276"/>
      <c r="M13" s="276"/>
      <c r="N13" s="277"/>
      <c r="O13" s="277"/>
      <c r="P13" s="286"/>
      <c r="Q13" s="286" t="s">
        <v>60</v>
      </c>
      <c r="R13" s="286"/>
      <c r="S13" s="276"/>
      <c r="T13" s="278"/>
      <c r="U13" s="279" t="s">
        <v>279</v>
      </c>
      <c r="V13" s="278"/>
      <c r="W13" s="265"/>
      <c r="X13" s="288">
        <f t="shared" si="1"/>
        <v>10</v>
      </c>
      <c r="Y13" s="287"/>
      <c r="Z13" s="288" t="s">
        <v>74</v>
      </c>
      <c r="AA13" s="296">
        <v>3.1</v>
      </c>
      <c r="AB13" s="297">
        <f>ROUND((AA13*AH3)+AG3,2)</f>
        <v>28.25</v>
      </c>
      <c r="AC13" s="297">
        <f>ROUND((AA13*AH5)+AG5,2)</f>
        <v>28.63</v>
      </c>
      <c r="AD13" s="307">
        <f t="shared" si="0"/>
        <v>0.37999999999999901</v>
      </c>
      <c r="AE13" s="265"/>
      <c r="AF13" s="265"/>
      <c r="AG13" s="265"/>
      <c r="AH13" s="265"/>
      <c r="AI13" s="265"/>
      <c r="AJ13" s="265"/>
    </row>
    <row r="14" spans="1:36" ht="15.75" thickBot="1">
      <c r="G14" s="8">
        <f>SUM(G12:G13)</f>
        <v>14719720.000000002</v>
      </c>
      <c r="H14" t="s">
        <v>13</v>
      </c>
      <c r="K14" s="291" t="s">
        <v>281</v>
      </c>
      <c r="L14" s="292"/>
      <c r="M14" s="292"/>
      <c r="N14" s="293" t="s">
        <v>282</v>
      </c>
      <c r="O14" s="293"/>
      <c r="P14" s="294" t="s">
        <v>282</v>
      </c>
      <c r="Q14" s="294" t="s">
        <v>283</v>
      </c>
      <c r="R14" s="295" t="s">
        <v>83</v>
      </c>
      <c r="S14" s="276"/>
      <c r="T14" s="294" t="s">
        <v>195</v>
      </c>
      <c r="U14" s="294" t="s">
        <v>284</v>
      </c>
      <c r="V14" s="294" t="s">
        <v>285</v>
      </c>
      <c r="W14" s="265"/>
      <c r="X14" s="288">
        <f t="shared" si="1"/>
        <v>11</v>
      </c>
      <c r="Y14" s="287"/>
      <c r="Z14" s="288" t="s">
        <v>75</v>
      </c>
      <c r="AA14" s="296">
        <v>6.3</v>
      </c>
      <c r="AB14" s="297">
        <f>ROUND((AA14*AI3)+AG3,2)</f>
        <v>59.04</v>
      </c>
      <c r="AC14" s="297">
        <f>ROUND((AA14*AI5)+AG5,2)</f>
        <v>60.7</v>
      </c>
      <c r="AD14" s="307">
        <f t="shared" si="0"/>
        <v>1.6600000000000037</v>
      </c>
      <c r="AE14" s="265"/>
      <c r="AF14" s="265"/>
      <c r="AG14" s="265"/>
      <c r="AH14" s="265"/>
      <c r="AI14" s="265"/>
      <c r="AJ14" s="265"/>
    </row>
    <row r="15" spans="1:36">
      <c r="K15" s="265" t="s">
        <v>58</v>
      </c>
      <c r="L15" s="265"/>
      <c r="M15" s="265"/>
      <c r="N15" s="265" t="s">
        <v>291</v>
      </c>
      <c r="O15" s="265"/>
      <c r="P15" s="319">
        <f>+P5+P6</f>
        <v>79418883</v>
      </c>
      <c r="Q15" s="320">
        <v>1.2336800000000001</v>
      </c>
      <c r="R15" s="321">
        <f>+P15*Q15</f>
        <v>97977487.579440013</v>
      </c>
      <c r="S15" s="321"/>
      <c r="T15" s="321">
        <f>+V15*P15</f>
        <v>20916110.84572617</v>
      </c>
      <c r="U15" s="322">
        <f>+U17</f>
        <v>0.2134787425403965</v>
      </c>
      <c r="V15" s="323">
        <f>+Q15*U15</f>
        <v>0.26336445509723638</v>
      </c>
      <c r="W15" s="320"/>
      <c r="X15" s="288">
        <f t="shared" si="1"/>
        <v>12</v>
      </c>
      <c r="Y15" s="287"/>
      <c r="Z15" s="288" t="s">
        <v>76</v>
      </c>
      <c r="AA15" s="296">
        <v>11.5</v>
      </c>
      <c r="AB15" s="297">
        <f>ROUND((AA15*AI3)+AG3,2)</f>
        <v>102.19</v>
      </c>
      <c r="AC15" s="297">
        <f>ROUND((AA15*AI5)+AG5,2)</f>
        <v>105.22</v>
      </c>
      <c r="AD15" s="307">
        <f t="shared" si="0"/>
        <v>3.0300000000000011</v>
      </c>
      <c r="AE15" s="265"/>
      <c r="AF15" s="265"/>
      <c r="AG15" s="265"/>
      <c r="AH15" s="265"/>
      <c r="AI15" s="265"/>
      <c r="AJ15" s="265"/>
    </row>
    <row r="16" spans="1:36" ht="15.75" thickBot="1">
      <c r="A16" t="s">
        <v>320</v>
      </c>
      <c r="B16" s="352">
        <f>+'Working Gas'!$Z$10</f>
        <v>4745333.333333333</v>
      </c>
      <c r="C16" s="357">
        <v>9.3299999999999994E-2</v>
      </c>
      <c r="G16" s="8">
        <f>+B16*C16</f>
        <v>442739.59999999992</v>
      </c>
      <c r="K16" s="265" t="s">
        <v>57</v>
      </c>
      <c r="L16" s="265"/>
      <c r="M16" s="265"/>
      <c r="N16" s="265" t="s">
        <v>291</v>
      </c>
      <c r="O16" s="265"/>
      <c r="P16" s="319">
        <f>+P8+P9</f>
        <v>30545928</v>
      </c>
      <c r="Q16" s="320">
        <v>0.57923000000000002</v>
      </c>
      <c r="R16" s="321">
        <f>+P16*Q16</f>
        <v>17693117.875440001</v>
      </c>
      <c r="S16" s="320"/>
      <c r="T16" s="321">
        <f>+V16*P16</f>
        <v>3777104.5556679429</v>
      </c>
      <c r="U16" s="322">
        <f>+U17</f>
        <v>0.2134787425403965</v>
      </c>
      <c r="V16" s="323">
        <f>+Q16*U16</f>
        <v>0.12365329204167387</v>
      </c>
      <c r="W16" s="320"/>
      <c r="X16" s="288"/>
      <c r="Y16" s="287"/>
      <c r="Z16" s="288"/>
      <c r="AA16" s="324"/>
      <c r="AB16" s="325"/>
      <c r="AC16" s="325"/>
      <c r="AD16" s="326"/>
      <c r="AE16" s="265"/>
      <c r="AF16" s="265"/>
      <c r="AG16" s="265"/>
      <c r="AH16" s="265"/>
      <c r="AI16" s="265"/>
      <c r="AJ16" s="265"/>
    </row>
    <row r="17" spans="1:36" ht="16.5" thickTop="1" thickBot="1">
      <c r="K17" s="265"/>
      <c r="L17" s="265"/>
      <c r="M17" s="265"/>
      <c r="N17" s="265"/>
      <c r="O17" s="265"/>
      <c r="P17" s="315">
        <f>SUM(P15:P16)</f>
        <v>109964811</v>
      </c>
      <c r="Q17" s="316"/>
      <c r="R17" s="315">
        <f>SUM(R15:R16)</f>
        <v>115670605.45488001</v>
      </c>
      <c r="S17" s="320"/>
      <c r="T17" s="334">
        <v>24693215.401394114</v>
      </c>
      <c r="U17" s="327">
        <f>+T17/R17</f>
        <v>0.2134787425403965</v>
      </c>
      <c r="V17" s="315"/>
      <c r="W17" s="320"/>
      <c r="X17" s="288"/>
      <c r="Y17" s="287"/>
      <c r="Z17" s="288"/>
      <c r="AA17" s="328"/>
      <c r="AB17" s="329"/>
      <c r="AC17" s="288"/>
      <c r="AD17" s="329" t="s">
        <v>269</v>
      </c>
      <c r="AE17" s="265"/>
      <c r="AF17" s="265"/>
      <c r="AG17" s="265"/>
      <c r="AH17" s="265"/>
      <c r="AI17" s="265"/>
      <c r="AJ17" s="265"/>
    </row>
    <row r="18" spans="1:36" ht="15.75" thickTop="1">
      <c r="A18" s="11" t="s">
        <v>267</v>
      </c>
      <c r="B18" s="11"/>
      <c r="C18" s="11"/>
      <c r="D18" s="11"/>
      <c r="E18" s="11"/>
      <c r="G18" s="358">
        <f>+B8+G14+G16</f>
        <v>25434760.600000001</v>
      </c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88">
        <f>X15+1</f>
        <v>13</v>
      </c>
      <c r="Y18" s="287"/>
      <c r="Z18" s="330" t="s">
        <v>37</v>
      </c>
      <c r="AA18" s="331">
        <f>SUM(AA4:AA17)</f>
        <v>80</v>
      </c>
      <c r="AB18" s="297">
        <f>SUM(AB4:AB15)</f>
        <v>711.25</v>
      </c>
      <c r="AC18" s="297">
        <f>SUM(AC4:AC15)</f>
        <v>728.8900000000001</v>
      </c>
      <c r="AD18" s="297">
        <f>SUM(AD4:AD15)</f>
        <v>17.640000000000033</v>
      </c>
      <c r="AE18" s="265"/>
      <c r="AF18" s="265"/>
      <c r="AG18" s="265"/>
      <c r="AH18" s="265"/>
      <c r="AI18" s="265"/>
      <c r="AJ18" s="265"/>
    </row>
    <row r="19" spans="1:36"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87"/>
      <c r="Y19" s="287"/>
      <c r="Z19" s="288"/>
      <c r="AA19" s="287"/>
      <c r="AB19" s="332"/>
      <c r="AC19" s="287"/>
      <c r="AD19" s="287"/>
      <c r="AE19" s="265"/>
      <c r="AF19" s="265"/>
      <c r="AG19" s="265"/>
      <c r="AH19" s="265"/>
      <c r="AI19" s="265"/>
      <c r="AJ19" s="265"/>
    </row>
    <row r="20" spans="1:36"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87"/>
      <c r="Y20" s="287" t="s">
        <v>269</v>
      </c>
      <c r="Z20" s="288"/>
      <c r="AA20" s="287"/>
      <c r="AB20" s="287"/>
      <c r="AC20" s="333" t="s">
        <v>77</v>
      </c>
      <c r="AD20" s="335">
        <f>ROUND(AD18/AB18,4)</f>
        <v>2.4799999999999999E-2</v>
      </c>
      <c r="AE20" s="265"/>
      <c r="AF20" s="265"/>
      <c r="AG20" s="265"/>
      <c r="AH20" s="265"/>
      <c r="AI20" s="265"/>
      <c r="AJ20" s="265"/>
    </row>
  </sheetData>
  <mergeCells count="2">
    <mergeCell ref="P2:R2"/>
    <mergeCell ref="P12:R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F1" workbookViewId="0">
      <selection activeCell="S17" sqref="S17"/>
    </sheetView>
  </sheetViews>
  <sheetFormatPr defaultRowHeight="15"/>
  <cols>
    <col min="1" max="1" width="27.7109375" bestFit="1" customWidth="1"/>
    <col min="2" max="2" width="14.5703125" bestFit="1" customWidth="1"/>
    <col min="3" max="3" width="10.85546875" bestFit="1" customWidth="1"/>
    <col min="4" max="4" width="11.85546875" bestFit="1" customWidth="1"/>
    <col min="5" max="5" width="13.5703125" customWidth="1"/>
    <col min="6" max="7" width="14.5703125" bestFit="1" customWidth="1"/>
    <col min="8" max="8" width="11.85546875" bestFit="1" customWidth="1"/>
    <col min="11" max="11" width="7.28515625" bestFit="1" customWidth="1"/>
    <col min="12" max="12" width="4.7109375" bestFit="1" customWidth="1"/>
    <col min="13" max="13" width="4" bestFit="1" customWidth="1"/>
    <col min="15" max="15" width="11.7109375" bestFit="1" customWidth="1"/>
    <col min="16" max="16" width="10.140625" bestFit="1" customWidth="1"/>
    <col min="17" max="17" width="11.7109375" bestFit="1" customWidth="1"/>
    <col min="19" max="19" width="11.28515625" bestFit="1" customWidth="1"/>
    <col min="20" max="20" width="12" bestFit="1" customWidth="1"/>
    <col min="21" max="21" width="13.5703125" bestFit="1" customWidth="1"/>
    <col min="23" max="23" width="3" bestFit="1" customWidth="1"/>
    <col min="24" max="24" width="9.5703125" bestFit="1" customWidth="1"/>
    <col min="25" max="26" width="6.5703125" bestFit="1" customWidth="1"/>
    <col min="27" max="27" width="15.28515625" bestFit="1" customWidth="1"/>
    <col min="28" max="28" width="15" bestFit="1" customWidth="1"/>
    <col min="29" max="29" width="8" bestFit="1" customWidth="1"/>
    <col min="31" max="31" width="8.85546875" bestFit="1" customWidth="1"/>
    <col min="32" max="32" width="4.7109375" bestFit="1" customWidth="1"/>
    <col min="33" max="34" width="8.85546875" bestFit="1" customWidth="1"/>
  </cols>
  <sheetData>
    <row r="1" spans="1:36">
      <c r="J1" t="s">
        <v>56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8"/>
      <c r="X1" s="269" t="s">
        <v>1</v>
      </c>
      <c r="Y1" s="269"/>
      <c r="Z1" s="270" t="s">
        <v>62</v>
      </c>
      <c r="AA1" s="270" t="s">
        <v>270</v>
      </c>
      <c r="AB1" s="271" t="s">
        <v>271</v>
      </c>
      <c r="AC1" s="269"/>
      <c r="AD1" s="265"/>
      <c r="AE1" s="272"/>
      <c r="AF1" s="273"/>
      <c r="AG1" s="274" t="s">
        <v>57</v>
      </c>
      <c r="AH1" s="274" t="s">
        <v>58</v>
      </c>
      <c r="AI1" s="265"/>
      <c r="AJ1" s="265"/>
    </row>
    <row r="2" spans="1:36" ht="15.75" thickBot="1">
      <c r="A2" s="11" t="s">
        <v>21</v>
      </c>
      <c r="J2" s="275" t="s">
        <v>272</v>
      </c>
      <c r="K2" s="276"/>
      <c r="L2" s="276"/>
      <c r="M2" s="277"/>
      <c r="N2" s="277"/>
      <c r="O2" s="384" t="s">
        <v>273</v>
      </c>
      <c r="P2" s="384"/>
      <c r="Q2" s="384"/>
      <c r="R2" s="276"/>
      <c r="S2" s="278"/>
      <c r="T2" s="279"/>
      <c r="U2" s="278"/>
      <c r="V2" s="265"/>
      <c r="W2" s="280"/>
      <c r="X2" s="281" t="s">
        <v>274</v>
      </c>
      <c r="Y2" s="281" t="s">
        <v>63</v>
      </c>
      <c r="Z2" s="282" t="s">
        <v>64</v>
      </c>
      <c r="AA2" s="283">
        <v>43160</v>
      </c>
      <c r="AB2" s="282" t="s">
        <v>275</v>
      </c>
      <c r="AC2" s="281" t="s">
        <v>276</v>
      </c>
      <c r="AD2" s="265"/>
      <c r="AE2" s="273"/>
      <c r="AF2" s="284" t="s">
        <v>277</v>
      </c>
      <c r="AG2" s="285" t="s">
        <v>278</v>
      </c>
      <c r="AH2" s="285" t="s">
        <v>278</v>
      </c>
      <c r="AI2" s="265"/>
      <c r="AJ2" s="265"/>
    </row>
    <row r="3" spans="1:36">
      <c r="J3" s="275"/>
      <c r="K3" s="276"/>
      <c r="L3" s="276"/>
      <c r="M3" s="277"/>
      <c r="N3" s="277"/>
      <c r="O3" s="286"/>
      <c r="P3" s="286" t="s">
        <v>59</v>
      </c>
      <c r="Q3" s="286"/>
      <c r="R3" s="276"/>
      <c r="S3" s="278"/>
      <c r="T3" s="279" t="s">
        <v>279</v>
      </c>
      <c r="U3" s="278"/>
      <c r="V3" s="265"/>
      <c r="W3" s="287"/>
      <c r="X3" s="287"/>
      <c r="Y3" s="288"/>
      <c r="Z3" s="287"/>
      <c r="AA3" s="287"/>
      <c r="AB3" s="287"/>
      <c r="AC3" s="287"/>
      <c r="AD3" s="265"/>
      <c r="AE3" s="273" t="s">
        <v>289</v>
      </c>
      <c r="AF3" s="289">
        <v>6.75</v>
      </c>
      <c r="AG3" s="290">
        <v>6.9353300000000004</v>
      </c>
      <c r="AH3" s="290">
        <v>8.2994599999999998</v>
      </c>
      <c r="AI3" s="265"/>
      <c r="AJ3" s="265"/>
    </row>
    <row r="4" spans="1:36" ht="15.75" thickBot="1">
      <c r="J4" s="291" t="s">
        <v>281</v>
      </c>
      <c r="K4" s="292"/>
      <c r="L4" s="292"/>
      <c r="M4" s="293" t="s">
        <v>282</v>
      </c>
      <c r="N4" s="293"/>
      <c r="O4" s="294" t="s">
        <v>282</v>
      </c>
      <c r="P4" s="294" t="s">
        <v>283</v>
      </c>
      <c r="Q4" s="295" t="s">
        <v>83</v>
      </c>
      <c r="R4" s="276"/>
      <c r="S4" s="294" t="s">
        <v>195</v>
      </c>
      <c r="T4" s="294" t="s">
        <v>284</v>
      </c>
      <c r="U4" s="294" t="s">
        <v>285</v>
      </c>
      <c r="V4" s="265"/>
      <c r="W4" s="288">
        <v>1</v>
      </c>
      <c r="X4" s="288" t="s">
        <v>36</v>
      </c>
      <c r="Y4" s="288" t="s">
        <v>65</v>
      </c>
      <c r="Z4" s="296">
        <v>14.9</v>
      </c>
      <c r="AA4" s="297">
        <f>ROUND((Z4*AH3)+AF3,2)</f>
        <v>130.41</v>
      </c>
      <c r="AB4" s="297">
        <f>ROUND((Z4*AH5)+AF5,2)</f>
        <v>136.47999999999999</v>
      </c>
      <c r="AC4" s="297">
        <f t="shared" ref="AC4:AC15" si="0">AB4-AA4</f>
        <v>6.0699999999999932</v>
      </c>
      <c r="AD4" s="265"/>
      <c r="AE4" s="265"/>
      <c r="AF4" s="289"/>
      <c r="AG4" s="298"/>
      <c r="AH4" s="298"/>
      <c r="AI4" s="265"/>
      <c r="AJ4" s="265"/>
    </row>
    <row r="5" spans="1:36">
      <c r="A5" t="s">
        <v>15</v>
      </c>
      <c r="J5" s="299" t="s">
        <v>58</v>
      </c>
      <c r="K5" s="299" t="s">
        <v>286</v>
      </c>
      <c r="L5" s="299" t="s">
        <v>287</v>
      </c>
      <c r="M5" s="300">
        <v>45</v>
      </c>
      <c r="N5" s="300"/>
      <c r="O5" s="345">
        <v>62287423</v>
      </c>
      <c r="P5" s="302">
        <f>2.34949+0.22671</f>
        <v>2.5762</v>
      </c>
      <c r="Q5" s="303">
        <f>ROUND(O5*P5,0)</f>
        <v>160464859</v>
      </c>
      <c r="R5" s="304"/>
      <c r="S5" s="301">
        <f>U5*O5</f>
        <v>0</v>
      </c>
      <c r="T5" s="305">
        <f>T10</f>
        <v>0</v>
      </c>
      <c r="U5" s="306">
        <f>T5*P5</f>
        <v>0</v>
      </c>
      <c r="V5" s="265"/>
      <c r="W5" s="288">
        <f t="shared" ref="W5:W15" si="1">W4+1</f>
        <v>2</v>
      </c>
      <c r="X5" s="287"/>
      <c r="Y5" s="288" t="s">
        <v>66</v>
      </c>
      <c r="Z5" s="296">
        <v>12.5</v>
      </c>
      <c r="AA5" s="297">
        <f>ROUND((Z5*AH3)+AF3,2)</f>
        <v>110.49</v>
      </c>
      <c r="AB5" s="297">
        <f>ROUND((Z5*AH5)+AF5,2)</f>
        <v>115.59</v>
      </c>
      <c r="AC5" s="307">
        <f t="shared" si="0"/>
        <v>5.1000000000000085</v>
      </c>
      <c r="AD5" s="265"/>
      <c r="AE5" s="13" t="s">
        <v>280</v>
      </c>
      <c r="AF5" s="289">
        <v>6.75</v>
      </c>
      <c r="AG5" s="308">
        <f>AG3+U16+U8</f>
        <v>7.1266436655415699</v>
      </c>
      <c r="AH5" s="308">
        <f>AH3+U15+U5</f>
        <v>8.7069317174616714</v>
      </c>
      <c r="AI5" s="265"/>
      <c r="AJ5" s="265"/>
    </row>
    <row r="6" spans="1:36">
      <c r="A6" t="s">
        <v>17</v>
      </c>
      <c r="B6" s="9">
        <v>3.48E-4</v>
      </c>
      <c r="C6" t="s">
        <v>26</v>
      </c>
      <c r="J6" s="299"/>
      <c r="K6" s="299" t="s">
        <v>288</v>
      </c>
      <c r="L6" s="299" t="s">
        <v>292</v>
      </c>
      <c r="M6" s="300">
        <v>45</v>
      </c>
      <c r="N6" s="300"/>
      <c r="O6" s="345">
        <v>17131460</v>
      </c>
      <c r="P6" s="302">
        <f>1.34949+0.13021</f>
        <v>1.4797</v>
      </c>
      <c r="Q6" s="303">
        <f>ROUND(O6*P6,0)</f>
        <v>25349421</v>
      </c>
      <c r="R6" s="309"/>
      <c r="S6" s="301">
        <f>U6*O6</f>
        <v>0</v>
      </c>
      <c r="T6" s="305">
        <f>T10</f>
        <v>0</v>
      </c>
      <c r="U6" s="306">
        <f>T6*P6</f>
        <v>0</v>
      </c>
      <c r="V6" s="265"/>
      <c r="W6" s="288">
        <f t="shared" si="1"/>
        <v>3</v>
      </c>
      <c r="X6" s="287"/>
      <c r="Y6" s="288" t="s">
        <v>67</v>
      </c>
      <c r="Z6" s="296">
        <v>10.1</v>
      </c>
      <c r="AA6" s="297">
        <f>ROUND((Z6*AH3)+AF3,2)</f>
        <v>90.57</v>
      </c>
      <c r="AB6" s="297">
        <f>ROUND((Z6*AH5)+AF5,2)</f>
        <v>94.69</v>
      </c>
      <c r="AC6" s="307">
        <f t="shared" si="0"/>
        <v>4.1200000000000045</v>
      </c>
      <c r="AD6" s="265"/>
      <c r="AE6" s="265"/>
      <c r="AF6" s="289"/>
      <c r="AG6" s="298"/>
      <c r="AH6" s="298"/>
      <c r="AI6" s="265"/>
      <c r="AJ6" s="265"/>
    </row>
    <row r="7" spans="1:36">
      <c r="A7" t="s">
        <v>18</v>
      </c>
      <c r="B7" s="9">
        <v>4.0559999999999999E-2</v>
      </c>
      <c r="C7" t="s">
        <v>26</v>
      </c>
      <c r="J7" s="310"/>
      <c r="K7" s="299"/>
      <c r="L7" s="299"/>
      <c r="M7" s="311"/>
      <c r="N7" s="311"/>
      <c r="O7" s="345"/>
      <c r="P7" s="302"/>
      <c r="Q7" s="303"/>
      <c r="R7" s="309"/>
      <c r="S7" s="301"/>
      <c r="T7" s="302"/>
      <c r="U7" s="303"/>
      <c r="V7" s="265"/>
      <c r="W7" s="288">
        <f t="shared" si="1"/>
        <v>4</v>
      </c>
      <c r="X7" s="287"/>
      <c r="Y7" s="288" t="s">
        <v>68</v>
      </c>
      <c r="Z7" s="296">
        <v>8.3000000000000007</v>
      </c>
      <c r="AA7" s="297">
        <f>ROUND((Z7*AG3)+AF3,2)</f>
        <v>64.31</v>
      </c>
      <c r="AB7" s="297">
        <f>ROUND((Z7*AG5)+AF5,2)</f>
        <v>65.900000000000006</v>
      </c>
      <c r="AC7" s="307">
        <f t="shared" si="0"/>
        <v>1.5900000000000034</v>
      </c>
      <c r="AD7" s="265"/>
      <c r="AE7" s="265"/>
      <c r="AF7" s="265"/>
      <c r="AG7" s="265"/>
      <c r="AH7" s="265"/>
      <c r="AI7" s="265"/>
      <c r="AJ7" s="265"/>
    </row>
    <row r="8" spans="1:36">
      <c r="J8" s="312" t="s">
        <v>57</v>
      </c>
      <c r="K8" s="299" t="s">
        <v>286</v>
      </c>
      <c r="L8" s="299" t="str">
        <f>L5</f>
        <v>First</v>
      </c>
      <c r="M8" s="311">
        <f>M5</f>
        <v>45</v>
      </c>
      <c r="N8" s="311"/>
      <c r="O8" s="345">
        <v>25808736</v>
      </c>
      <c r="P8" s="302">
        <f>1.7267+0.16661</f>
        <v>1.8933099999999998</v>
      </c>
      <c r="Q8" s="301">
        <f>ROUND(O8*P8,0)</f>
        <v>48863938</v>
      </c>
      <c r="R8" s="309"/>
      <c r="S8" s="301">
        <f>U8*O8</f>
        <v>0</v>
      </c>
      <c r="T8" s="305">
        <f>T10</f>
        <v>0</v>
      </c>
      <c r="U8" s="306">
        <f>T8*P8</f>
        <v>0</v>
      </c>
      <c r="V8" s="265"/>
      <c r="W8" s="288">
        <f t="shared" si="1"/>
        <v>5</v>
      </c>
      <c r="X8" s="287"/>
      <c r="Y8" s="288" t="s">
        <v>69</v>
      </c>
      <c r="Z8" s="296">
        <v>4.4000000000000004</v>
      </c>
      <c r="AA8" s="297">
        <f>ROUND((Z8*AG3)+AF3,2)</f>
        <v>37.270000000000003</v>
      </c>
      <c r="AB8" s="297">
        <f>ROUND((Z8*AG5)+AF5,2)</f>
        <v>38.11</v>
      </c>
      <c r="AC8" s="307">
        <f t="shared" si="0"/>
        <v>0.83999999999999631</v>
      </c>
      <c r="AD8" s="265"/>
      <c r="AE8" s="265"/>
      <c r="AF8" s="265"/>
      <c r="AG8" s="265"/>
      <c r="AH8" s="265"/>
      <c r="AI8" s="265"/>
      <c r="AJ8" s="265"/>
    </row>
    <row r="9" spans="1:36">
      <c r="A9" t="s">
        <v>20</v>
      </c>
      <c r="B9" s="10">
        <v>2220660</v>
      </c>
      <c r="C9" t="s">
        <v>12</v>
      </c>
      <c r="E9" t="s">
        <v>22</v>
      </c>
      <c r="J9" s="312"/>
      <c r="K9" s="299" t="s">
        <v>288</v>
      </c>
      <c r="L9" s="299" t="str">
        <f>L6</f>
        <v>Over</v>
      </c>
      <c r="M9" s="311">
        <v>45</v>
      </c>
      <c r="N9" s="311"/>
      <c r="O9" s="345">
        <v>4737192</v>
      </c>
      <c r="P9" s="302">
        <f>0.7267+0.07012</f>
        <v>0.79681999999999997</v>
      </c>
      <c r="Q9" s="301">
        <f>ROUND(O9*P9,0)</f>
        <v>3774689</v>
      </c>
      <c r="R9" s="309"/>
      <c r="S9" s="301">
        <f>U9*O9</f>
        <v>0</v>
      </c>
      <c r="T9" s="305">
        <f>T10</f>
        <v>0</v>
      </c>
      <c r="U9" s="306">
        <f>T9*P9</f>
        <v>0</v>
      </c>
      <c r="V9" s="265"/>
      <c r="W9" s="288">
        <f t="shared" si="1"/>
        <v>6</v>
      </c>
      <c r="X9" s="287"/>
      <c r="Y9" s="288" t="s">
        <v>70</v>
      </c>
      <c r="Z9" s="296">
        <v>3.1</v>
      </c>
      <c r="AA9" s="297">
        <f>ROUND((Z9*AG3)+AF3,2)</f>
        <v>28.25</v>
      </c>
      <c r="AB9" s="297">
        <f>ROUND((Z9*AG5)+AF5,2)</f>
        <v>28.84</v>
      </c>
      <c r="AC9" s="307">
        <f t="shared" si="0"/>
        <v>0.58999999999999986</v>
      </c>
      <c r="AD9" s="265"/>
      <c r="AE9" s="265"/>
      <c r="AF9" s="265"/>
      <c r="AG9" s="265"/>
      <c r="AH9" s="265"/>
      <c r="AI9" s="265"/>
      <c r="AJ9" s="265"/>
    </row>
    <row r="10" spans="1:36" ht="15.75" thickBot="1">
      <c r="J10" s="313" t="s">
        <v>290</v>
      </c>
      <c r="K10" s="314"/>
      <c r="L10" s="299"/>
      <c r="M10" s="311"/>
      <c r="N10" s="311"/>
      <c r="O10" s="315">
        <f>SUM(O8:O9,O5:O6)</f>
        <v>109964811</v>
      </c>
      <c r="P10" s="316"/>
      <c r="Q10" s="315">
        <f>SUM(Q5:Q9)</f>
        <v>238452907</v>
      </c>
      <c r="R10" s="317"/>
      <c r="S10" s="267">
        <v>0</v>
      </c>
      <c r="T10" s="318">
        <f>S10/Q10</f>
        <v>0</v>
      </c>
      <c r="U10" s="315"/>
      <c r="V10" s="265"/>
      <c r="W10" s="288">
        <f t="shared" si="1"/>
        <v>7</v>
      </c>
      <c r="X10" s="287"/>
      <c r="Y10" s="288" t="s">
        <v>71</v>
      </c>
      <c r="Z10" s="296">
        <v>2</v>
      </c>
      <c r="AA10" s="297">
        <f>ROUND((Z10*AG3)+AF3,2)</f>
        <v>20.62</v>
      </c>
      <c r="AB10" s="297">
        <f>ROUND((Z10*AG5)+AF5,2)</f>
        <v>21</v>
      </c>
      <c r="AC10" s="307">
        <f t="shared" si="0"/>
        <v>0.37999999999999901</v>
      </c>
      <c r="AD10" s="265"/>
      <c r="AE10" s="265"/>
      <c r="AF10" s="265"/>
      <c r="AG10" s="265"/>
      <c r="AH10" s="265"/>
      <c r="AI10" s="265"/>
      <c r="AJ10" s="265"/>
    </row>
    <row r="11" spans="1:36" ht="15.75" thickTop="1"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88">
        <f t="shared" si="1"/>
        <v>8</v>
      </c>
      <c r="X11" s="287"/>
      <c r="Y11" s="288" t="s">
        <v>72</v>
      </c>
      <c r="Z11" s="296">
        <v>1.8</v>
      </c>
      <c r="AA11" s="297">
        <f>ROUND((Z11*AG3)+AF3,2)</f>
        <v>19.23</v>
      </c>
      <c r="AB11" s="297">
        <f>ROUND((Z11*AG5)+AF5,2)</f>
        <v>19.579999999999998</v>
      </c>
      <c r="AC11" s="307">
        <f t="shared" si="0"/>
        <v>0.34999999999999787</v>
      </c>
      <c r="AD11" s="265"/>
      <c r="AE11" s="265"/>
      <c r="AF11" s="265"/>
      <c r="AG11" s="265"/>
      <c r="AH11" s="265"/>
      <c r="AI11" s="265"/>
      <c r="AJ11" s="265"/>
    </row>
    <row r="12" spans="1:36">
      <c r="A12" t="s">
        <v>27</v>
      </c>
      <c r="J12" s="275"/>
      <c r="K12" s="276"/>
      <c r="L12" s="276"/>
      <c r="M12" s="277"/>
      <c r="N12" s="277"/>
      <c r="O12" s="384" t="s">
        <v>273</v>
      </c>
      <c r="P12" s="384"/>
      <c r="Q12" s="384"/>
      <c r="R12" s="276"/>
      <c r="S12" s="278"/>
      <c r="T12" s="279"/>
      <c r="U12" s="278"/>
      <c r="V12" s="265"/>
      <c r="W12" s="288">
        <f t="shared" si="1"/>
        <v>9</v>
      </c>
      <c r="X12" s="287"/>
      <c r="Y12" s="288" t="s">
        <v>73</v>
      </c>
      <c r="Z12" s="296">
        <v>2</v>
      </c>
      <c r="AA12" s="297">
        <f>ROUND((Z12*AG3)+AF3,2)</f>
        <v>20.62</v>
      </c>
      <c r="AB12" s="297">
        <f>ROUND((Z12*AG5)+AF5,2)</f>
        <v>21</v>
      </c>
      <c r="AC12" s="307">
        <f t="shared" si="0"/>
        <v>0.37999999999999901</v>
      </c>
      <c r="AD12" s="265"/>
      <c r="AE12" s="265"/>
      <c r="AF12" s="265"/>
      <c r="AG12" s="265"/>
      <c r="AH12" s="265"/>
      <c r="AI12" s="265"/>
      <c r="AJ12" s="265"/>
    </row>
    <row r="13" spans="1:36">
      <c r="A13" t="s">
        <v>23</v>
      </c>
      <c r="B13" s="9">
        <v>0.39294000000000001</v>
      </c>
      <c r="C13" t="s">
        <v>25</v>
      </c>
      <c r="J13" s="275"/>
      <c r="K13" s="276"/>
      <c r="L13" s="276"/>
      <c r="M13" s="277"/>
      <c r="N13" s="277"/>
      <c r="O13" s="286"/>
      <c r="P13" s="286" t="s">
        <v>60</v>
      </c>
      <c r="Q13" s="286"/>
      <c r="R13" s="276"/>
      <c r="S13" s="278"/>
      <c r="T13" s="279" t="s">
        <v>279</v>
      </c>
      <c r="U13" s="278"/>
      <c r="V13" s="265"/>
      <c r="W13" s="288">
        <f t="shared" si="1"/>
        <v>10</v>
      </c>
      <c r="X13" s="287"/>
      <c r="Y13" s="288" t="s">
        <v>74</v>
      </c>
      <c r="Z13" s="296">
        <v>3.1</v>
      </c>
      <c r="AA13" s="297">
        <f>ROUND((Z13*AG3)+AF3,2)</f>
        <v>28.25</v>
      </c>
      <c r="AB13" s="297">
        <f>ROUND((Z13*AG5)+AF5,2)</f>
        <v>28.84</v>
      </c>
      <c r="AC13" s="307">
        <f t="shared" si="0"/>
        <v>0.58999999999999986</v>
      </c>
      <c r="AD13" s="265"/>
      <c r="AE13" s="265"/>
      <c r="AF13" s="265"/>
      <c r="AG13" s="265"/>
      <c r="AH13" s="265"/>
      <c r="AI13" s="265"/>
      <c r="AJ13" s="265"/>
    </row>
    <row r="14" spans="1:36" ht="15.75" thickBot="1">
      <c r="A14" t="s">
        <v>24</v>
      </c>
      <c r="B14" s="9">
        <v>8.3199999999999993E-3</v>
      </c>
      <c r="C14" t="s">
        <v>25</v>
      </c>
      <c r="F14" s="2"/>
      <c r="J14" s="291" t="s">
        <v>281</v>
      </c>
      <c r="K14" s="292"/>
      <c r="L14" s="292"/>
      <c r="M14" s="293" t="s">
        <v>282</v>
      </c>
      <c r="N14" s="293"/>
      <c r="O14" s="294" t="s">
        <v>282</v>
      </c>
      <c r="P14" s="294" t="s">
        <v>283</v>
      </c>
      <c r="Q14" s="295" t="s">
        <v>83</v>
      </c>
      <c r="R14" s="276"/>
      <c r="S14" s="294" t="s">
        <v>195</v>
      </c>
      <c r="T14" s="294" t="s">
        <v>284</v>
      </c>
      <c r="U14" s="294" t="s">
        <v>285</v>
      </c>
      <c r="V14" s="265"/>
      <c r="W14" s="288">
        <f t="shared" si="1"/>
        <v>11</v>
      </c>
      <c r="X14" s="287"/>
      <c r="Y14" s="288" t="s">
        <v>75</v>
      </c>
      <c r="Z14" s="296">
        <v>6.3</v>
      </c>
      <c r="AA14" s="297">
        <f>ROUND((Z14*AH3)+AF3,2)</f>
        <v>59.04</v>
      </c>
      <c r="AB14" s="297">
        <f>ROUND((Z14*AH5)+AF5,2)</f>
        <v>61.6</v>
      </c>
      <c r="AC14" s="307">
        <f t="shared" si="0"/>
        <v>2.5600000000000023</v>
      </c>
      <c r="AD14" s="265"/>
      <c r="AE14" s="265"/>
      <c r="AF14" s="265"/>
      <c r="AG14" s="265"/>
      <c r="AH14" s="265"/>
      <c r="AI14" s="265"/>
      <c r="AJ14" s="265"/>
    </row>
    <row r="15" spans="1:36">
      <c r="J15" s="265" t="s">
        <v>58</v>
      </c>
      <c r="K15" s="265"/>
      <c r="L15" s="265"/>
      <c r="M15" s="265" t="s">
        <v>291</v>
      </c>
      <c r="N15" s="265"/>
      <c r="O15" s="319">
        <f>+O5+O6</f>
        <v>79418883</v>
      </c>
      <c r="P15" s="320">
        <v>1.2336800000000001</v>
      </c>
      <c r="Q15" s="321">
        <f>+O15*P15</f>
        <v>97977487.579440013</v>
      </c>
      <c r="R15" s="321"/>
      <c r="S15" s="321">
        <f>+U15*O15</f>
        <v>32360948.654897526</v>
      </c>
      <c r="T15" s="322">
        <f>+T17</f>
        <v>0.33028963544976919</v>
      </c>
      <c r="U15" s="323">
        <f>+P15*T15</f>
        <v>0.40747171746167127</v>
      </c>
      <c r="V15" s="320"/>
      <c r="W15" s="288">
        <f t="shared" si="1"/>
        <v>12</v>
      </c>
      <c r="X15" s="287"/>
      <c r="Y15" s="288" t="s">
        <v>76</v>
      </c>
      <c r="Z15" s="296">
        <v>11.5</v>
      </c>
      <c r="AA15" s="297">
        <f>ROUND((Z15*AH3)+AF3,2)</f>
        <v>102.19</v>
      </c>
      <c r="AB15" s="297">
        <f>ROUND((Z15*AH5)+AF5,2)</f>
        <v>106.88</v>
      </c>
      <c r="AC15" s="307">
        <f t="shared" si="0"/>
        <v>4.6899999999999977</v>
      </c>
      <c r="AD15" s="265"/>
      <c r="AE15" s="265"/>
      <c r="AF15" s="265"/>
      <c r="AG15" s="265"/>
      <c r="AH15" s="265"/>
      <c r="AI15" s="265"/>
      <c r="AJ15" s="265"/>
    </row>
    <row r="16" spans="1:36" ht="15.75" thickBot="1">
      <c r="A16" t="s">
        <v>28</v>
      </c>
      <c r="B16" s="10">
        <v>21968985</v>
      </c>
      <c r="J16" s="265" t="s">
        <v>57</v>
      </c>
      <c r="K16" s="265"/>
      <c r="L16" s="265"/>
      <c r="M16" s="265" t="s">
        <v>291</v>
      </c>
      <c r="N16" s="265"/>
      <c r="O16" s="319">
        <f>+O8+O9</f>
        <v>30545928</v>
      </c>
      <c r="P16" s="320">
        <v>0.57923000000000002</v>
      </c>
      <c r="Q16" s="321">
        <f>+O16*P16</f>
        <v>17693117.875440001</v>
      </c>
      <c r="R16" s="320"/>
      <c r="S16" s="321">
        <f>+U16*O16</f>
        <v>5843853.4530488728</v>
      </c>
      <c r="T16" s="322">
        <f>+T17</f>
        <v>0.33028963544976919</v>
      </c>
      <c r="U16" s="323">
        <f>+P16*T16</f>
        <v>0.19131366554156981</v>
      </c>
      <c r="V16" s="320"/>
      <c r="W16" s="288"/>
      <c r="X16" s="287"/>
      <c r="Y16" s="288"/>
      <c r="Z16" s="324"/>
      <c r="AA16" s="325"/>
      <c r="AB16" s="325"/>
      <c r="AC16" s="326"/>
      <c r="AD16" s="265"/>
      <c r="AE16" s="265"/>
      <c r="AF16" s="265"/>
      <c r="AG16" s="265"/>
      <c r="AH16" s="265"/>
      <c r="AI16" s="265"/>
      <c r="AJ16" s="265"/>
    </row>
    <row r="17" spans="1:36" ht="16.5" thickTop="1" thickBot="1">
      <c r="J17" s="265"/>
      <c r="K17" s="265"/>
      <c r="L17" s="265"/>
      <c r="M17" s="265"/>
      <c r="N17" s="265"/>
      <c r="O17" s="315">
        <f>SUM(O15:O16)</f>
        <v>109964811</v>
      </c>
      <c r="P17" s="316"/>
      <c r="Q17" s="315">
        <f>SUM(Q15:Q16)</f>
        <v>115670605.45488001</v>
      </c>
      <c r="R17" s="320"/>
      <c r="S17" s="334">
        <v>38204802.107946403</v>
      </c>
      <c r="T17" s="327">
        <f>+S17/Q17</f>
        <v>0.33028963544976919</v>
      </c>
      <c r="U17" s="315"/>
      <c r="V17" s="320"/>
      <c r="W17" s="288"/>
      <c r="X17" s="287"/>
      <c r="Y17" s="288"/>
      <c r="Z17" s="328"/>
      <c r="AA17" s="329"/>
      <c r="AB17" s="288"/>
      <c r="AC17" s="329" t="s">
        <v>269</v>
      </c>
      <c r="AD17" s="265"/>
      <c r="AE17" s="265"/>
      <c r="AF17" s="265"/>
      <c r="AG17" s="265"/>
      <c r="AH17" s="265"/>
      <c r="AI17" s="265"/>
      <c r="AJ17" s="265"/>
    </row>
    <row r="18" spans="1:36" ht="15.75" thickTop="1"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88">
        <f>W15+1</f>
        <v>13</v>
      </c>
      <c r="X18" s="287"/>
      <c r="Y18" s="330" t="s">
        <v>37</v>
      </c>
      <c r="Z18" s="331">
        <f>SUM(Z4:Z17)</f>
        <v>80</v>
      </c>
      <c r="AA18" s="297">
        <f>SUM(AA4:AA15)</f>
        <v>711.25</v>
      </c>
      <c r="AB18" s="297">
        <f>SUM(AB4:AB15)</f>
        <v>738.51</v>
      </c>
      <c r="AC18" s="297">
        <f>SUM(AC4:AC15)</f>
        <v>27.26</v>
      </c>
      <c r="AD18" s="265"/>
      <c r="AE18" s="265"/>
      <c r="AF18" s="265"/>
      <c r="AG18" s="265"/>
      <c r="AH18" s="265"/>
      <c r="AI18" s="265"/>
      <c r="AJ18" s="265"/>
    </row>
    <row r="19" spans="1:36">
      <c r="A19" t="s">
        <v>11</v>
      </c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87"/>
      <c r="X19" s="287"/>
      <c r="Y19" s="288"/>
      <c r="Z19" s="287"/>
      <c r="AA19" s="332"/>
      <c r="AB19" s="287"/>
      <c r="AC19" s="287"/>
      <c r="AD19" s="265"/>
      <c r="AE19" s="265"/>
      <c r="AF19" s="265"/>
      <c r="AG19" s="265"/>
      <c r="AH19" s="265"/>
      <c r="AI19" s="265"/>
      <c r="AJ19" s="265"/>
    </row>
    <row r="20" spans="1:36">
      <c r="A20" t="s">
        <v>7</v>
      </c>
      <c r="B20" s="7">
        <v>0.31502000000000002</v>
      </c>
      <c r="D20" s="2">
        <f>B20*100000</f>
        <v>31502.000000000004</v>
      </c>
      <c r="E20" t="s">
        <v>9</v>
      </c>
      <c r="G20" s="2">
        <f>D20*365</f>
        <v>11498230.000000002</v>
      </c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87"/>
      <c r="X20" s="287" t="s">
        <v>269</v>
      </c>
      <c r="Y20" s="288"/>
      <c r="Z20" s="287"/>
      <c r="AA20" s="287"/>
      <c r="AB20" s="333" t="s">
        <v>77</v>
      </c>
      <c r="AC20" s="335">
        <f>ROUND(AC18/AA18,4)</f>
        <v>3.8300000000000001E-2</v>
      </c>
      <c r="AD20" s="265"/>
      <c r="AE20" s="265"/>
      <c r="AF20" s="265"/>
      <c r="AG20" s="265"/>
      <c r="AH20" s="265"/>
      <c r="AI20" s="265"/>
      <c r="AJ20" s="265"/>
    </row>
    <row r="21" spans="1:36">
      <c r="A21" t="s">
        <v>8</v>
      </c>
      <c r="B21" s="7">
        <v>0.17652000000000001</v>
      </c>
      <c r="D21" s="2">
        <f>B21*50000</f>
        <v>8826</v>
      </c>
      <c r="E21" t="s">
        <v>9</v>
      </c>
      <c r="G21" s="1">
        <f>D21*365</f>
        <v>3221490</v>
      </c>
    </row>
    <row r="22" spans="1:36">
      <c r="G22" s="8">
        <f>SUM(G20:G21)</f>
        <v>14719720.000000002</v>
      </c>
    </row>
    <row r="23" spans="1:36">
      <c r="A23" t="s">
        <v>320</v>
      </c>
      <c r="B23" s="352">
        <f>+'Working Gas'!$Z$10</f>
        <v>4745333.333333333</v>
      </c>
      <c r="C23" s="357">
        <v>9.3299999999999994E-2</v>
      </c>
      <c r="G23" s="8">
        <f>+B23*C23</f>
        <v>442739.59999999992</v>
      </c>
    </row>
    <row r="24" spans="1:36">
      <c r="B24" s="352"/>
      <c r="C24" s="357"/>
      <c r="G24" s="349"/>
    </row>
    <row r="25" spans="1:36">
      <c r="A25" s="11" t="s">
        <v>323</v>
      </c>
      <c r="B25" s="359"/>
      <c r="C25" s="360"/>
      <c r="D25" s="11"/>
      <c r="E25" s="11"/>
      <c r="F25" s="11"/>
      <c r="G25" s="358">
        <f>+G23+G22+B16+B9</f>
        <v>39352104.600000001</v>
      </c>
    </row>
    <row r="27" spans="1:36">
      <c r="A27" t="s">
        <v>3</v>
      </c>
    </row>
    <row r="28" spans="1:36">
      <c r="A28" s="4" t="s">
        <v>1</v>
      </c>
      <c r="B28" s="5">
        <v>0.1</v>
      </c>
      <c r="C28" s="5">
        <v>0.15</v>
      </c>
      <c r="D28" s="5">
        <v>0.2</v>
      </c>
      <c r="E28" s="5">
        <v>0.25</v>
      </c>
      <c r="F28" s="5">
        <v>0.4</v>
      </c>
      <c r="G28" s="5">
        <v>0.45</v>
      </c>
      <c r="H28" s="5">
        <v>0.5</v>
      </c>
    </row>
    <row r="29" spans="1:36">
      <c r="A29" s="4" t="s">
        <v>2</v>
      </c>
      <c r="B29" s="6">
        <v>5475000</v>
      </c>
      <c r="C29" s="6">
        <v>8212500</v>
      </c>
      <c r="D29" s="6">
        <v>10950000</v>
      </c>
      <c r="E29" s="6">
        <v>13687500</v>
      </c>
      <c r="F29" s="6">
        <v>21900000</v>
      </c>
      <c r="G29" s="6">
        <v>24637500</v>
      </c>
      <c r="H29" s="6">
        <v>27375000</v>
      </c>
    </row>
  </sheetData>
  <mergeCells count="2">
    <mergeCell ref="O2:Q2"/>
    <mergeCell ref="O12:Q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7"/>
  <sheetViews>
    <sheetView workbookViewId="0">
      <selection activeCell="D19" sqref="D19"/>
    </sheetView>
  </sheetViews>
  <sheetFormatPr defaultRowHeight="15"/>
  <cols>
    <col min="1" max="1" width="3.7109375" style="12" customWidth="1"/>
    <col min="2" max="2" width="18.85546875" bestFit="1" customWidth="1"/>
    <col min="3" max="3" width="13.28515625" bestFit="1" customWidth="1"/>
    <col min="4" max="4" width="14.28515625" bestFit="1" customWidth="1"/>
    <col min="5" max="11" width="11.5703125" bestFit="1" customWidth="1"/>
    <col min="12" max="12" width="12.28515625" bestFit="1" customWidth="1"/>
    <col min="13" max="13" width="11.5703125" bestFit="1" customWidth="1"/>
    <col min="14" max="14" width="14.28515625" bestFit="1" customWidth="1"/>
    <col min="15" max="19" width="11.5703125" bestFit="1" customWidth="1"/>
    <col min="20" max="21" width="12.28515625" bestFit="1" customWidth="1"/>
    <col min="22" max="48" width="11.5703125" bestFit="1" customWidth="1"/>
  </cols>
  <sheetData>
    <row r="2" spans="1:48">
      <c r="C2" s="350">
        <v>44713</v>
      </c>
      <c r="D2" s="350">
        <v>44743</v>
      </c>
      <c r="E2" s="350">
        <v>44774</v>
      </c>
      <c r="F2" s="350">
        <v>44805</v>
      </c>
      <c r="G2" s="350">
        <v>44835</v>
      </c>
      <c r="H2" s="350">
        <v>44866</v>
      </c>
      <c r="I2" s="350">
        <v>44896</v>
      </c>
      <c r="J2" s="350">
        <v>44927</v>
      </c>
      <c r="K2" s="350">
        <v>44958</v>
      </c>
      <c r="L2" s="350">
        <v>44986</v>
      </c>
      <c r="M2" s="350">
        <v>45017</v>
      </c>
      <c r="N2" s="350">
        <v>45047</v>
      </c>
      <c r="O2" s="350">
        <v>45078</v>
      </c>
      <c r="P2" s="350">
        <v>45108</v>
      </c>
      <c r="Q2" s="350">
        <v>45139</v>
      </c>
      <c r="R2" s="350">
        <v>45170</v>
      </c>
      <c r="S2" s="350">
        <v>45200</v>
      </c>
      <c r="T2" s="350">
        <v>45231</v>
      </c>
      <c r="U2" s="350">
        <v>45261</v>
      </c>
      <c r="V2" s="350">
        <v>45292</v>
      </c>
      <c r="W2" s="350">
        <v>45323</v>
      </c>
      <c r="X2" s="350">
        <v>45352</v>
      </c>
      <c r="Y2" s="350">
        <v>45383</v>
      </c>
      <c r="Z2" s="350">
        <v>45413</v>
      </c>
      <c r="AA2" s="350">
        <v>45444</v>
      </c>
      <c r="AB2" s="350">
        <v>45474</v>
      </c>
      <c r="AC2" s="350">
        <v>45505</v>
      </c>
      <c r="AD2" s="350">
        <v>45536</v>
      </c>
      <c r="AE2" s="350">
        <v>45566</v>
      </c>
      <c r="AF2" s="350">
        <v>45597</v>
      </c>
      <c r="AG2" s="350">
        <v>45627</v>
      </c>
      <c r="AH2" s="350">
        <v>45658</v>
      </c>
      <c r="AI2" s="350">
        <v>45689</v>
      </c>
      <c r="AJ2" s="350">
        <v>45717</v>
      </c>
      <c r="AK2" s="350">
        <v>45748</v>
      </c>
      <c r="AL2" s="350">
        <v>45778</v>
      </c>
      <c r="AM2" s="350">
        <v>45809</v>
      </c>
      <c r="AN2" s="350">
        <v>45839</v>
      </c>
      <c r="AO2" s="350">
        <v>45870</v>
      </c>
      <c r="AP2" s="350">
        <v>45901</v>
      </c>
      <c r="AQ2" s="350">
        <v>45931</v>
      </c>
      <c r="AR2" s="350">
        <v>45962</v>
      </c>
      <c r="AS2" s="350">
        <v>45992</v>
      </c>
      <c r="AT2" s="350">
        <v>46023</v>
      </c>
      <c r="AU2" s="350">
        <v>46054</v>
      </c>
      <c r="AV2" s="350">
        <v>46082</v>
      </c>
    </row>
    <row r="3" spans="1:48">
      <c r="B3" s="356" t="s">
        <v>320</v>
      </c>
    </row>
    <row r="4" spans="1:48">
      <c r="A4" s="12">
        <v>1</v>
      </c>
      <c r="B4" t="s">
        <v>311</v>
      </c>
      <c r="C4" s="351">
        <v>4</v>
      </c>
      <c r="D4" s="351">
        <f>+C4</f>
        <v>4</v>
      </c>
      <c r="E4" s="351">
        <f t="shared" ref="E4:AV5" si="0">+D4</f>
        <v>4</v>
      </c>
      <c r="F4" s="351">
        <f t="shared" si="0"/>
        <v>4</v>
      </c>
      <c r="G4" s="351">
        <f t="shared" si="0"/>
        <v>4</v>
      </c>
      <c r="H4" s="351">
        <f t="shared" si="0"/>
        <v>4</v>
      </c>
      <c r="I4" s="351">
        <f t="shared" si="0"/>
        <v>4</v>
      </c>
      <c r="J4" s="351">
        <f t="shared" si="0"/>
        <v>4</v>
      </c>
      <c r="K4" s="351">
        <f t="shared" si="0"/>
        <v>4</v>
      </c>
      <c r="L4" s="351">
        <f t="shared" si="0"/>
        <v>4</v>
      </c>
      <c r="M4" s="351">
        <f t="shared" si="0"/>
        <v>4</v>
      </c>
      <c r="N4" s="351">
        <f t="shared" si="0"/>
        <v>4</v>
      </c>
      <c r="O4" s="351">
        <f t="shared" si="0"/>
        <v>4</v>
      </c>
      <c r="P4" s="351">
        <f t="shared" si="0"/>
        <v>4</v>
      </c>
      <c r="Q4" s="351">
        <f t="shared" si="0"/>
        <v>4</v>
      </c>
      <c r="R4" s="351">
        <f t="shared" si="0"/>
        <v>4</v>
      </c>
      <c r="S4" s="351">
        <f t="shared" si="0"/>
        <v>4</v>
      </c>
      <c r="T4" s="351">
        <f t="shared" si="0"/>
        <v>4</v>
      </c>
      <c r="U4" s="351">
        <f t="shared" si="0"/>
        <v>4</v>
      </c>
      <c r="V4" s="351">
        <f t="shared" si="0"/>
        <v>4</v>
      </c>
      <c r="W4" s="351">
        <f t="shared" si="0"/>
        <v>4</v>
      </c>
      <c r="X4" s="351">
        <f t="shared" si="0"/>
        <v>4</v>
      </c>
      <c r="Y4" s="351">
        <f t="shared" si="0"/>
        <v>4</v>
      </c>
      <c r="Z4" s="351">
        <f t="shared" si="0"/>
        <v>4</v>
      </c>
      <c r="AA4" s="351">
        <f t="shared" si="0"/>
        <v>4</v>
      </c>
      <c r="AB4" s="351">
        <f t="shared" si="0"/>
        <v>4</v>
      </c>
      <c r="AC4" s="351">
        <f t="shared" si="0"/>
        <v>4</v>
      </c>
      <c r="AD4" s="351">
        <f t="shared" si="0"/>
        <v>4</v>
      </c>
      <c r="AE4" s="351">
        <f t="shared" si="0"/>
        <v>4</v>
      </c>
      <c r="AF4" s="351">
        <f t="shared" si="0"/>
        <v>4</v>
      </c>
      <c r="AG4" s="351">
        <f t="shared" si="0"/>
        <v>4</v>
      </c>
      <c r="AH4" s="351">
        <f t="shared" si="0"/>
        <v>4</v>
      </c>
      <c r="AI4" s="351">
        <f t="shared" si="0"/>
        <v>4</v>
      </c>
      <c r="AJ4" s="351">
        <f t="shared" si="0"/>
        <v>4</v>
      </c>
      <c r="AK4" s="351">
        <f t="shared" si="0"/>
        <v>4</v>
      </c>
      <c r="AL4" s="351">
        <f t="shared" si="0"/>
        <v>4</v>
      </c>
      <c r="AM4" s="351">
        <f t="shared" si="0"/>
        <v>4</v>
      </c>
      <c r="AN4" s="351">
        <f t="shared" si="0"/>
        <v>4</v>
      </c>
      <c r="AO4" s="351">
        <f t="shared" si="0"/>
        <v>4</v>
      </c>
      <c r="AP4" s="351">
        <f t="shared" si="0"/>
        <v>4</v>
      </c>
      <c r="AQ4" s="351">
        <f t="shared" si="0"/>
        <v>4</v>
      </c>
      <c r="AR4" s="351">
        <f t="shared" si="0"/>
        <v>4</v>
      </c>
      <c r="AS4" s="351">
        <f t="shared" si="0"/>
        <v>4</v>
      </c>
      <c r="AT4" s="351">
        <f t="shared" si="0"/>
        <v>4</v>
      </c>
      <c r="AU4" s="351">
        <f t="shared" si="0"/>
        <v>4</v>
      </c>
      <c r="AV4" s="351">
        <f t="shared" si="0"/>
        <v>4</v>
      </c>
    </row>
    <row r="5" spans="1:48">
      <c r="A5" s="12">
        <v>2</v>
      </c>
      <c r="B5" t="s">
        <v>312</v>
      </c>
      <c r="C5" s="346">
        <f>1250000/150*30</f>
        <v>250000.00000000003</v>
      </c>
      <c r="D5" s="346">
        <f>+C5</f>
        <v>250000.00000000003</v>
      </c>
      <c r="E5" s="346">
        <f>+D5</f>
        <v>250000.00000000003</v>
      </c>
      <c r="F5" s="346">
        <f t="shared" si="0"/>
        <v>250000.00000000003</v>
      </c>
      <c r="G5" s="346">
        <f t="shared" si="0"/>
        <v>250000.00000000003</v>
      </c>
      <c r="H5" s="346"/>
      <c r="I5" s="346"/>
      <c r="J5" s="346"/>
      <c r="L5" s="346">
        <f>-$D$12*0.3</f>
        <v>-378000</v>
      </c>
      <c r="N5" s="353">
        <f>IF(M6+M5&lt;$D$12-$C$5,$C$5,$D$12-M6)</f>
        <v>250000.00000000003</v>
      </c>
      <c r="O5" s="353">
        <f t="shared" ref="O5:S5" si="1">IF(N6+N5&lt;$D$12-$C$5,$C$5,$D$12-N6)</f>
        <v>137999.99999999977</v>
      </c>
      <c r="P5" s="353">
        <f t="shared" si="1"/>
        <v>0</v>
      </c>
      <c r="Q5" s="353">
        <f t="shared" si="1"/>
        <v>0</v>
      </c>
      <c r="R5" s="353">
        <f t="shared" si="1"/>
        <v>0</v>
      </c>
      <c r="S5" s="353">
        <f t="shared" si="1"/>
        <v>0</v>
      </c>
      <c r="T5" s="353"/>
      <c r="U5" s="353"/>
      <c r="V5" s="353"/>
      <c r="W5" s="353"/>
      <c r="X5" s="346">
        <f>-$D$12*0.3</f>
        <v>-378000</v>
      </c>
      <c r="Y5" s="353"/>
      <c r="Z5" s="353">
        <f t="shared" ref="Z5:AE5" si="2">IF(Y6+Y5&lt;$D$12-$C$5,$C$5,$D$12-Y6)</f>
        <v>250000.00000000003</v>
      </c>
      <c r="AA5" s="353">
        <f t="shared" si="2"/>
        <v>128000</v>
      </c>
      <c r="AB5" s="353">
        <f t="shared" si="2"/>
        <v>0</v>
      </c>
      <c r="AC5" s="353">
        <f t="shared" si="2"/>
        <v>0</v>
      </c>
      <c r="AD5" s="353">
        <f t="shared" si="2"/>
        <v>0</v>
      </c>
      <c r="AE5" s="353">
        <f t="shared" si="2"/>
        <v>0</v>
      </c>
      <c r="AF5" s="353"/>
      <c r="AG5" s="353"/>
      <c r="AH5" s="353"/>
      <c r="AI5" s="353"/>
      <c r="AJ5" s="346">
        <f>-$D$12*0.3</f>
        <v>-378000</v>
      </c>
      <c r="AK5" s="353"/>
      <c r="AL5" s="353">
        <f t="shared" ref="AL5:AQ5" si="3">IF(AK6+AK5&lt;$D$12-$C$5,$C$5,$D$12-AK6)</f>
        <v>250000.00000000003</v>
      </c>
      <c r="AM5" s="353">
        <f t="shared" si="3"/>
        <v>128000</v>
      </c>
      <c r="AN5" s="353">
        <f t="shared" si="3"/>
        <v>0</v>
      </c>
      <c r="AO5" s="353">
        <f t="shared" si="3"/>
        <v>0</v>
      </c>
      <c r="AP5" s="353">
        <f t="shared" si="3"/>
        <v>0</v>
      </c>
      <c r="AQ5" s="353">
        <f t="shared" si="3"/>
        <v>0</v>
      </c>
      <c r="AR5" s="353"/>
      <c r="AS5" s="353"/>
      <c r="AT5" s="353"/>
      <c r="AU5" s="353"/>
      <c r="AV5" s="346">
        <f>-$D$12*0.3</f>
        <v>-378000</v>
      </c>
    </row>
    <row r="6" spans="1:48">
      <c r="A6" s="12">
        <v>3</v>
      </c>
      <c r="B6" t="s">
        <v>314</v>
      </c>
      <c r="C6" s="353">
        <f>+C5</f>
        <v>250000.00000000003</v>
      </c>
      <c r="D6" s="353">
        <f t="shared" ref="D6:AV6" si="4">+D5+C6</f>
        <v>500000.00000000006</v>
      </c>
      <c r="E6" s="353">
        <f t="shared" si="4"/>
        <v>750000.00000000012</v>
      </c>
      <c r="F6" s="353">
        <f t="shared" si="4"/>
        <v>1000000.0000000001</v>
      </c>
      <c r="G6" s="353">
        <f t="shared" si="4"/>
        <v>1250000.0000000002</v>
      </c>
      <c r="H6" s="353">
        <f t="shared" si="4"/>
        <v>1250000.0000000002</v>
      </c>
      <c r="I6" s="353">
        <f t="shared" si="4"/>
        <v>1250000.0000000002</v>
      </c>
      <c r="J6" s="353">
        <f t="shared" si="4"/>
        <v>1250000.0000000002</v>
      </c>
      <c r="K6" s="353">
        <f t="shared" si="4"/>
        <v>1250000.0000000002</v>
      </c>
      <c r="L6" s="353">
        <f t="shared" si="4"/>
        <v>872000.00000000023</v>
      </c>
      <c r="M6" s="353">
        <f t="shared" si="4"/>
        <v>872000.00000000023</v>
      </c>
      <c r="N6" s="353">
        <f t="shared" si="4"/>
        <v>1122000.0000000002</v>
      </c>
      <c r="O6" s="353">
        <f t="shared" si="4"/>
        <v>1260000</v>
      </c>
      <c r="P6" s="353">
        <f t="shared" si="4"/>
        <v>1260000</v>
      </c>
      <c r="Q6" s="353">
        <f t="shared" si="4"/>
        <v>1260000</v>
      </c>
      <c r="R6" s="353">
        <f t="shared" si="4"/>
        <v>1260000</v>
      </c>
      <c r="S6" s="353">
        <f t="shared" si="4"/>
        <v>1260000</v>
      </c>
      <c r="T6" s="353">
        <f t="shared" si="4"/>
        <v>1260000</v>
      </c>
      <c r="U6" s="353">
        <f t="shared" si="4"/>
        <v>1260000</v>
      </c>
      <c r="V6" s="353">
        <f t="shared" si="4"/>
        <v>1260000</v>
      </c>
      <c r="W6" s="353">
        <f t="shared" si="4"/>
        <v>1260000</v>
      </c>
      <c r="X6" s="353">
        <f t="shared" si="4"/>
        <v>882000</v>
      </c>
      <c r="Y6" s="353">
        <f t="shared" si="4"/>
        <v>882000</v>
      </c>
      <c r="Z6" s="353">
        <f t="shared" si="4"/>
        <v>1132000</v>
      </c>
      <c r="AA6" s="353">
        <f t="shared" si="4"/>
        <v>1260000</v>
      </c>
      <c r="AB6" s="353">
        <f t="shared" si="4"/>
        <v>1260000</v>
      </c>
      <c r="AC6" s="353">
        <f t="shared" si="4"/>
        <v>1260000</v>
      </c>
      <c r="AD6" s="353">
        <f t="shared" si="4"/>
        <v>1260000</v>
      </c>
      <c r="AE6" s="353">
        <f t="shared" si="4"/>
        <v>1260000</v>
      </c>
      <c r="AF6" s="353">
        <f t="shared" si="4"/>
        <v>1260000</v>
      </c>
      <c r="AG6" s="353">
        <f t="shared" si="4"/>
        <v>1260000</v>
      </c>
      <c r="AH6" s="353">
        <f t="shared" si="4"/>
        <v>1260000</v>
      </c>
      <c r="AI6" s="353">
        <f t="shared" si="4"/>
        <v>1260000</v>
      </c>
      <c r="AJ6" s="353">
        <f t="shared" si="4"/>
        <v>882000</v>
      </c>
      <c r="AK6" s="353">
        <f t="shared" si="4"/>
        <v>882000</v>
      </c>
      <c r="AL6" s="353">
        <f t="shared" si="4"/>
        <v>1132000</v>
      </c>
      <c r="AM6" s="353">
        <f t="shared" si="4"/>
        <v>1260000</v>
      </c>
      <c r="AN6" s="353">
        <f t="shared" si="4"/>
        <v>1260000</v>
      </c>
      <c r="AO6" s="353">
        <f t="shared" si="4"/>
        <v>1260000</v>
      </c>
      <c r="AP6" s="353">
        <f t="shared" si="4"/>
        <v>1260000</v>
      </c>
      <c r="AQ6" s="353">
        <f t="shared" si="4"/>
        <v>1260000</v>
      </c>
      <c r="AR6" s="353">
        <f t="shared" si="4"/>
        <v>1260000</v>
      </c>
      <c r="AS6" s="353">
        <f t="shared" si="4"/>
        <v>1260000</v>
      </c>
      <c r="AT6" s="353">
        <f t="shared" si="4"/>
        <v>1260000</v>
      </c>
      <c r="AU6" s="353">
        <f t="shared" si="4"/>
        <v>1260000</v>
      </c>
      <c r="AV6" s="353">
        <f t="shared" si="4"/>
        <v>882000</v>
      </c>
    </row>
    <row r="7" spans="1:48">
      <c r="A7" s="12">
        <v>4</v>
      </c>
      <c r="B7" t="s">
        <v>313</v>
      </c>
      <c r="C7" s="352">
        <f t="shared" ref="C7:AV7" si="5">+C4*C6</f>
        <v>1000000.0000000001</v>
      </c>
      <c r="D7" s="352">
        <f t="shared" si="5"/>
        <v>2000000.0000000002</v>
      </c>
      <c r="E7" s="352">
        <f t="shared" si="5"/>
        <v>3000000.0000000005</v>
      </c>
      <c r="F7" s="352">
        <f t="shared" si="5"/>
        <v>4000000.0000000005</v>
      </c>
      <c r="G7" s="352">
        <f t="shared" si="5"/>
        <v>5000000.0000000009</v>
      </c>
      <c r="H7" s="352">
        <f t="shared" si="5"/>
        <v>5000000.0000000009</v>
      </c>
      <c r="I7" s="352">
        <f t="shared" si="5"/>
        <v>5000000.0000000009</v>
      </c>
      <c r="J7" s="352">
        <f t="shared" si="5"/>
        <v>5000000.0000000009</v>
      </c>
      <c r="K7" s="352">
        <f t="shared" si="5"/>
        <v>5000000.0000000009</v>
      </c>
      <c r="L7" s="352">
        <f t="shared" si="5"/>
        <v>3488000.0000000009</v>
      </c>
      <c r="M7" s="352">
        <f t="shared" si="5"/>
        <v>3488000.0000000009</v>
      </c>
      <c r="N7" s="352">
        <f t="shared" si="5"/>
        <v>4488000.0000000009</v>
      </c>
      <c r="O7" s="352">
        <f t="shared" si="5"/>
        <v>5040000</v>
      </c>
      <c r="P7" s="352">
        <f t="shared" si="5"/>
        <v>5040000</v>
      </c>
      <c r="Q7" s="352">
        <f t="shared" si="5"/>
        <v>5040000</v>
      </c>
      <c r="R7" s="352">
        <f t="shared" si="5"/>
        <v>5040000</v>
      </c>
      <c r="S7" s="352">
        <f t="shared" si="5"/>
        <v>5040000</v>
      </c>
      <c r="T7" s="352">
        <f t="shared" si="5"/>
        <v>5040000</v>
      </c>
      <c r="U7" s="352">
        <f t="shared" si="5"/>
        <v>5040000</v>
      </c>
      <c r="V7" s="352">
        <f t="shared" si="5"/>
        <v>5040000</v>
      </c>
      <c r="W7" s="352">
        <f t="shared" si="5"/>
        <v>5040000</v>
      </c>
      <c r="X7" s="352">
        <f t="shared" si="5"/>
        <v>3528000</v>
      </c>
      <c r="Y7" s="352">
        <f t="shared" si="5"/>
        <v>3528000</v>
      </c>
      <c r="Z7" s="352">
        <f t="shared" si="5"/>
        <v>4528000</v>
      </c>
      <c r="AA7" s="352">
        <f t="shared" si="5"/>
        <v>5040000</v>
      </c>
      <c r="AB7" s="352">
        <f t="shared" si="5"/>
        <v>5040000</v>
      </c>
      <c r="AC7" s="352">
        <f t="shared" si="5"/>
        <v>5040000</v>
      </c>
      <c r="AD7" s="352">
        <f t="shared" si="5"/>
        <v>5040000</v>
      </c>
      <c r="AE7" s="352">
        <f t="shared" si="5"/>
        <v>5040000</v>
      </c>
      <c r="AF7" s="352">
        <f t="shared" si="5"/>
        <v>5040000</v>
      </c>
      <c r="AG7" s="352">
        <f t="shared" si="5"/>
        <v>5040000</v>
      </c>
      <c r="AH7" s="352">
        <f t="shared" si="5"/>
        <v>5040000</v>
      </c>
      <c r="AI7" s="352">
        <f t="shared" si="5"/>
        <v>5040000</v>
      </c>
      <c r="AJ7" s="352">
        <f t="shared" si="5"/>
        <v>3528000</v>
      </c>
      <c r="AK7" s="352">
        <f t="shared" si="5"/>
        <v>3528000</v>
      </c>
      <c r="AL7" s="352">
        <f t="shared" si="5"/>
        <v>4528000</v>
      </c>
      <c r="AM7" s="352">
        <f t="shared" si="5"/>
        <v>5040000</v>
      </c>
      <c r="AN7" s="352">
        <f t="shared" si="5"/>
        <v>5040000</v>
      </c>
      <c r="AO7" s="352">
        <f t="shared" si="5"/>
        <v>5040000</v>
      </c>
      <c r="AP7" s="352">
        <f t="shared" si="5"/>
        <v>5040000</v>
      </c>
      <c r="AQ7" s="352">
        <f t="shared" si="5"/>
        <v>5040000</v>
      </c>
      <c r="AR7" s="352">
        <f t="shared" si="5"/>
        <v>5040000</v>
      </c>
      <c r="AS7" s="352">
        <f t="shared" si="5"/>
        <v>5040000</v>
      </c>
      <c r="AT7" s="352">
        <f t="shared" si="5"/>
        <v>5040000</v>
      </c>
      <c r="AU7" s="352">
        <f t="shared" si="5"/>
        <v>5040000</v>
      </c>
      <c r="AV7" s="352">
        <f t="shared" si="5"/>
        <v>3528000</v>
      </c>
    </row>
    <row r="8" spans="1:48">
      <c r="I8" s="346"/>
    </row>
    <row r="9" spans="1:48">
      <c r="A9" s="12">
        <v>5</v>
      </c>
      <c r="B9" t="s">
        <v>315</v>
      </c>
      <c r="N9" s="353">
        <f>AVERAGE(C6:N6)</f>
        <v>968000.00000000012</v>
      </c>
      <c r="O9" s="353">
        <f t="shared" ref="O9:AV9" si="6">AVERAGE(D6:O6)</f>
        <v>1052166.6666666667</v>
      </c>
      <c r="P9" s="353">
        <f t="shared" si="6"/>
        <v>1115500.0000000002</v>
      </c>
      <c r="Q9" s="353">
        <f t="shared" si="6"/>
        <v>1158000.0000000002</v>
      </c>
      <c r="R9" s="353">
        <f t="shared" si="6"/>
        <v>1179666.6666666667</v>
      </c>
      <c r="S9" s="353">
        <f t="shared" si="6"/>
        <v>1180500</v>
      </c>
      <c r="T9" s="353">
        <f t="shared" si="6"/>
        <v>1181333.3333333333</v>
      </c>
      <c r="U9" s="353">
        <f t="shared" si="6"/>
        <v>1182166.6666666667</v>
      </c>
      <c r="V9" s="353">
        <f t="shared" si="6"/>
        <v>1183000</v>
      </c>
      <c r="W9" s="353">
        <f t="shared" si="6"/>
        <v>1183833.3333333333</v>
      </c>
      <c r="X9" s="353">
        <f t="shared" si="6"/>
        <v>1184666.6666666667</v>
      </c>
      <c r="Y9" s="353">
        <f t="shared" si="6"/>
        <v>1185500</v>
      </c>
      <c r="Z9" s="353">
        <f t="shared" si="6"/>
        <v>1186333.3333333333</v>
      </c>
      <c r="AA9" s="353">
        <f t="shared" si="6"/>
        <v>1186333.3333333333</v>
      </c>
      <c r="AB9" s="353">
        <f t="shared" si="6"/>
        <v>1186333.3333333333</v>
      </c>
      <c r="AC9" s="353">
        <f t="shared" si="6"/>
        <v>1186333.3333333333</v>
      </c>
      <c r="AD9" s="353">
        <f t="shared" si="6"/>
        <v>1186333.3333333333</v>
      </c>
      <c r="AE9" s="353">
        <f t="shared" si="6"/>
        <v>1186333.3333333333</v>
      </c>
      <c r="AF9" s="353">
        <f t="shared" si="6"/>
        <v>1186333.3333333333</v>
      </c>
      <c r="AG9" s="353">
        <f t="shared" si="6"/>
        <v>1186333.3333333333</v>
      </c>
      <c r="AH9" s="353">
        <f t="shared" si="6"/>
        <v>1186333.3333333333</v>
      </c>
      <c r="AI9" s="353">
        <f t="shared" si="6"/>
        <v>1186333.3333333333</v>
      </c>
      <c r="AJ9" s="353">
        <f t="shared" si="6"/>
        <v>1186333.3333333333</v>
      </c>
      <c r="AK9" s="353">
        <f t="shared" si="6"/>
        <v>1186333.3333333333</v>
      </c>
      <c r="AL9" s="353">
        <f t="shared" si="6"/>
        <v>1186333.3333333333</v>
      </c>
      <c r="AM9" s="353">
        <f t="shared" si="6"/>
        <v>1186333.3333333333</v>
      </c>
      <c r="AN9" s="353">
        <f t="shared" si="6"/>
        <v>1186333.3333333333</v>
      </c>
      <c r="AO9" s="353">
        <f t="shared" si="6"/>
        <v>1186333.3333333333</v>
      </c>
      <c r="AP9" s="353">
        <f t="shared" si="6"/>
        <v>1186333.3333333333</v>
      </c>
      <c r="AQ9" s="353">
        <f t="shared" si="6"/>
        <v>1186333.3333333333</v>
      </c>
      <c r="AR9" s="353">
        <f t="shared" si="6"/>
        <v>1186333.3333333333</v>
      </c>
      <c r="AS9" s="353">
        <f t="shared" si="6"/>
        <v>1186333.3333333333</v>
      </c>
      <c r="AT9" s="353">
        <f t="shared" si="6"/>
        <v>1186333.3333333333</v>
      </c>
      <c r="AU9" s="353">
        <f t="shared" si="6"/>
        <v>1186333.3333333333</v>
      </c>
      <c r="AV9" s="353">
        <f t="shared" si="6"/>
        <v>1186333.3333333333</v>
      </c>
    </row>
    <row r="10" spans="1:48">
      <c r="A10" s="12">
        <v>6</v>
      </c>
      <c r="B10" t="s">
        <v>316</v>
      </c>
      <c r="N10" s="352">
        <f>AVERAGE(C7:N7)</f>
        <v>3872000.0000000005</v>
      </c>
      <c r="O10" s="352">
        <f t="shared" ref="O10:AV10" si="7">AVERAGE(D7:O7)</f>
        <v>4208666.666666667</v>
      </c>
      <c r="P10" s="352">
        <f t="shared" si="7"/>
        <v>4462000.0000000009</v>
      </c>
      <c r="Q10" s="352">
        <f t="shared" si="7"/>
        <v>4632000.0000000009</v>
      </c>
      <c r="R10" s="352">
        <f t="shared" si="7"/>
        <v>4718666.666666667</v>
      </c>
      <c r="S10" s="352">
        <f t="shared" si="7"/>
        <v>4722000</v>
      </c>
      <c r="T10" s="352">
        <f t="shared" si="7"/>
        <v>4725333.333333333</v>
      </c>
      <c r="U10" s="352">
        <f t="shared" si="7"/>
        <v>4728666.666666667</v>
      </c>
      <c r="V10" s="352">
        <f t="shared" si="7"/>
        <v>4732000</v>
      </c>
      <c r="W10" s="352">
        <f t="shared" si="7"/>
        <v>4735333.333333333</v>
      </c>
      <c r="X10" s="352">
        <f t="shared" si="7"/>
        <v>4738666.666666667</v>
      </c>
      <c r="Y10" s="352">
        <f t="shared" si="7"/>
        <v>4742000</v>
      </c>
      <c r="Z10" s="352">
        <f t="shared" si="7"/>
        <v>4745333.333333333</v>
      </c>
      <c r="AA10" s="352">
        <f t="shared" si="7"/>
        <v>4745333.333333333</v>
      </c>
      <c r="AB10" s="352">
        <f t="shared" si="7"/>
        <v>4745333.333333333</v>
      </c>
      <c r="AC10" s="352">
        <f t="shared" si="7"/>
        <v>4745333.333333333</v>
      </c>
      <c r="AD10" s="352">
        <f t="shared" si="7"/>
        <v>4745333.333333333</v>
      </c>
      <c r="AE10" s="352">
        <f t="shared" si="7"/>
        <v>4745333.333333333</v>
      </c>
      <c r="AF10" s="352">
        <f t="shared" si="7"/>
        <v>4745333.333333333</v>
      </c>
      <c r="AG10" s="352">
        <f t="shared" si="7"/>
        <v>4745333.333333333</v>
      </c>
      <c r="AH10" s="352">
        <f t="shared" si="7"/>
        <v>4745333.333333333</v>
      </c>
      <c r="AI10" s="352">
        <f t="shared" si="7"/>
        <v>4745333.333333333</v>
      </c>
      <c r="AJ10" s="352">
        <f t="shared" si="7"/>
        <v>4745333.333333333</v>
      </c>
      <c r="AK10" s="352">
        <f t="shared" si="7"/>
        <v>4745333.333333333</v>
      </c>
      <c r="AL10" s="352">
        <f t="shared" si="7"/>
        <v>4745333.333333333</v>
      </c>
      <c r="AM10" s="352">
        <f t="shared" si="7"/>
        <v>4745333.333333333</v>
      </c>
      <c r="AN10" s="352">
        <f t="shared" si="7"/>
        <v>4745333.333333333</v>
      </c>
      <c r="AO10" s="352">
        <f t="shared" si="7"/>
        <v>4745333.333333333</v>
      </c>
      <c r="AP10" s="352">
        <f t="shared" si="7"/>
        <v>4745333.333333333</v>
      </c>
      <c r="AQ10" s="352">
        <f t="shared" si="7"/>
        <v>4745333.333333333</v>
      </c>
      <c r="AR10" s="352">
        <f t="shared" si="7"/>
        <v>4745333.333333333</v>
      </c>
      <c r="AS10" s="352">
        <f t="shared" si="7"/>
        <v>4745333.333333333</v>
      </c>
      <c r="AT10" s="352">
        <f t="shared" si="7"/>
        <v>4745333.333333333</v>
      </c>
      <c r="AU10" s="352">
        <f t="shared" si="7"/>
        <v>4745333.333333333</v>
      </c>
      <c r="AV10" s="352">
        <f t="shared" si="7"/>
        <v>4745333.333333333</v>
      </c>
    </row>
    <row r="12" spans="1:48">
      <c r="A12" s="12">
        <f>+A10+1</f>
        <v>7</v>
      </c>
      <c r="B12" t="s">
        <v>318</v>
      </c>
      <c r="D12" s="346">
        <v>1260000</v>
      </c>
    </row>
    <row r="13" spans="1:48">
      <c r="A13" s="12">
        <f>+A12+1</f>
        <v>8</v>
      </c>
      <c r="B13" t="s">
        <v>317</v>
      </c>
      <c r="D13" s="354">
        <f>+D12*D4</f>
        <v>5040000</v>
      </c>
    </row>
    <row r="14" spans="1:48">
      <c r="A14" s="12">
        <f>+A13+1</f>
        <v>9</v>
      </c>
      <c r="B14" t="s">
        <v>319</v>
      </c>
      <c r="G14" s="355">
        <f>+G6/$D$12</f>
        <v>0.9920634920634922</v>
      </c>
      <c r="N14" s="355">
        <f t="shared" ref="N14:AV14" si="8">+N9/$D$12</f>
        <v>0.7682539682539683</v>
      </c>
      <c r="O14" s="355">
        <f t="shared" si="8"/>
        <v>0.83505291005291016</v>
      </c>
      <c r="P14" s="355">
        <f t="shared" si="8"/>
        <v>0.8853174603174605</v>
      </c>
      <c r="Q14" s="355">
        <f t="shared" si="8"/>
        <v>0.91904761904761922</v>
      </c>
      <c r="R14" s="355">
        <f t="shared" si="8"/>
        <v>0.93624338624338632</v>
      </c>
      <c r="S14" s="355">
        <f t="shared" si="8"/>
        <v>0.93690476190476191</v>
      </c>
      <c r="T14" s="355">
        <f t="shared" si="8"/>
        <v>0.93756613756613749</v>
      </c>
      <c r="U14" s="355">
        <f t="shared" si="8"/>
        <v>0.9382275132275133</v>
      </c>
      <c r="V14" s="355">
        <f t="shared" si="8"/>
        <v>0.93888888888888888</v>
      </c>
      <c r="W14" s="355">
        <f t="shared" si="8"/>
        <v>0.93955026455026447</v>
      </c>
      <c r="X14" s="355">
        <f t="shared" si="8"/>
        <v>0.94021164021164028</v>
      </c>
      <c r="Y14" s="355">
        <f t="shared" si="8"/>
        <v>0.94087301587301586</v>
      </c>
      <c r="Z14" s="355">
        <f t="shared" si="8"/>
        <v>0.94153439153439145</v>
      </c>
      <c r="AA14" s="355">
        <f t="shared" si="8"/>
        <v>0.94153439153439145</v>
      </c>
      <c r="AB14" s="355">
        <f t="shared" si="8"/>
        <v>0.94153439153439145</v>
      </c>
      <c r="AC14" s="355">
        <f t="shared" si="8"/>
        <v>0.94153439153439145</v>
      </c>
      <c r="AD14" s="355">
        <f t="shared" si="8"/>
        <v>0.94153439153439145</v>
      </c>
      <c r="AE14" s="355">
        <f t="shared" si="8"/>
        <v>0.94153439153439145</v>
      </c>
      <c r="AF14" s="355">
        <f t="shared" si="8"/>
        <v>0.94153439153439145</v>
      </c>
      <c r="AG14" s="355">
        <f t="shared" si="8"/>
        <v>0.94153439153439145</v>
      </c>
      <c r="AH14" s="355">
        <f t="shared" si="8"/>
        <v>0.94153439153439145</v>
      </c>
      <c r="AI14" s="355">
        <f t="shared" si="8"/>
        <v>0.94153439153439145</v>
      </c>
      <c r="AJ14" s="355">
        <f t="shared" si="8"/>
        <v>0.94153439153439145</v>
      </c>
      <c r="AK14" s="355">
        <f t="shared" si="8"/>
        <v>0.94153439153439145</v>
      </c>
      <c r="AL14" s="355">
        <f t="shared" si="8"/>
        <v>0.94153439153439145</v>
      </c>
      <c r="AM14" s="355">
        <f t="shared" si="8"/>
        <v>0.94153439153439145</v>
      </c>
      <c r="AN14" s="355">
        <f t="shared" si="8"/>
        <v>0.94153439153439145</v>
      </c>
      <c r="AO14" s="355">
        <f t="shared" si="8"/>
        <v>0.94153439153439145</v>
      </c>
      <c r="AP14" s="355">
        <f t="shared" si="8"/>
        <v>0.94153439153439145</v>
      </c>
      <c r="AQ14" s="355">
        <f t="shared" si="8"/>
        <v>0.94153439153439145</v>
      </c>
      <c r="AR14" s="355">
        <f t="shared" si="8"/>
        <v>0.94153439153439145</v>
      </c>
      <c r="AS14" s="355">
        <f t="shared" si="8"/>
        <v>0.94153439153439145</v>
      </c>
      <c r="AT14" s="355">
        <f t="shared" si="8"/>
        <v>0.94153439153439145</v>
      </c>
      <c r="AU14" s="355">
        <f t="shared" si="8"/>
        <v>0.94153439153439145</v>
      </c>
      <c r="AV14" s="355">
        <f t="shared" si="8"/>
        <v>0.94153439153439145</v>
      </c>
    </row>
    <row r="16" spans="1:48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A76FC0EAFD245BCEA5590DECE933A" ma:contentTypeVersion="0" ma:contentTypeDescription="Create a new document." ma:contentTypeScope="" ma:versionID="c1450e29d5949babae9671c2f0c2ff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D8822AAF-23B5-4BC6-A3D4-BC872426B1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3E9DC8-B0F7-479C-B03C-4029238945E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83C942-F0A7-4D6B-AFE1-A421C9702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75F16A1-9675-48E1-B118-C719E62ECE08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</vt:lpstr>
      <vt:lpstr>Option 1 Low Case SNG</vt:lpstr>
      <vt:lpstr>Option 1 High Case SNG</vt:lpstr>
      <vt:lpstr>2A Demand Response 30yr</vt:lpstr>
      <vt:lpstr>2A Demand Response 40yr</vt:lpstr>
      <vt:lpstr>Option 4 Ryckman</vt:lpstr>
      <vt:lpstr>Option 5 Clay Basin</vt:lpstr>
      <vt:lpstr>Option 6 Jackson Prairie</vt:lpstr>
      <vt:lpstr>Working Gas</vt:lpstr>
      <vt:lpstr>Summary!Print_Area</vt:lpstr>
    </vt:vector>
  </TitlesOfParts>
  <LinksUpToDate>false</LinksUpToDate>
  <SharedDoc>false</SharedDoc>
  <HyperlinkBase> 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1970-01-01T06:00:00Z</cp:lastPrinted>
  <dcterms:created xsi:type="dcterms:W3CDTF">2018-03-01T18:11:19Z</dcterms:created>
  <dcterms:modified xsi:type="dcterms:W3CDTF">2018-09-07T15:06:32Z</dcterms:modified>
</cp:coreProperties>
</file>