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1 thru 19\19docs\1905701\"/>
    </mc:Choice>
  </mc:AlternateContent>
  <bookViews>
    <workbookView xWindow="0" yWindow="0" windowWidth="19125" windowHeight="11520"/>
  </bookViews>
  <sheets>
    <sheet name="Co Prod" sheetId="1" r:id="rId1"/>
    <sheet name="Purch Gas" sheetId="2" r:id="rId2"/>
    <sheet name="Summary" sheetId="3" r:id="rId3"/>
    <sheet name="Ex 10.1 pg1" sheetId="4" r:id="rId4"/>
    <sheet name="Ex 10.1 pg2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'Co Prod'!$A$1:$J$36</definedName>
    <definedName name="_xlnm.Print_Area" localSheetId="3">'Ex 10.1 pg1'!$A$1:$AJ$55</definedName>
    <definedName name="_xlnm.Print_Area" localSheetId="4">'Ex 10.1 pg2'!$A$1:$AJ$54</definedName>
    <definedName name="_xlnm.Print_Area" localSheetId="1">'Purch Gas'!$A$1:$F$36</definedName>
    <definedName name="_xlnm.Print_Area" localSheetId="2">Summary!#REF!</definedName>
    <definedName name="_xlnm.Print_Titles" localSheetId="0">'Co Prod'!$1:$5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5" i="2" l="1"/>
  <c r="K45" i="1"/>
  <c r="C45" i="1"/>
  <c r="F45" i="1" l="1"/>
  <c r="E45" i="1" s="1"/>
  <c r="H45" i="1"/>
  <c r="E125" i="1"/>
  <c r="C125" i="1"/>
  <c r="C124" i="1"/>
  <c r="C123" i="1"/>
  <c r="D45" i="2"/>
  <c r="I123" i="2"/>
  <c r="D168" i="3" s="1"/>
  <c r="I124" i="2"/>
  <c r="D169" i="3" s="1"/>
  <c r="I125" i="2"/>
  <c r="D170" i="3" s="1"/>
  <c r="F123" i="2"/>
  <c r="F124" i="2"/>
  <c r="F125" i="2"/>
  <c r="J170" i="3"/>
  <c r="J169" i="3"/>
  <c r="J168" i="3"/>
  <c r="H170" i="3"/>
  <c r="H169" i="3"/>
  <c r="H168" i="3"/>
  <c r="E170" i="3"/>
  <c r="E169" i="3"/>
  <c r="E124" i="1" s="1"/>
  <c r="E168" i="3"/>
  <c r="E123" i="1" s="1"/>
  <c r="F45" i="2" l="1"/>
  <c r="C90" i="3" s="1"/>
  <c r="B44" i="2"/>
  <c r="B90" i="3"/>
  <c r="J167" i="3" l="1"/>
  <c r="J166" i="3"/>
  <c r="H167" i="3"/>
  <c r="H166" i="3"/>
  <c r="E167" i="3"/>
  <c r="E166" i="3"/>
  <c r="E121" i="1" s="1"/>
  <c r="I121" i="2"/>
  <c r="I122" i="2"/>
  <c r="D167" i="3" s="1"/>
  <c r="F121" i="2"/>
  <c r="F122" i="2"/>
  <c r="E122" i="1"/>
  <c r="C122" i="1"/>
  <c r="C121" i="1"/>
  <c r="D166" i="3" l="1"/>
  <c r="I45" i="2"/>
  <c r="E90" i="3"/>
  <c r="G90" i="3"/>
  <c r="F120" i="2"/>
  <c r="H44" i="1"/>
  <c r="F44" i="1"/>
  <c r="E44" i="1" s="1"/>
  <c r="J165" i="3"/>
  <c r="H165" i="3"/>
  <c r="E165" i="3"/>
  <c r="E120" i="1" s="1"/>
  <c r="C120" i="1"/>
  <c r="I120" i="2"/>
  <c r="D165" i="3" s="1"/>
  <c r="D44" i="2" l="1"/>
  <c r="F44" i="2" s="1"/>
  <c r="F119" i="2" l="1"/>
  <c r="F113" i="2"/>
  <c r="F114" i="2"/>
  <c r="F117" i="2"/>
  <c r="F118" i="2"/>
  <c r="J164" i="3"/>
  <c r="J163" i="3"/>
  <c r="H164" i="3"/>
  <c r="H163" i="3"/>
  <c r="E164" i="3"/>
  <c r="E163" i="3"/>
  <c r="E118" i="1" l="1"/>
  <c r="E119" i="1"/>
  <c r="C119" i="1"/>
  <c r="C118" i="1"/>
  <c r="C117" i="1"/>
  <c r="I117" i="2"/>
  <c r="I118" i="2"/>
  <c r="D163" i="3" s="1"/>
  <c r="I119" i="2"/>
  <c r="D164" i="3" s="1"/>
  <c r="J162" i="3"/>
  <c r="H162" i="3"/>
  <c r="E162" i="3"/>
  <c r="E117" i="1" s="1"/>
  <c r="D162" i="3"/>
  <c r="B43" i="3" l="1"/>
  <c r="C43" i="3" s="1"/>
  <c r="B42" i="3"/>
  <c r="C42" i="3" s="1"/>
  <c r="B41" i="3"/>
  <c r="C41" i="3" s="1"/>
  <c r="B40" i="3"/>
  <c r="B39" i="3"/>
  <c r="I114" i="2" l="1"/>
  <c r="I115" i="2"/>
  <c r="I116" i="2"/>
  <c r="J161" i="3" l="1"/>
  <c r="J160" i="3"/>
  <c r="J159" i="3"/>
  <c r="H161" i="3"/>
  <c r="H160" i="3"/>
  <c r="H159" i="3"/>
  <c r="E161" i="3"/>
  <c r="E116" i="1" s="1"/>
  <c r="E160" i="3"/>
  <c r="E115" i="1" s="1"/>
  <c r="E159" i="3"/>
  <c r="E114" i="1" s="1"/>
  <c r="D159" i="3"/>
  <c r="D160" i="3"/>
  <c r="D161" i="3"/>
  <c r="C116" i="1"/>
  <c r="C115" i="1"/>
  <c r="C114" i="1"/>
  <c r="I113" i="2" l="1"/>
  <c r="C113" i="1"/>
  <c r="C112" i="1"/>
  <c r="C111" i="1"/>
  <c r="E158" i="3" l="1"/>
  <c r="E113" i="1" s="1"/>
  <c r="E157" i="3"/>
  <c r="E112" i="1" s="1"/>
  <c r="E156" i="3"/>
  <c r="E111" i="1" s="1"/>
  <c r="J158" i="3"/>
  <c r="J157" i="3"/>
  <c r="J156" i="3"/>
  <c r="H158" i="3"/>
  <c r="H157" i="3"/>
  <c r="H156" i="3"/>
  <c r="D158" i="3"/>
  <c r="B89" i="3" l="1"/>
  <c r="J155" i="3" l="1"/>
  <c r="J154" i="3"/>
  <c r="H155" i="3"/>
  <c r="H154" i="3"/>
  <c r="E155" i="3"/>
  <c r="E110" i="1" s="1"/>
  <c r="E154" i="3"/>
  <c r="E109" i="1" s="1"/>
  <c r="C89" i="3"/>
  <c r="D43" i="2"/>
  <c r="B43" i="2"/>
  <c r="C110" i="1"/>
  <c r="C109" i="1"/>
  <c r="C44" i="1" s="1"/>
  <c r="K44" i="1" l="1"/>
  <c r="E89" i="3" s="1"/>
  <c r="I111" i="2"/>
  <c r="D156" i="3" s="1"/>
  <c r="I112" i="2"/>
  <c r="D157" i="3" s="1"/>
  <c r="F111" i="2"/>
  <c r="F112" i="2"/>
  <c r="I109" i="2" l="1"/>
  <c r="I110" i="2"/>
  <c r="D155" i="3" s="1"/>
  <c r="F110" i="2"/>
  <c r="F109" i="2"/>
  <c r="I44" i="2" l="1"/>
  <c r="G89" i="3"/>
  <c r="D154" i="3"/>
  <c r="H43" i="1"/>
  <c r="F43" i="1"/>
  <c r="F43" i="2"/>
  <c r="J153" i="3"/>
  <c r="H153" i="3"/>
  <c r="E153" i="3"/>
  <c r="E108" i="1" s="1"/>
  <c r="C108" i="1"/>
  <c r="E43" i="1" l="1"/>
  <c r="J152" i="3"/>
  <c r="J151" i="3"/>
  <c r="J150" i="3"/>
  <c r="H152" i="3"/>
  <c r="H151" i="3"/>
  <c r="H150" i="3"/>
  <c r="E152" i="3"/>
  <c r="E151" i="3"/>
  <c r="E150" i="3"/>
  <c r="E105" i="1" l="1"/>
  <c r="E106" i="1"/>
  <c r="E107" i="1"/>
  <c r="C107" i="1"/>
  <c r="C106" i="1"/>
  <c r="C105" i="1"/>
  <c r="I105" i="2" l="1"/>
  <c r="D150" i="3" s="1"/>
  <c r="I106" i="2"/>
  <c r="D151" i="3" s="1"/>
  <c r="I107" i="2"/>
  <c r="D152" i="3" s="1"/>
  <c r="I108" i="2"/>
  <c r="D153" i="3" s="1"/>
  <c r="F105" i="2"/>
  <c r="F106" i="2"/>
  <c r="F107" i="2"/>
  <c r="F108" i="2"/>
  <c r="J149" i="3" l="1"/>
  <c r="J148" i="3"/>
  <c r="H149" i="3"/>
  <c r="H148" i="3"/>
  <c r="E149" i="3"/>
  <c r="E104" i="1" s="1"/>
  <c r="E148" i="3"/>
  <c r="E103" i="1" s="1"/>
  <c r="C104" i="1"/>
  <c r="C103" i="1"/>
  <c r="I103" i="2" l="1"/>
  <c r="D148" i="3" s="1"/>
  <c r="I104" i="2"/>
  <c r="D149" i="3" s="1"/>
  <c r="F103" i="2"/>
  <c r="I102" i="2" l="1"/>
  <c r="D147" i="3" s="1"/>
  <c r="C102" i="1"/>
  <c r="J147" i="3"/>
  <c r="H147" i="3"/>
  <c r="E147" i="3"/>
  <c r="E102" i="1" s="1"/>
  <c r="C88" i="3" l="1"/>
  <c r="J146" i="3"/>
  <c r="H146" i="3"/>
  <c r="E146" i="3" l="1"/>
  <c r="E145" i="3"/>
  <c r="J145" i="3"/>
  <c r="H145" i="3"/>
  <c r="H144" i="3"/>
  <c r="J144" i="3"/>
  <c r="E144" i="3"/>
  <c r="I99" i="2"/>
  <c r="D144" i="3" s="1"/>
  <c r="I100" i="2"/>
  <c r="D145" i="3" s="1"/>
  <c r="I101" i="2"/>
  <c r="D146" i="3" s="1"/>
  <c r="F99" i="2"/>
  <c r="F100" i="2"/>
  <c r="C101" i="1"/>
  <c r="C100" i="1"/>
  <c r="C99" i="1"/>
  <c r="E99" i="1" l="1"/>
  <c r="E100" i="1"/>
  <c r="E101" i="1"/>
  <c r="J143" i="3" l="1"/>
  <c r="J142" i="3"/>
  <c r="H143" i="3"/>
  <c r="H142" i="3"/>
  <c r="E143" i="3"/>
  <c r="E98" i="1" s="1"/>
  <c r="E142" i="3"/>
  <c r="E97" i="1" s="1"/>
  <c r="B88" i="3"/>
  <c r="F42" i="2"/>
  <c r="D42" i="2"/>
  <c r="B42" i="2"/>
  <c r="I97" i="2"/>
  <c r="I98" i="2"/>
  <c r="D143" i="3" s="1"/>
  <c r="F97" i="2"/>
  <c r="F98" i="2"/>
  <c r="C98" i="1"/>
  <c r="C97" i="1"/>
  <c r="I43" i="2" l="1"/>
  <c r="G88" i="3"/>
  <c r="C43" i="1"/>
  <c r="K43" i="1" s="1"/>
  <c r="D142" i="3"/>
  <c r="H42" i="1"/>
  <c r="F42" i="1"/>
  <c r="C96" i="1"/>
  <c r="E88" i="3" l="1"/>
  <c r="E42" i="1"/>
  <c r="I96" i="2"/>
  <c r="D141" i="3" s="1"/>
  <c r="F96" i="2"/>
  <c r="E141" i="3"/>
  <c r="E96" i="1" s="1"/>
  <c r="J141" i="3"/>
  <c r="H141" i="3"/>
  <c r="J140" i="3" l="1"/>
  <c r="H140" i="3"/>
  <c r="E140" i="3"/>
  <c r="E95" i="1" s="1"/>
  <c r="I95" i="2"/>
  <c r="D140" i="3" s="1"/>
  <c r="F95" i="2"/>
  <c r="C95" i="1"/>
  <c r="J139" i="3"/>
  <c r="H139" i="3"/>
  <c r="E139" i="3"/>
  <c r="E94" i="1" s="1"/>
  <c r="I94" i="2"/>
  <c r="D139" i="3" s="1"/>
  <c r="F94" i="2"/>
  <c r="C94" i="1"/>
  <c r="F93" i="2" l="1"/>
  <c r="E138" i="3"/>
  <c r="E93" i="1" s="1"/>
  <c r="H138" i="3"/>
  <c r="J138" i="3"/>
  <c r="I93" i="2"/>
  <c r="D138" i="3" s="1"/>
  <c r="C93" i="1"/>
  <c r="D93" i="1"/>
  <c r="C92" i="1" l="1"/>
  <c r="C91" i="1"/>
  <c r="C42" i="1" l="1"/>
  <c r="K42" i="1" s="1"/>
  <c r="E87" i="3" s="1"/>
  <c r="D92" i="1"/>
  <c r="J137" i="3"/>
  <c r="H137" i="3"/>
  <c r="E137" i="3"/>
  <c r="E92" i="1" s="1"/>
  <c r="D90" i="1" l="1"/>
  <c r="D91" i="1"/>
  <c r="J136" i="3"/>
  <c r="J135" i="3"/>
  <c r="H136" i="3"/>
  <c r="H135" i="3"/>
  <c r="E136" i="3"/>
  <c r="E91" i="1" s="1"/>
  <c r="E135" i="3"/>
  <c r="E90" i="1" s="1"/>
  <c r="I90" i="2" l="1"/>
  <c r="D135" i="3" s="1"/>
  <c r="I91" i="2"/>
  <c r="D136" i="3" s="1"/>
  <c r="I92" i="2"/>
  <c r="D137" i="3" s="1"/>
  <c r="F90" i="2"/>
  <c r="E134" i="3" l="1"/>
  <c r="H134" i="3" l="1"/>
  <c r="J134" i="3"/>
  <c r="D87" i="1"/>
  <c r="D88" i="1"/>
  <c r="D89" i="1"/>
  <c r="J133" i="3" l="1"/>
  <c r="J132" i="3"/>
  <c r="H133" i="3"/>
  <c r="H132" i="3"/>
  <c r="E89" i="1"/>
  <c r="E133" i="3"/>
  <c r="E88" i="1" s="1"/>
  <c r="E132" i="3"/>
  <c r="E87" i="1" s="1"/>
  <c r="F89" i="2"/>
  <c r="I87" i="2"/>
  <c r="D132" i="3" s="1"/>
  <c r="I88" i="2"/>
  <c r="D133" i="3" s="1"/>
  <c r="I89" i="2"/>
  <c r="D134" i="3" s="1"/>
  <c r="F87" i="2"/>
  <c r="F88" i="2"/>
  <c r="B87" i="3" l="1"/>
  <c r="C87" i="3"/>
  <c r="F41" i="1"/>
  <c r="H41" i="1"/>
  <c r="F86" i="2"/>
  <c r="I85" i="2"/>
  <c r="F85" i="2"/>
  <c r="D41" i="2"/>
  <c r="F41" i="2" s="1"/>
  <c r="B41" i="2"/>
  <c r="E41" i="1" l="1"/>
  <c r="D85" i="1"/>
  <c r="D86" i="1"/>
  <c r="J131" i="3" l="1"/>
  <c r="H131" i="3"/>
  <c r="E131" i="3"/>
  <c r="E86" i="1" s="1"/>
  <c r="I86" i="2" l="1"/>
  <c r="I42" i="2" s="1"/>
  <c r="G87" i="3" s="1"/>
  <c r="D131" i="3" l="1"/>
  <c r="D130" i="3"/>
  <c r="H130" i="3" l="1"/>
  <c r="J130" i="3"/>
  <c r="E130" i="3" l="1"/>
  <c r="E85" i="1" l="1"/>
  <c r="J129" i="3"/>
  <c r="H129" i="3"/>
  <c r="E129" i="3"/>
  <c r="E84" i="1" s="1"/>
  <c r="D84" i="1"/>
  <c r="I84" i="2"/>
  <c r="D129" i="3" s="1"/>
  <c r="F84" i="2"/>
  <c r="F83" i="2"/>
  <c r="I83" i="2"/>
  <c r="D128" i="3" s="1"/>
  <c r="H128" i="3"/>
  <c r="J128" i="3"/>
  <c r="E128" i="3"/>
  <c r="E83" i="1" s="1"/>
  <c r="D83" i="1"/>
  <c r="J127" i="3"/>
  <c r="H127" i="3"/>
  <c r="E127" i="3"/>
  <c r="E82" i="1" s="1"/>
  <c r="D82" i="1"/>
  <c r="I82" i="2"/>
  <c r="D127" i="3" s="1"/>
  <c r="F80" i="2"/>
  <c r="F81" i="2"/>
  <c r="F82" i="2"/>
  <c r="J126" i="3"/>
  <c r="H126" i="3"/>
  <c r="E126" i="3"/>
  <c r="E81" i="1" s="1"/>
  <c r="D81" i="1"/>
  <c r="F79" i="2"/>
  <c r="J125" i="3"/>
  <c r="H125" i="3"/>
  <c r="E125" i="3"/>
  <c r="E80" i="1" s="1"/>
  <c r="D80" i="1"/>
  <c r="I81" i="2"/>
  <c r="D126" i="3" s="1"/>
  <c r="J124" i="3"/>
  <c r="H124" i="3"/>
  <c r="E124" i="3"/>
  <c r="E79" i="1" s="1"/>
  <c r="D79" i="1"/>
  <c r="C76" i="1"/>
  <c r="C75" i="1"/>
  <c r="C74" i="1"/>
  <c r="J123" i="3"/>
  <c r="I123" i="3"/>
  <c r="H123" i="3"/>
  <c r="G123" i="3"/>
  <c r="E123" i="3"/>
  <c r="E78" i="1" s="1"/>
  <c r="B123" i="3"/>
  <c r="D78" i="1" s="1"/>
  <c r="F76" i="2"/>
  <c r="F77" i="2"/>
  <c r="F78" i="2"/>
  <c r="I78" i="2"/>
  <c r="D123" i="3" s="1"/>
  <c r="I79" i="2"/>
  <c r="D124" i="3" s="1"/>
  <c r="I80" i="2"/>
  <c r="D125" i="3" s="1"/>
  <c r="I77" i="2"/>
  <c r="D122" i="3" s="1"/>
  <c r="I76" i="2"/>
  <c r="D121" i="3" s="1"/>
  <c r="J122" i="3"/>
  <c r="I122" i="3"/>
  <c r="H122" i="3"/>
  <c r="G122" i="3"/>
  <c r="E122" i="3"/>
  <c r="E77" i="1" s="1"/>
  <c r="B122" i="3"/>
  <c r="D77" i="1" s="1"/>
  <c r="J121" i="3"/>
  <c r="I121" i="3"/>
  <c r="H121" i="3"/>
  <c r="G121" i="3"/>
  <c r="E121" i="3"/>
  <c r="E76" i="1" s="1"/>
  <c r="B121" i="3"/>
  <c r="D76" i="1" s="1"/>
  <c r="J120" i="3"/>
  <c r="I120" i="3"/>
  <c r="H120" i="3"/>
  <c r="G120" i="3"/>
  <c r="E120" i="3"/>
  <c r="E75" i="1" s="1"/>
  <c r="B120" i="3"/>
  <c r="D75" i="1" s="1"/>
  <c r="E117" i="3"/>
  <c r="E72" i="1" s="1"/>
  <c r="C40" i="1"/>
  <c r="I66" i="2"/>
  <c r="I67" i="2"/>
  <c r="I68" i="2"/>
  <c r="I69" i="2"/>
  <c r="I70" i="2"/>
  <c r="I71" i="2"/>
  <c r="I72" i="2"/>
  <c r="I73" i="2"/>
  <c r="I74" i="2"/>
  <c r="D119" i="3" s="1"/>
  <c r="I75" i="2"/>
  <c r="J119" i="3"/>
  <c r="I119" i="3"/>
  <c r="H119" i="3"/>
  <c r="G119" i="3"/>
  <c r="J118" i="3"/>
  <c r="I118" i="3"/>
  <c r="H118" i="3"/>
  <c r="G118" i="3"/>
  <c r="J117" i="3"/>
  <c r="I117" i="3"/>
  <c r="I116" i="3"/>
  <c r="H117" i="3"/>
  <c r="G117" i="3"/>
  <c r="F75" i="2"/>
  <c r="B117" i="3"/>
  <c r="D72" i="1" s="1"/>
  <c r="D40" i="2"/>
  <c r="B40" i="2"/>
  <c r="F72" i="2"/>
  <c r="C117" i="3" s="1"/>
  <c r="F73" i="2"/>
  <c r="F74" i="2"/>
  <c r="F40" i="1"/>
  <c r="H40" i="1"/>
  <c r="B40" i="1"/>
  <c r="K36" i="1"/>
  <c r="E81" i="3" s="1"/>
  <c r="E115" i="3"/>
  <c r="E70" i="1" s="1"/>
  <c r="E114" i="3"/>
  <c r="E69" i="1" s="1"/>
  <c r="E113" i="3"/>
  <c r="E68" i="1" s="1"/>
  <c r="E112" i="3"/>
  <c r="E67" i="1" s="1"/>
  <c r="E111" i="3"/>
  <c r="E66" i="1" s="1"/>
  <c r="E110" i="3"/>
  <c r="E65" i="1" s="1"/>
  <c r="E109" i="3"/>
  <c r="E64" i="1" s="1"/>
  <c r="E108" i="3"/>
  <c r="E63" i="1" s="1"/>
  <c r="E107" i="3"/>
  <c r="E62" i="1" s="1"/>
  <c r="E106" i="3"/>
  <c r="E61" i="1" s="1"/>
  <c r="I115" i="3"/>
  <c r="I114" i="3"/>
  <c r="I112" i="3"/>
  <c r="I111" i="3"/>
  <c r="I110" i="3"/>
  <c r="I109" i="3"/>
  <c r="I108" i="3"/>
  <c r="I107" i="3"/>
  <c r="I106" i="3"/>
  <c r="G116" i="3"/>
  <c r="G115" i="3"/>
  <c r="G114" i="3"/>
  <c r="G113" i="3"/>
  <c r="G112" i="3"/>
  <c r="G111" i="3"/>
  <c r="G110" i="3"/>
  <c r="G109" i="3"/>
  <c r="G108" i="3"/>
  <c r="G107" i="3"/>
  <c r="G106" i="3"/>
  <c r="B116" i="3"/>
  <c r="D71" i="1" s="1"/>
  <c r="B115" i="3"/>
  <c r="D70" i="1" s="1"/>
  <c r="B114" i="3"/>
  <c r="D69" i="1" s="1"/>
  <c r="B113" i="3"/>
  <c r="D68" i="1" s="1"/>
  <c r="B112" i="3"/>
  <c r="D67" i="1" s="1"/>
  <c r="B111" i="3"/>
  <c r="D66" i="1" s="1"/>
  <c r="B110" i="3"/>
  <c r="D65" i="1" s="1"/>
  <c r="B109" i="3"/>
  <c r="D64" i="1" s="1"/>
  <c r="B108" i="3"/>
  <c r="D63" i="1" s="1"/>
  <c r="B107" i="3"/>
  <c r="D62" i="1" s="1"/>
  <c r="B106" i="3"/>
  <c r="D61" i="1" s="1"/>
  <c r="F71" i="2"/>
  <c r="C116" i="3" s="1"/>
  <c r="E116" i="3"/>
  <c r="E71" i="1" s="1"/>
  <c r="H116" i="3"/>
  <c r="J116" i="3"/>
  <c r="H115" i="3"/>
  <c r="J115" i="3"/>
  <c r="H114" i="3"/>
  <c r="J114" i="3"/>
  <c r="H113" i="3"/>
  <c r="J113" i="3"/>
  <c r="I113" i="3"/>
  <c r="H112" i="3"/>
  <c r="H111" i="3"/>
  <c r="J112" i="3"/>
  <c r="J111" i="3"/>
  <c r="H110" i="3"/>
  <c r="J110" i="3"/>
  <c r="H109" i="3"/>
  <c r="J109" i="3"/>
  <c r="J107" i="3"/>
  <c r="H108" i="3"/>
  <c r="H107" i="3"/>
  <c r="J108" i="3"/>
  <c r="H106" i="3"/>
  <c r="J106" i="3"/>
  <c r="F70" i="2"/>
  <c r="C115" i="3" s="1"/>
  <c r="F69" i="2"/>
  <c r="C114" i="3" s="1"/>
  <c r="F68" i="2"/>
  <c r="C113" i="3" s="1"/>
  <c r="F66" i="2"/>
  <c r="C111" i="3" s="1"/>
  <c r="F67" i="2"/>
  <c r="C112" i="3" s="1"/>
  <c r="F39" i="2"/>
  <c r="C84" i="3" s="1"/>
  <c r="E95" i="3"/>
  <c r="E50" i="1" s="1"/>
  <c r="E98" i="3"/>
  <c r="E53" i="1" s="1"/>
  <c r="E97" i="3"/>
  <c r="E52" i="1" s="1"/>
  <c r="E96" i="3"/>
  <c r="E51" i="1" s="1"/>
  <c r="E94" i="3"/>
  <c r="E49" i="1" s="1"/>
  <c r="D49" i="1"/>
  <c r="C7" i="1"/>
  <c r="K7" i="1" s="1"/>
  <c r="E52" i="3" s="1"/>
  <c r="C8" i="1"/>
  <c r="C9" i="1"/>
  <c r="C10" i="1"/>
  <c r="C11" i="1"/>
  <c r="C12" i="1"/>
  <c r="K12" i="1" s="1"/>
  <c r="E57" i="3" s="1"/>
  <c r="C13" i="1"/>
  <c r="K13" i="1" s="1"/>
  <c r="E58" i="3" s="1"/>
  <c r="C14" i="1"/>
  <c r="K14" i="1" s="1"/>
  <c r="E59" i="3" s="1"/>
  <c r="C15" i="1"/>
  <c r="K15" i="1" s="1"/>
  <c r="E60" i="3" s="1"/>
  <c r="C16" i="1"/>
  <c r="K16" i="1" s="1"/>
  <c r="E61" i="3" s="1"/>
  <c r="C17" i="1"/>
  <c r="K17" i="1" s="1"/>
  <c r="E62" i="3" s="1"/>
  <c r="C18" i="1"/>
  <c r="K18" i="1" s="1"/>
  <c r="E63" i="3" s="1"/>
  <c r="C19" i="1"/>
  <c r="K19" i="1" s="1"/>
  <c r="E64" i="3" s="1"/>
  <c r="C20" i="1"/>
  <c r="K20" i="1" s="1"/>
  <c r="E65" i="3" s="1"/>
  <c r="C21" i="1"/>
  <c r="K21" i="1" s="1"/>
  <c r="E66" i="3" s="1"/>
  <c r="C22" i="1"/>
  <c r="K22" i="1" s="1"/>
  <c r="E67" i="3" s="1"/>
  <c r="C23" i="1"/>
  <c r="K23" i="1" s="1"/>
  <c r="E68" i="3" s="1"/>
  <c r="C24" i="1"/>
  <c r="K24" i="1" s="1"/>
  <c r="E69" i="3" s="1"/>
  <c r="C25" i="1"/>
  <c r="K25" i="1" s="1"/>
  <c r="E70" i="3" s="1"/>
  <c r="C26" i="1"/>
  <c r="K26" i="1" s="1"/>
  <c r="E71" i="3" s="1"/>
  <c r="C27" i="1"/>
  <c r="K27" i="1" s="1"/>
  <c r="E72" i="3" s="1"/>
  <c r="C28" i="1"/>
  <c r="K28" i="1" s="1"/>
  <c r="E73" i="3" s="1"/>
  <c r="C29" i="1"/>
  <c r="K29" i="1" s="1"/>
  <c r="E74" i="3" s="1"/>
  <c r="C30" i="1"/>
  <c r="K30" i="1" s="1"/>
  <c r="E75" i="3" s="1"/>
  <c r="C31" i="1"/>
  <c r="K31" i="1" s="1"/>
  <c r="E76" i="3" s="1"/>
  <c r="C32" i="1"/>
  <c r="K32" i="1" s="1"/>
  <c r="E77" i="3" s="1"/>
  <c r="C33" i="1"/>
  <c r="K33" i="1" s="1"/>
  <c r="E78" i="3" s="1"/>
  <c r="C34" i="1"/>
  <c r="K34" i="1" s="1"/>
  <c r="E79" i="3" s="1"/>
  <c r="C35" i="1"/>
  <c r="K35" i="1" s="1"/>
  <c r="E80" i="3" s="1"/>
  <c r="C6" i="1"/>
  <c r="K6" i="1" s="1"/>
  <c r="E51" i="3" s="1"/>
  <c r="F49" i="2"/>
  <c r="C94" i="3" s="1"/>
  <c r="J105" i="3"/>
  <c r="I105" i="3"/>
  <c r="H105" i="3"/>
  <c r="G105" i="3"/>
  <c r="E105" i="3"/>
  <c r="E60" i="1" s="1"/>
  <c r="J104" i="3"/>
  <c r="I104" i="3"/>
  <c r="H104" i="3"/>
  <c r="G104" i="3"/>
  <c r="E104" i="3"/>
  <c r="E59" i="1" s="1"/>
  <c r="J103" i="3"/>
  <c r="I103" i="3"/>
  <c r="H103" i="3"/>
  <c r="G103" i="3"/>
  <c r="E103" i="3"/>
  <c r="E58" i="1" s="1"/>
  <c r="J102" i="3"/>
  <c r="I102" i="3"/>
  <c r="H102" i="3"/>
  <c r="G102" i="3"/>
  <c r="E102" i="3"/>
  <c r="E57" i="1" s="1"/>
  <c r="J101" i="3"/>
  <c r="I101" i="3"/>
  <c r="H101" i="3"/>
  <c r="G101" i="3"/>
  <c r="E101" i="3"/>
  <c r="E56" i="1" s="1"/>
  <c r="J100" i="3"/>
  <c r="I100" i="3"/>
  <c r="H100" i="3"/>
  <c r="G100" i="3"/>
  <c r="E100" i="3"/>
  <c r="E55" i="1" s="1"/>
  <c r="J99" i="3"/>
  <c r="I99" i="3"/>
  <c r="H99" i="3"/>
  <c r="G99" i="3"/>
  <c r="E99" i="3"/>
  <c r="E54" i="1" s="1"/>
  <c r="D50" i="1"/>
  <c r="D51" i="1"/>
  <c r="D52" i="1"/>
  <c r="D53" i="1"/>
  <c r="D54" i="1"/>
  <c r="D55" i="1"/>
  <c r="D56" i="1"/>
  <c r="D57" i="1"/>
  <c r="D58" i="1"/>
  <c r="D59" i="1"/>
  <c r="D60" i="1"/>
  <c r="F39" i="1"/>
  <c r="E39" i="1" s="1"/>
  <c r="J39" i="1" s="1"/>
  <c r="B84" i="3" s="1"/>
  <c r="F56" i="2"/>
  <c r="C101" i="3" s="1"/>
  <c r="F57" i="2"/>
  <c r="C102" i="3" s="1"/>
  <c r="F58" i="2"/>
  <c r="C103" i="3" s="1"/>
  <c r="F59" i="2"/>
  <c r="C104" i="3" s="1"/>
  <c r="F60" i="2"/>
  <c r="C105" i="3" s="1"/>
  <c r="F61" i="2"/>
  <c r="C106" i="3" s="1"/>
  <c r="F62" i="2"/>
  <c r="C107" i="3" s="1"/>
  <c r="F63" i="2"/>
  <c r="C108" i="3" s="1"/>
  <c r="F64" i="2"/>
  <c r="C109" i="3" s="1"/>
  <c r="F65" i="2"/>
  <c r="C110" i="3" s="1"/>
  <c r="F54" i="2"/>
  <c r="C99" i="3" s="1"/>
  <c r="F55" i="2"/>
  <c r="C100" i="3" s="1"/>
  <c r="F53" i="2"/>
  <c r="C98" i="3" s="1"/>
  <c r="F52" i="2"/>
  <c r="C97" i="3" s="1"/>
  <c r="F51" i="2"/>
  <c r="C96" i="3" s="1"/>
  <c r="F50" i="2"/>
  <c r="C95" i="3" s="1"/>
  <c r="B6" i="3"/>
  <c r="C6" i="3" s="1"/>
  <c r="B7" i="3"/>
  <c r="C7" i="3" s="1"/>
  <c r="B8" i="3"/>
  <c r="C8" i="3" s="1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C40" i="3"/>
  <c r="C39" i="3"/>
  <c r="C38" i="3"/>
  <c r="C37" i="3"/>
  <c r="C36" i="3"/>
  <c r="F9" i="2"/>
  <c r="C54" i="3" s="1"/>
  <c r="F10" i="2"/>
  <c r="C55" i="3" s="1"/>
  <c r="F11" i="2"/>
  <c r="C56" i="3" s="1"/>
  <c r="F12" i="2"/>
  <c r="C57" i="3" s="1"/>
  <c r="F13" i="2"/>
  <c r="C58" i="3" s="1"/>
  <c r="F14" i="2"/>
  <c r="C59" i="3" s="1"/>
  <c r="F15" i="2"/>
  <c r="C60" i="3" s="1"/>
  <c r="F16" i="2"/>
  <c r="C61" i="3" s="1"/>
  <c r="F17" i="2"/>
  <c r="C62" i="3" s="1"/>
  <c r="F18" i="2"/>
  <c r="C63" i="3" s="1"/>
  <c r="F19" i="2"/>
  <c r="C64" i="3" s="1"/>
  <c r="F20" i="2"/>
  <c r="C65" i="3" s="1"/>
  <c r="F21" i="2"/>
  <c r="C66" i="3" s="1"/>
  <c r="F22" i="2"/>
  <c r="C67" i="3" s="1"/>
  <c r="F23" i="2"/>
  <c r="C68" i="3" s="1"/>
  <c r="F24" i="2"/>
  <c r="C69" i="3" s="1"/>
  <c r="F25" i="2"/>
  <c r="C70" i="3" s="1"/>
  <c r="F26" i="2"/>
  <c r="C71" i="3" s="1"/>
  <c r="F27" i="2"/>
  <c r="C72" i="3" s="1"/>
  <c r="F28" i="2"/>
  <c r="C73" i="3" s="1"/>
  <c r="F29" i="2"/>
  <c r="C74" i="3" s="1"/>
  <c r="F30" i="2"/>
  <c r="C75" i="3" s="1"/>
  <c r="F31" i="2"/>
  <c r="C76" i="3" s="1"/>
  <c r="F32" i="2"/>
  <c r="C77" i="3" s="1"/>
  <c r="F33" i="2"/>
  <c r="C78" i="3" s="1"/>
  <c r="F34" i="2"/>
  <c r="C79" i="3" s="1"/>
  <c r="F35" i="2"/>
  <c r="C80" i="3" s="1"/>
  <c r="F36" i="2"/>
  <c r="C81" i="3" s="1"/>
  <c r="F37" i="2"/>
  <c r="C82" i="3" s="1"/>
  <c r="F38" i="2"/>
  <c r="C83" i="3" s="1"/>
  <c r="F38" i="1"/>
  <c r="K38" i="1" s="1"/>
  <c r="E83" i="3" s="1"/>
  <c r="F37" i="1"/>
  <c r="J37" i="1" s="1"/>
  <c r="B82" i="3" s="1"/>
  <c r="J36" i="1"/>
  <c r="B81" i="3" s="1"/>
  <c r="J35" i="1"/>
  <c r="B80" i="3" s="1"/>
  <c r="J34" i="1"/>
  <c r="B79" i="3" s="1"/>
  <c r="J33" i="1"/>
  <c r="B78" i="3" s="1"/>
  <c r="J32" i="1"/>
  <c r="B77" i="3" s="1"/>
  <c r="J31" i="1"/>
  <c r="B76" i="3" s="1"/>
  <c r="J30" i="1"/>
  <c r="B75" i="3" s="1"/>
  <c r="J29" i="1"/>
  <c r="B74" i="3" s="1"/>
  <c r="J28" i="1"/>
  <c r="B73" i="3" s="1"/>
  <c r="J27" i="1"/>
  <c r="B72" i="3" s="1"/>
  <c r="J26" i="1"/>
  <c r="B71" i="3" s="1"/>
  <c r="J25" i="1"/>
  <c r="B70" i="3" s="1"/>
  <c r="J24" i="1"/>
  <c r="B69" i="3" s="1"/>
  <c r="J23" i="1"/>
  <c r="B68" i="3" s="1"/>
  <c r="J22" i="1"/>
  <c r="B67" i="3" s="1"/>
  <c r="J21" i="1"/>
  <c r="B66" i="3" s="1"/>
  <c r="J20" i="1"/>
  <c r="B65" i="3" s="1"/>
  <c r="J19" i="1"/>
  <c r="B64" i="3" s="1"/>
  <c r="J18" i="1"/>
  <c r="B63" i="3" s="1"/>
  <c r="J17" i="1"/>
  <c r="B62" i="3" s="1"/>
  <c r="J16" i="1"/>
  <c r="B61" i="3" s="1"/>
  <c r="J15" i="1"/>
  <c r="B60" i="3" s="1"/>
  <c r="J14" i="1"/>
  <c r="B59" i="3" s="1"/>
  <c r="J13" i="1"/>
  <c r="B58" i="3" s="1"/>
  <c r="J12" i="1"/>
  <c r="B57" i="3" s="1"/>
  <c r="F11" i="1"/>
  <c r="F10" i="1"/>
  <c r="J10" i="1" s="1"/>
  <c r="B55" i="3" s="1"/>
  <c r="F9" i="1"/>
  <c r="J9" i="1" s="1"/>
  <c r="B54" i="3" s="1"/>
  <c r="F8" i="1"/>
  <c r="J8" i="1" s="1"/>
  <c r="B53" i="3" s="1"/>
  <c r="E119" i="3"/>
  <c r="E74" i="1" s="1"/>
  <c r="B119" i="3"/>
  <c r="D74" i="1" s="1"/>
  <c r="E118" i="3"/>
  <c r="B118" i="3"/>
  <c r="D73" i="1" s="1"/>
  <c r="C41" i="1" l="1"/>
  <c r="K41" i="1" s="1"/>
  <c r="E86" i="3" s="1"/>
  <c r="D118" i="3"/>
  <c r="I41" i="2"/>
  <c r="G86" i="3" s="1"/>
  <c r="E73" i="1"/>
  <c r="J38" i="1"/>
  <c r="B83" i="3" s="1"/>
  <c r="K11" i="1"/>
  <c r="E56" i="3" s="1"/>
  <c r="K37" i="1"/>
  <c r="E82" i="3" s="1"/>
  <c r="K8" i="1"/>
  <c r="E53" i="3" s="1"/>
  <c r="C86" i="3"/>
  <c r="F40" i="2"/>
  <c r="C85" i="3" s="1"/>
  <c r="K9" i="1"/>
  <c r="E54" i="3" s="1"/>
  <c r="K10" i="1"/>
  <c r="E55" i="3" s="1"/>
  <c r="K39" i="1"/>
  <c r="E84" i="3" s="1"/>
  <c r="J11" i="1"/>
  <c r="B56" i="3" s="1"/>
  <c r="D120" i="3"/>
  <c r="E40" i="1"/>
  <c r="K40" i="1" l="1"/>
  <c r="E85" i="3" s="1"/>
  <c r="B86" i="3"/>
  <c r="J40" i="1"/>
  <c r="B85" i="3" s="1"/>
</calcChain>
</file>

<file path=xl/comments1.xml><?xml version="1.0" encoding="utf-8"?>
<comments xmlns="http://schemas.openxmlformats.org/spreadsheetml/2006/main">
  <authors>
    <author>Jessica Ipson</author>
  </authors>
  <commentList>
    <comment ref="C36" authorId="0" shapeId="0">
      <text>
        <r>
          <rPr>
            <b/>
            <sz val="9"/>
            <color indexed="81"/>
            <rFont val="Tahoma"/>
            <family val="2"/>
          </rPr>
          <t>Jessica Ipson:</t>
        </r>
        <r>
          <rPr>
            <sz val="9"/>
            <color indexed="81"/>
            <rFont val="Tahoma"/>
            <family val="2"/>
          </rPr>
          <t xml:space="preserve">
2011 forward used volumes from QPC invoice
</t>
        </r>
      </text>
    </comment>
  </commentList>
</comments>
</file>

<file path=xl/comments2.xml><?xml version="1.0" encoding="utf-8"?>
<comments xmlns="http://schemas.openxmlformats.org/spreadsheetml/2006/main">
  <authors>
    <author>Jessica Ipson</author>
  </authors>
  <commentList>
    <comment ref="A97" authorId="0" shapeId="0">
      <text>
        <r>
          <rPr>
            <b/>
            <sz val="9"/>
            <color indexed="81"/>
            <rFont val="Tahoma"/>
            <family val="2"/>
          </rPr>
          <t>Jessica Ipson:</t>
        </r>
        <r>
          <rPr>
            <sz val="9"/>
            <color indexed="81"/>
            <rFont val="Tahoma"/>
            <family val="2"/>
          </rPr>
          <t xml:space="preserve">
SAP Accounts:
5205041
5205215
5205344</t>
        </r>
      </text>
    </comment>
  </commentList>
</comments>
</file>

<file path=xl/comments3.xml><?xml version="1.0" encoding="utf-8"?>
<comments xmlns="http://schemas.openxmlformats.org/spreadsheetml/2006/main">
  <authors>
    <author>Austin Summers</author>
  </authors>
  <commentList>
    <comment ref="E81" authorId="0" shapeId="0">
      <text>
        <r>
          <rPr>
            <b/>
            <sz val="9"/>
            <color indexed="81"/>
            <rFont val="Tahoma"/>
            <family val="2"/>
          </rPr>
          <t>Austin Summers:</t>
        </r>
        <r>
          <rPr>
            <sz val="9"/>
            <color indexed="81"/>
            <rFont val="Tahoma"/>
            <family val="2"/>
          </rPr>
          <t xml:space="preserve">
Changed volumes from estimated 3.8% to actual QPC invoice amount.</t>
        </r>
      </text>
    </comment>
  </commentList>
</comments>
</file>

<file path=xl/sharedStrings.xml><?xml version="1.0" encoding="utf-8"?>
<sst xmlns="http://schemas.openxmlformats.org/spreadsheetml/2006/main" count="201" uniqueCount="149">
  <si>
    <t>Questar Gas Company Production Costs</t>
  </si>
  <si>
    <t>Distr. Non-Gas</t>
  </si>
  <si>
    <t>Pass-Thru</t>
  </si>
  <si>
    <t>Property Tax</t>
  </si>
  <si>
    <t>Gathering</t>
  </si>
  <si>
    <t>Brady's</t>
  </si>
  <si>
    <t>Chuck H.'s</t>
  </si>
  <si>
    <t>Financial</t>
  </si>
  <si>
    <t>Ut &amp; Wy</t>
  </si>
  <si>
    <t>Return &amp;</t>
  </si>
  <si>
    <t>exchange</t>
  </si>
  <si>
    <t>Other Gas</t>
  </si>
  <si>
    <t>History - Dth</t>
  </si>
  <si>
    <t>$ - Costs</t>
  </si>
  <si>
    <t>Depreciation</t>
  </si>
  <si>
    <t>gas</t>
  </si>
  <si>
    <t>Supply Expense</t>
  </si>
  <si>
    <t>$ / Dth</t>
  </si>
  <si>
    <t>Costs</t>
  </si>
  <si>
    <t>SYSTEM</t>
  </si>
  <si>
    <t>Questar Gas Purchased Gas Costs</t>
  </si>
  <si>
    <t>Dth</t>
  </si>
  <si>
    <t xml:space="preserve">        Questar Gas Company</t>
  </si>
  <si>
    <t>Co. Produced Gas</t>
  </si>
  <si>
    <t>Purchased Gas</t>
  </si>
  <si>
    <t>Fin. Rpt.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</si>
  <si>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</si>
  <si>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</si>
  <si>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</si>
  <si>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</si>
  <si>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</si>
  <si>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</si>
  <si>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</si>
  <si>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</si>
  <si>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</si>
  <si>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</si>
  <si>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</si>
  <si>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</si>
  <si>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</si>
  <si>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</t>
  </si>
  <si>
    <t>13</t>
  </si>
  <si>
    <t>14</t>
  </si>
  <si>
    <t>IRP</t>
  </si>
  <si>
    <t>15</t>
  </si>
  <si>
    <t>16</t>
  </si>
  <si>
    <t>Difference</t>
  </si>
  <si>
    <t>Purch Dth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</si>
  <si>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</si>
  <si>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</si>
  <si>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</si>
  <si>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</si>
  <si>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</si>
  <si>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</si>
  <si>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</si>
  <si>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</si>
  <si>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</si>
  <si>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</si>
  <si>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</si>
  <si>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</si>
  <si>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Wex Month DTH</t>
  </si>
  <si>
    <t>Wellhead</t>
  </si>
  <si>
    <t>Into Pipe</t>
  </si>
  <si>
    <t>TTM Wellhead</t>
  </si>
  <si>
    <t>Purchase</t>
  </si>
  <si>
    <t>Into-Pipe</t>
  </si>
  <si>
    <t>TTM Into-Pipe</t>
  </si>
  <si>
    <t>Cost-of Service Gas Wexpro I - Wellhead</t>
  </si>
  <si>
    <t>Cost-of-Service Gas Wexpro II - Wellhead</t>
  </si>
  <si>
    <t>Cost-of-Service Gas - Wellhead</t>
  </si>
  <si>
    <t>Prior 2015</t>
  </si>
  <si>
    <t xml:space="preserve">QPC </t>
  </si>
  <si>
    <t>QPC Into Pipe</t>
  </si>
  <si>
    <t xml:space="preserve">FEB </t>
  </si>
  <si>
    <t>Northwest Pipeline (NPC)</t>
  </si>
  <si>
    <t>Actual FOM</t>
  </si>
  <si>
    <t>Northwest Pipeline First-of-Month</t>
  </si>
  <si>
    <t>Average Market Price*</t>
  </si>
  <si>
    <t>Cost-of-Service Gas - Into-Pipe**</t>
  </si>
  <si>
    <t xml:space="preserve">**The into-pipe volumes used to calculate the cost-of-service gas price prior to 2011 is an estimated 3.8% less than the wellhead volume.  The 3.8% was discussed in the May 18th 2015 IRP workshop.  The volume used for 2011 - current comes from the Questar Pipeline Company invoice.  </t>
  </si>
  <si>
    <t>MAR15</t>
  </si>
  <si>
    <t>MAY15</t>
  </si>
  <si>
    <t>JUN15</t>
  </si>
  <si>
    <t>JUL15</t>
  </si>
  <si>
    <t>AUG15</t>
  </si>
  <si>
    <t>SEP15</t>
  </si>
  <si>
    <t>OCT15</t>
  </si>
  <si>
    <t>NOV15</t>
  </si>
  <si>
    <t>DEC15</t>
  </si>
  <si>
    <t>JAN16</t>
  </si>
  <si>
    <t>FEB16</t>
  </si>
  <si>
    <t>*1981-2015: purchased gas average price;  2016 YTD: Northwest Pipeline first-of-month average price</t>
  </si>
  <si>
    <t>APR15</t>
  </si>
  <si>
    <t>MAR16</t>
  </si>
  <si>
    <t>APR16</t>
  </si>
  <si>
    <t>MAY16</t>
  </si>
  <si>
    <t>JUN16</t>
  </si>
  <si>
    <t>Cost-of Service Gas Wexpro I - Into-Pipe</t>
  </si>
  <si>
    <t>Cost-of-Service Gas Wexpro II - Into-Pipe</t>
  </si>
  <si>
    <t>JUL16</t>
  </si>
  <si>
    <t>AUG16</t>
  </si>
  <si>
    <t>SEP16</t>
  </si>
  <si>
    <t>OCT16</t>
  </si>
  <si>
    <t>NOV16</t>
  </si>
  <si>
    <t>DEC16</t>
  </si>
  <si>
    <t>JAN17</t>
  </si>
  <si>
    <t>FEB17</t>
  </si>
  <si>
    <t>MAR17</t>
  </si>
  <si>
    <t>APR17</t>
  </si>
  <si>
    <t>MAY17</t>
  </si>
  <si>
    <t>JUN17</t>
  </si>
  <si>
    <t>JUL17</t>
  </si>
  <si>
    <t>AUG17</t>
  </si>
  <si>
    <t>SEP17</t>
  </si>
  <si>
    <t>OCT17</t>
  </si>
  <si>
    <t>NOV17</t>
  </si>
  <si>
    <t>DEC17</t>
  </si>
  <si>
    <t>17</t>
  </si>
  <si>
    <t>JAN18</t>
  </si>
  <si>
    <t>FEB18</t>
  </si>
  <si>
    <t>MAR18</t>
  </si>
  <si>
    <t>APR18</t>
  </si>
  <si>
    <t>MAY18</t>
  </si>
  <si>
    <t>JUN18</t>
  </si>
  <si>
    <t>JUL18</t>
  </si>
  <si>
    <t>AUG18</t>
  </si>
  <si>
    <t>SEP18</t>
  </si>
  <si>
    <t>OCT18</t>
  </si>
  <si>
    <t>NOV18</t>
  </si>
  <si>
    <t>DEC18</t>
  </si>
  <si>
    <t>JAN19</t>
  </si>
  <si>
    <t>FEB19</t>
  </si>
  <si>
    <t>18</t>
  </si>
  <si>
    <t>MAR19</t>
  </si>
  <si>
    <t>APR19</t>
  </si>
  <si>
    <t>MAY19</t>
  </si>
  <si>
    <t>JUN19</t>
  </si>
  <si>
    <t>JUL19</t>
  </si>
  <si>
    <t>AUG19</t>
  </si>
  <si>
    <t>SEP19</t>
  </si>
  <si>
    <t>OCT19</t>
  </si>
  <si>
    <t>NOV19</t>
  </si>
  <si>
    <t>DEC19</t>
  </si>
  <si>
    <t>JAN20</t>
  </si>
  <si>
    <t>FEB20</t>
  </si>
  <si>
    <t>20 YTD</t>
  </si>
  <si>
    <t>19</t>
  </si>
  <si>
    <t>MAR20</t>
  </si>
  <si>
    <t>APR20</t>
  </si>
  <si>
    <t>MAY20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</si>
</sst>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_);_(* \(#,##0\);_(* &quot;-&quot;??_);_(@_)"/>
    <numFmt numFmtId="166" formatCode="&quot;$&quot;#,##0.00"/>
    <numFmt numFmtId="167" formatCode="_(* #,##0.000_);_(* \(#,##0.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1" fontId="0" fillId="0" borderId="0" xfId="0" applyNumberFormat="1" applyFill="1"/>
    <xf numFmtId="165" fontId="0" fillId="0" borderId="0" xfId="1" applyNumberFormat="1" applyFont="1" applyFill="1"/>
    <xf numFmtId="0" fontId="0" fillId="0" borderId="0" xfId="0" applyFill="1"/>
    <xf numFmtId="5" fontId="0" fillId="0" borderId="0" xfId="1" applyNumberFormat="1" applyFont="1" applyFill="1"/>
    <xf numFmtId="166" fontId="0" fillId="0" borderId="0" xfId="0" applyNumberFormat="1" applyFill="1"/>
    <xf numFmtId="165" fontId="0" fillId="0" borderId="0" xfId="1" applyNumberFormat="1" applyFont="1" applyFill="1" applyBorder="1"/>
    <xf numFmtId="164" fontId="0" fillId="0" borderId="0" xfId="1" applyNumberFormat="1" applyFont="1" applyFill="1"/>
    <xf numFmtId="5" fontId="0" fillId="0" borderId="0" xfId="0" applyNumberFormat="1" applyFill="1"/>
    <xf numFmtId="7" fontId="0" fillId="0" borderId="0" xfId="0" applyNumberFormat="1" applyFill="1"/>
    <xf numFmtId="0" fontId="0" fillId="0" borderId="0" xfId="0" applyFill="1" applyAlignment="1">
      <alignment horizontal="center"/>
    </xf>
    <xf numFmtId="7" fontId="6" fillId="0" borderId="0" xfId="0" applyNumberFormat="1" applyFont="1" applyFill="1"/>
    <xf numFmtId="7" fontId="2" fillId="0" borderId="0" xfId="0" applyNumberFormat="1" applyFont="1" applyFill="1"/>
    <xf numFmtId="165" fontId="0" fillId="0" borderId="0" xfId="0" applyNumberFormat="1" applyFill="1"/>
    <xf numFmtId="14" fontId="0" fillId="0" borderId="0" xfId="0" applyNumberFormat="1"/>
    <xf numFmtId="43" fontId="0" fillId="0" borderId="0" xfId="0" applyNumberFormat="1" applyFill="1"/>
    <xf numFmtId="43" fontId="0" fillId="0" borderId="0" xfId="1" applyFont="1" applyFill="1"/>
    <xf numFmtId="38" fontId="0" fillId="0" borderId="0" xfId="0" applyNumberFormat="1" applyFill="1"/>
    <xf numFmtId="0" fontId="0" fillId="0" borderId="0" xfId="0" applyAlignment="1"/>
    <xf numFmtId="0" fontId="0" fillId="0" borderId="0" xfId="0" quotePrefix="1" applyFill="1"/>
    <xf numFmtId="16" fontId="0" fillId="0" borderId="0" xfId="0" quotePrefix="1" applyNumberFormat="1" applyFill="1"/>
    <xf numFmtId="43" fontId="11" fillId="0" borderId="0" xfId="0" applyNumberFormat="1" applyFont="1" applyFill="1"/>
    <xf numFmtId="43" fontId="7" fillId="0" borderId="0" xfId="10" applyNumberFormat="1" applyFont="1" applyFill="1" applyAlignment="1"/>
    <xf numFmtId="0" fontId="7" fillId="0" borderId="0" xfId="10" applyFont="1" applyFill="1" applyAlignment="1"/>
    <xf numFmtId="167" fontId="0" fillId="0" borderId="0" xfId="0" applyNumberFormat="1" applyFill="1"/>
    <xf numFmtId="9" fontId="0" fillId="0" borderId="0" xfId="17" applyFont="1" applyFill="1"/>
    <xf numFmtId="0" fontId="0" fillId="0" borderId="0" xfId="0" applyFill="1" applyAlignment="1">
      <alignment horizontal="right"/>
    </xf>
    <xf numFmtId="10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43" fontId="0" fillId="0" borderId="0" xfId="1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  <xf numFmtId="9" fontId="0" fillId="0" borderId="0" xfId="17" applyNumberFormat="1" applyFont="1" applyFill="1"/>
    <xf numFmtId="44" fontId="0" fillId="0" borderId="0" xfId="16" applyFont="1" applyFill="1"/>
    <xf numFmtId="0" fontId="5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43" fontId="0" fillId="0" borderId="0" xfId="1" applyNumberFormat="1" applyFont="1" applyFill="1"/>
    <xf numFmtId="43" fontId="0" fillId="0" borderId="2" xfId="1" applyNumberFormat="1" applyFont="1" applyFill="1" applyBorder="1"/>
    <xf numFmtId="43" fontId="0" fillId="0" borderId="0" xfId="0" applyNumberFormat="1" applyFill="1" applyAlignment="1">
      <alignment wrapText="1"/>
    </xf>
    <xf numFmtId="165" fontId="0" fillId="0" borderId="0" xfId="1" applyNumberFormat="1" applyFont="1"/>
    <xf numFmtId="14" fontId="0" fillId="0" borderId="0" xfId="0" quotePrefix="1" applyNumberFormat="1" applyFill="1"/>
    <xf numFmtId="14" fontId="0" fillId="0" borderId="0" xfId="0" applyNumberFormat="1" applyFill="1"/>
    <xf numFmtId="165" fontId="0" fillId="0" borderId="0" xfId="0" applyNumberFormat="1"/>
    <xf numFmtId="10" fontId="0" fillId="0" borderId="0" xfId="17" applyNumberFormat="1" applyFont="1" applyFill="1"/>
    <xf numFmtId="43" fontId="0" fillId="0" borderId="0" xfId="1" applyFont="1"/>
    <xf numFmtId="0" fontId="0" fillId="0" borderId="0" xfId="0" applyAlignment="1">
      <alignment horizontal="left" wrapText="1"/>
    </xf>
  </cellXfs>
  <cellStyles count="18">
    <cellStyle name="Comma" xfId="1" builtinId="3"/>
    <cellStyle name="Currency" xfId="16" builtinId="4"/>
    <cellStyle name="Normal" xfId="0" builtinId="0"/>
    <cellStyle name="Normal 2" xfId="2"/>
    <cellStyle name="Normal 3" xfId="9"/>
    <cellStyle name="Percent" xfId="17" builtinId="5"/>
    <cellStyle name="PSChar" xfId="3"/>
    <cellStyle name="PSChar 2" xfId="10"/>
    <cellStyle name="PSDate" xfId="4"/>
    <cellStyle name="PSDate 2" xfId="11"/>
    <cellStyle name="PSDec" xfId="5"/>
    <cellStyle name="PSDec 2" xfId="12"/>
    <cellStyle name="PSHeading" xfId="6"/>
    <cellStyle name="PSHeading 2" xfId="13"/>
    <cellStyle name="PSInt" xfId="7"/>
    <cellStyle name="PSInt 2" xfId="14"/>
    <cellStyle name="PSSpacer" xfId="8"/>
    <cellStyle name="PSSpacer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sz="1200" baseline="0"/>
              <a:t>Purchased Gas vs Company Production</a:t>
            </a:r>
          </a:p>
        </c:rich>
      </c:tx>
      <c:layout>
        <c:manualLayout>
          <c:xMode val="edge"/>
          <c:yMode val="edge"/>
          <c:x val="0.31081687604583585"/>
          <c:y val="2.68456375838927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20775003007116"/>
          <c:y val="0.12998326551462946"/>
          <c:w val="0.88078779796538353"/>
          <c:h val="0.76235093096584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Summary!$B$5</c:f>
              <c:strCache>
                <c:ptCount val="1"/>
                <c:pt idx="0">
                  <c:v>Co. Produced Gas</c:v>
                </c:pt>
              </c:strCache>
            </c:strRef>
          </c:tx>
          <c:invertIfNegative val="0"/>
          <c:cat>
            <c:strRef>
              <c:f>Summary!$A$6:$A$43</c:f>
              <c:strCache>
                <c:ptCount val="3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f>Summary!$B$6:$B$43</c:f>
              <c:numCache>
                <c:formatCode>_(* #,##0_);_(* \(#,##0\);_(* "-"??_);_(@_)</c:formatCode>
                <c:ptCount val="38"/>
                <c:pt idx="0">
                  <c:v>19314840</c:v>
                </c:pt>
                <c:pt idx="1">
                  <c:v>43246998.149999999</c:v>
                </c:pt>
                <c:pt idx="2">
                  <c:v>34826991</c:v>
                </c:pt>
                <c:pt idx="3">
                  <c:v>37820993.549999997</c:v>
                </c:pt>
                <c:pt idx="4">
                  <c:v>34069999.649999999</c:v>
                </c:pt>
                <c:pt idx="5">
                  <c:v>27368998.349999998</c:v>
                </c:pt>
                <c:pt idx="6">
                  <c:v>23591997.149999999</c:v>
                </c:pt>
                <c:pt idx="7">
                  <c:v>26008993.350000001</c:v>
                </c:pt>
                <c:pt idx="8">
                  <c:v>24293001.449999999</c:v>
                </c:pt>
                <c:pt idx="9">
                  <c:v>26213995.200000003</c:v>
                </c:pt>
                <c:pt idx="10">
                  <c:v>34580997.299999997</c:v>
                </c:pt>
                <c:pt idx="11">
                  <c:v>33882996.299999997</c:v>
                </c:pt>
                <c:pt idx="12">
                  <c:v>47120999.549999997</c:v>
                </c:pt>
                <c:pt idx="13">
                  <c:v>47276415</c:v>
                </c:pt>
                <c:pt idx="14">
                  <c:v>49990034.999999993</c:v>
                </c:pt>
                <c:pt idx="15">
                  <c:v>47625735</c:v>
                </c:pt>
                <c:pt idx="16">
                  <c:v>46503000</c:v>
                </c:pt>
                <c:pt idx="17">
                  <c:v>47764000</c:v>
                </c:pt>
                <c:pt idx="18">
                  <c:v>48895000</c:v>
                </c:pt>
                <c:pt idx="19">
                  <c:v>52781000</c:v>
                </c:pt>
                <c:pt idx="20">
                  <c:v>48475000</c:v>
                </c:pt>
                <c:pt idx="21">
                  <c:v>52970000</c:v>
                </c:pt>
                <c:pt idx="22">
                  <c:v>51885000</c:v>
                </c:pt>
                <c:pt idx="23">
                  <c:v>49694000</c:v>
                </c:pt>
                <c:pt idx="24">
                  <c:v>49481000</c:v>
                </c:pt>
                <c:pt idx="25">
                  <c:v>48701000</c:v>
                </c:pt>
                <c:pt idx="26">
                  <c:v>39670000</c:v>
                </c:pt>
                <c:pt idx="27">
                  <c:v>55576000</c:v>
                </c:pt>
                <c:pt idx="28">
                  <c:v>58432000</c:v>
                </c:pt>
                <c:pt idx="29">
                  <c:v>60422000</c:v>
                </c:pt>
                <c:pt idx="30">
                  <c:v>61306000</c:v>
                </c:pt>
                <c:pt idx="31">
                  <c:v>70015000</c:v>
                </c:pt>
                <c:pt idx="32">
                  <c:v>71916000</c:v>
                </c:pt>
                <c:pt idx="33">
                  <c:v>79417359.135260388</c:v>
                </c:pt>
                <c:pt idx="34">
                  <c:v>69703498</c:v>
                </c:pt>
                <c:pt idx="35">
                  <c:v>69670858</c:v>
                </c:pt>
                <c:pt idx="36">
                  <c:v>69476079.679999992</c:v>
                </c:pt>
                <c:pt idx="37">
                  <c:v>73276451.420000002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D-430F-9197-3950DBCB1F83}"/>
            </c:ext>
          </c:extLst>
        </c:ser>
        <c:ser>
          <c:idx val="1"/>
          <c:order val="1"/>
          <c:tx>
            <c:strRef>
              <c:f>Summary!$C$5</c:f>
              <c:strCache>
                <c:ptCount val="1"/>
                <c:pt idx="0">
                  <c:v>Purchased Gas</c:v>
                </c:pt>
              </c:strCache>
            </c:strRef>
          </c:tx>
          <c:invertIfNegative val="0"/>
          <c:cat>
            <c:strRef>
              <c:f>Summary!$A$6:$A$43</c:f>
              <c:strCache>
                <c:ptCount val="3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f>Summary!$C$6:$C$43</c:f>
              <c:numCache>
                <c:formatCode>_(* #,##0_);_(* \(#,##0\);_(* "-"??_);_(@_)</c:formatCode>
                <c:ptCount val="38"/>
                <c:pt idx="0">
                  <c:v>99923224.285714284</c:v>
                </c:pt>
                <c:pt idx="1">
                  <c:v>83355155.931632668</c:v>
                </c:pt>
                <c:pt idx="2">
                  <c:v>86058364.102040812</c:v>
                </c:pt>
                <c:pt idx="3">
                  <c:v>81135632.299999997</c:v>
                </c:pt>
                <c:pt idx="4">
                  <c:v>79338914.219999999</c:v>
                </c:pt>
                <c:pt idx="5">
                  <c:v>74494419</c:v>
                </c:pt>
                <c:pt idx="6">
                  <c:v>66421173</c:v>
                </c:pt>
                <c:pt idx="7">
                  <c:v>64729329</c:v>
                </c:pt>
                <c:pt idx="8">
                  <c:v>56923090</c:v>
                </c:pt>
                <c:pt idx="9">
                  <c:v>51484195</c:v>
                </c:pt>
                <c:pt idx="10">
                  <c:v>47885156</c:v>
                </c:pt>
                <c:pt idx="11">
                  <c:v>65203726.939999998</c:v>
                </c:pt>
                <c:pt idx="12">
                  <c:v>45285386</c:v>
                </c:pt>
                <c:pt idx="13">
                  <c:v>39990856</c:v>
                </c:pt>
                <c:pt idx="14">
                  <c:v>30336637</c:v>
                </c:pt>
                <c:pt idx="15">
                  <c:v>37575715</c:v>
                </c:pt>
                <c:pt idx="16">
                  <c:v>53734600</c:v>
                </c:pt>
                <c:pt idx="17">
                  <c:v>52313902</c:v>
                </c:pt>
                <c:pt idx="18">
                  <c:v>46249773</c:v>
                </c:pt>
                <c:pt idx="19">
                  <c:v>46425578</c:v>
                </c:pt>
                <c:pt idx="20">
                  <c:v>52979036</c:v>
                </c:pt>
                <c:pt idx="21">
                  <c:v>56912695</c:v>
                </c:pt>
                <c:pt idx="22">
                  <c:v>45115003</c:v>
                </c:pt>
                <c:pt idx="23">
                  <c:v>63287064</c:v>
                </c:pt>
                <c:pt idx="24">
                  <c:v>61950995</c:v>
                </c:pt>
                <c:pt idx="25">
                  <c:v>63003039</c:v>
                </c:pt>
                <c:pt idx="26">
                  <c:v>74222918</c:v>
                </c:pt>
                <c:pt idx="27">
                  <c:v>62828533</c:v>
                </c:pt>
                <c:pt idx="28">
                  <c:v>57448633</c:v>
                </c:pt>
                <c:pt idx="29">
                  <c:v>56643058</c:v>
                </c:pt>
                <c:pt idx="30">
                  <c:v>57100064</c:v>
                </c:pt>
                <c:pt idx="31">
                  <c:v>33372542</c:v>
                </c:pt>
                <c:pt idx="32">
                  <c:v>50085436</c:v>
                </c:pt>
                <c:pt idx="33">
                  <c:v>33847946.987188593</c:v>
                </c:pt>
                <c:pt idx="34">
                  <c:v>43561808.122448981</c:v>
                </c:pt>
                <c:pt idx="35">
                  <c:v>41964843</c:v>
                </c:pt>
                <c:pt idx="36">
                  <c:v>42407495.320000008</c:v>
                </c:pt>
                <c:pt idx="37">
                  <c:v>40022074.579999998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DD-430F-9197-3950DBCB1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911696"/>
        <c:axId val="313974800"/>
      </c:barChart>
      <c:catAx>
        <c:axId val="14391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3974800"/>
        <c:crosses val="autoZero"/>
        <c:auto val="1"/>
        <c:lblAlgn val="ctr"/>
        <c:lblOffset val="100"/>
        <c:noMultiLvlLbl val="0"/>
      </c:catAx>
      <c:valAx>
        <c:axId val="313974800"/>
        <c:scaling>
          <c:orientation val="minMax"/>
          <c:max val="125000000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Millions of Decatherms</a:t>
                </a:r>
              </a:p>
            </c:rich>
          </c:tx>
          <c:layout>
            <c:manualLayout>
              <c:xMode val="edge"/>
              <c:yMode val="edge"/>
              <c:x val="3.2015989197210916E-2"/>
              <c:y val="0.13822244534869391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43911696"/>
        <c:crosses val="autoZero"/>
        <c:crossBetween val="between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34275383861806913"/>
          <c:y val="0.16424404164244633"/>
          <c:w val="0.19322698096270194"/>
          <c:h val="8.090788986947102E-2"/>
        </c:manualLayout>
      </c:layout>
      <c:overlay val="0"/>
    </c:legend>
    <c:plotVisOnly val="1"/>
    <c:dispBlanksAs val="gap"/>
    <c:showDLblsOverMax val="0"/>
  </c:chart>
  <c:printSettings>
    <c:headerFooter/>
    <c:pageMargins b="0" l="0" r="0" t="0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Average Market Price vs. Cost-of-Service Gas</a:t>
            </a:r>
          </a:p>
          <a:p>
            <a:pPr>
              <a:defRPr sz="2000" baseline="0"/>
            </a:pPr>
            <a:r>
              <a:rPr lang="en-US" sz="2600" baseline="0"/>
              <a:t>Historical</a:t>
            </a:r>
            <a:r>
              <a:rPr lang="en-US" sz="2000" baseline="0"/>
              <a:t>         </a:t>
            </a:r>
          </a:p>
        </c:rich>
      </c:tx>
      <c:layout>
        <c:manualLayout>
          <c:xMode val="edge"/>
          <c:yMode val="edge"/>
          <c:x val="0.30321143680661605"/>
          <c:y val="4.41592949029520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34337705899346E-2"/>
          <c:y val="8.9284250931148196E-2"/>
          <c:w val="0.82951632176710999"/>
          <c:h val="0.79829189826200608"/>
        </c:manualLayout>
      </c:layout>
      <c:lineChart>
        <c:grouping val="standar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Average Market Price*</c:v>
                </c:pt>
              </c:strCache>
            </c:strRef>
          </c:tx>
          <c:marker>
            <c:symbol val="none"/>
          </c:marker>
          <c:cat>
            <c:strRef>
              <c:f>Summary!$A$51:$A$90</c:f>
              <c:strCache>
                <c:ptCount val="40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 YTD</c:v>
                </c:pt>
              </c:strCache>
            </c:strRef>
          </c:cat>
          <c:val>
            <c:numRef>
              <c:f>(Summary!$C$51:$C$85,Summary!$G$86:$G$90)</c:f>
              <c:numCache>
                <c:formatCode>"$"#,##0.00_);\("$"#,##0.00\)</c:formatCode>
                <c:ptCount val="40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3.41</c:v>
                </c:pt>
                <c:pt idx="4">
                  <c:v>3.66</c:v>
                </c:pt>
                <c:pt idx="5">
                  <c:v>3.36</c:v>
                </c:pt>
                <c:pt idx="6">
                  <c:v>2.92</c:v>
                </c:pt>
                <c:pt idx="7">
                  <c:v>2.69</c:v>
                </c:pt>
                <c:pt idx="8">
                  <c:v>3.22</c:v>
                </c:pt>
                <c:pt idx="9">
                  <c:v>3.61</c:v>
                </c:pt>
                <c:pt idx="10">
                  <c:v>3.72</c:v>
                </c:pt>
                <c:pt idx="11">
                  <c:v>2.31</c:v>
                </c:pt>
                <c:pt idx="12">
                  <c:v>2.8</c:v>
                </c:pt>
                <c:pt idx="13">
                  <c:v>1.84</c:v>
                </c:pt>
                <c:pt idx="14">
                  <c:v>1.48</c:v>
                </c:pt>
                <c:pt idx="15">
                  <c:v>1.79</c:v>
                </c:pt>
                <c:pt idx="16">
                  <c:v>2.27</c:v>
                </c:pt>
                <c:pt idx="17">
                  <c:v>1.91</c:v>
                </c:pt>
                <c:pt idx="18">
                  <c:v>2.0099999999999998</c:v>
                </c:pt>
                <c:pt idx="19">
                  <c:v>3.96</c:v>
                </c:pt>
                <c:pt idx="20">
                  <c:v>4.9000000000000004</c:v>
                </c:pt>
                <c:pt idx="21">
                  <c:v>2.5299999999999998</c:v>
                </c:pt>
                <c:pt idx="22">
                  <c:v>3.94</c:v>
                </c:pt>
                <c:pt idx="23">
                  <c:v>5.31</c:v>
                </c:pt>
                <c:pt idx="24">
                  <c:v>7.23</c:v>
                </c:pt>
                <c:pt idx="25">
                  <c:v>6.82</c:v>
                </c:pt>
                <c:pt idx="26">
                  <c:v>5.05</c:v>
                </c:pt>
                <c:pt idx="27">
                  <c:v>6.31</c:v>
                </c:pt>
                <c:pt idx="28">
                  <c:v>3.92</c:v>
                </c:pt>
                <c:pt idx="29">
                  <c:v>4.33</c:v>
                </c:pt>
                <c:pt idx="30">
                  <c:v>3.87</c:v>
                </c:pt>
                <c:pt idx="31">
                  <c:v>3.12</c:v>
                </c:pt>
                <c:pt idx="32">
                  <c:v>3.73</c:v>
                </c:pt>
                <c:pt idx="33">
                  <c:v>4.7699999999999996</c:v>
                </c:pt>
                <c:pt idx="34">
                  <c:v>2.5099999999999998</c:v>
                </c:pt>
                <c:pt idx="35">
                  <c:v>2.2326087316655929</c:v>
                </c:pt>
                <c:pt idx="36">
                  <c:v>2.7251760473211455</c:v>
                </c:pt>
                <c:pt idx="37">
                  <c:v>2.6386401272066737</c:v>
                </c:pt>
                <c:pt idx="38">
                  <c:v>2.5990924886696782</c:v>
                </c:pt>
                <c:pt idx="39">
                  <c:v>1.8926964463553297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EE-4805-A08C-77EA9782EB19}"/>
            </c:ext>
          </c:extLst>
        </c:ser>
        <c:ser>
          <c:idx val="0"/>
          <c:order val="1"/>
          <c:tx>
            <c:strRef>
              <c:f>Summary!$E$50</c:f>
              <c:strCache>
                <c:ptCount val="1"/>
                <c:pt idx="0">
                  <c:v>Cost-of-Service Gas - Into-Pipe**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Summary!$A$51:$A$90</c:f>
              <c:strCache>
                <c:ptCount val="40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 YTD</c:v>
                </c:pt>
              </c:strCache>
            </c:strRef>
          </c:cat>
          <c:val>
            <c:numRef>
              <c:f>Summary!$E$51:$E$90</c:f>
              <c:numCache>
                <c:formatCode>"$"#,##0.00_);\("$"#,##0.00\)</c:formatCode>
                <c:ptCount val="40"/>
                <c:pt idx="0">
                  <c:v>0.50230020790020791</c:v>
                </c:pt>
                <c:pt idx="1">
                  <c:v>0.59585530145530141</c:v>
                </c:pt>
                <c:pt idx="2">
                  <c:v>1.665106626331208</c:v>
                </c:pt>
                <c:pt idx="3">
                  <c:v>1.6425008055406285</c:v>
                </c:pt>
                <c:pt idx="4">
                  <c:v>1.5432919386922774</c:v>
                </c:pt>
                <c:pt idx="5">
                  <c:v>2.058911696222069</c:v>
                </c:pt>
                <c:pt idx="6">
                  <c:v>2.0906357281447261</c:v>
                </c:pt>
                <c:pt idx="7">
                  <c:v>1.7642077932747395</c:v>
                </c:pt>
                <c:pt idx="8">
                  <c:v>1.6443986028404507</c:v>
                </c:pt>
                <c:pt idx="9">
                  <c:v>1.6417932217956843</c:v>
                </c:pt>
                <c:pt idx="10">
                  <c:v>1.6853432832949524</c:v>
                </c:pt>
                <c:pt idx="11">
                  <c:v>2.005496590072569</c:v>
                </c:pt>
                <c:pt idx="12">
                  <c:v>1.6226050480247503</c:v>
                </c:pt>
                <c:pt idx="13">
                  <c:v>1.92559037103468</c:v>
                </c:pt>
                <c:pt idx="14">
                  <c:v>1.8037232722768546</c:v>
                </c:pt>
                <c:pt idx="15">
                  <c:v>2.0515040516646796</c:v>
                </c:pt>
                <c:pt idx="16">
                  <c:v>1.787189195045785</c:v>
                </c:pt>
                <c:pt idx="17">
                  <c:v>1.7946958227658125</c:v>
                </c:pt>
                <c:pt idx="18">
                  <c:v>1.7252489055953626</c:v>
                </c:pt>
                <c:pt idx="19">
                  <c:v>1.8334627429836885</c:v>
                </c:pt>
                <c:pt idx="20">
                  <c:v>2.4483275239932283</c:v>
                </c:pt>
                <c:pt idx="21">
                  <c:v>2.2039468453292321</c:v>
                </c:pt>
                <c:pt idx="22">
                  <c:v>2.6438777956687751</c:v>
                </c:pt>
                <c:pt idx="23">
                  <c:v>2.8913080026895579</c:v>
                </c:pt>
                <c:pt idx="24">
                  <c:v>3.2513512475714124</c:v>
                </c:pt>
                <c:pt idx="25">
                  <c:v>3.7915196134450362</c:v>
                </c:pt>
                <c:pt idx="26">
                  <c:v>4.5510160893378684</c:v>
                </c:pt>
                <c:pt idx="27">
                  <c:v>4.6316103912845303</c:v>
                </c:pt>
                <c:pt idx="28">
                  <c:v>4.5921954682863957</c:v>
                </c:pt>
                <c:pt idx="29">
                  <c:v>4.7395489831360056</c:v>
                </c:pt>
                <c:pt idx="30">
                  <c:v>4.6582413226111985</c:v>
                </c:pt>
                <c:pt idx="31">
                  <c:v>4.2530192932048845</c:v>
                </c:pt>
                <c:pt idx="32">
                  <c:v>4.6411103901724013</c:v>
                </c:pt>
                <c:pt idx="33">
                  <c:v>5.1841745280774658</c:v>
                </c:pt>
                <c:pt idx="34">
                  <c:v>5.1507389472245348</c:v>
                </c:pt>
                <c:pt idx="35">
                  <c:v>4.923098884523661</c:v>
                </c:pt>
                <c:pt idx="36">
                  <c:v>4.8935051740123443</c:v>
                </c:pt>
                <c:pt idx="37">
                  <c:v>3.9401245416090624</c:v>
                </c:pt>
                <c:pt idx="38">
                  <c:v>3.8767868119999509</c:v>
                </c:pt>
                <c:pt idx="39">
                  <c:v>4.0085320525219492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EE-4805-A08C-77EA9782E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477648"/>
        <c:axId val="146585016"/>
      </c:lineChart>
      <c:catAx>
        <c:axId val="14247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6585016"/>
        <c:crosses val="autoZero"/>
        <c:auto val="1"/>
        <c:lblAlgn val="ctr"/>
        <c:lblOffset val="100"/>
        <c:noMultiLvlLbl val="0"/>
      </c:catAx>
      <c:valAx>
        <c:axId val="146585016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14247764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Actual Market Price vs. TTM Cost-of-Service Gas</a:t>
            </a:r>
          </a:p>
          <a:p>
            <a:pPr>
              <a:defRPr sz="2000" baseline="0"/>
            </a:pPr>
            <a:r>
              <a:rPr lang="en-US" sz="2600" baseline="0"/>
              <a:t>IRP Year 2019</a:t>
            </a:r>
            <a:r>
              <a:rPr lang="en-US" sz="2000" baseline="0"/>
              <a:t>       </a:t>
            </a:r>
          </a:p>
        </c:rich>
      </c:tx>
      <c:layout>
        <c:manualLayout>
          <c:xMode val="edge"/>
          <c:yMode val="edge"/>
          <c:x val="0.30795840946520608"/>
          <c:y val="6.59424257996390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50928406449218"/>
          <c:y val="8.1690988945668078E-2"/>
          <c:w val="0.75744323216736154"/>
          <c:h val="0.81000507662613097"/>
        </c:manualLayout>
      </c:layout>
      <c:lineChart>
        <c:grouping val="standard"/>
        <c:varyColors val="0"/>
        <c:ser>
          <c:idx val="1"/>
          <c:order val="0"/>
          <c:tx>
            <c:v>Actual Market Price</c:v>
          </c:tx>
          <c:marker>
            <c:symbol val="none"/>
          </c:marker>
          <c:cat>
            <c:strRef>
              <c:f>Summary!$A$159:$A$170</c:f>
              <c:strCache>
                <c:ptCount val="12"/>
                <c:pt idx="0">
                  <c:v>JUN19</c:v>
                </c:pt>
                <c:pt idx="1">
                  <c:v>JUL19</c:v>
                </c:pt>
                <c:pt idx="2">
                  <c:v>AUG19</c:v>
                </c:pt>
                <c:pt idx="3">
                  <c:v>SEP19</c:v>
                </c:pt>
                <c:pt idx="4">
                  <c:v>OCT19</c:v>
                </c:pt>
                <c:pt idx="5">
                  <c:v>NOV19</c:v>
                </c:pt>
                <c:pt idx="6">
                  <c:v>DEC19</c:v>
                </c:pt>
                <c:pt idx="7">
                  <c:v>JAN20</c:v>
                </c:pt>
                <c:pt idx="8">
                  <c:v>FEB20</c:v>
                </c:pt>
                <c:pt idx="9">
                  <c:v>MAR20</c:v>
                </c:pt>
                <c:pt idx="10">
                  <c:v>APR20</c:v>
                </c:pt>
                <c:pt idx="11">
                  <c:v>MAY20</c:v>
                </c:pt>
              </c:strCache>
            </c:strRef>
          </c:cat>
          <c:val>
            <c:numRef>
              <c:f>'Purch Gas'!$I$114:$I$125</c:f>
              <c:numCache>
                <c:formatCode>_(* #,##0.00_);_(* \(#,##0.00\);_(* "-"??_);_(@_)</c:formatCode>
                <c:ptCount val="12"/>
                <c:pt idx="0">
                  <c:v>1.89</c:v>
                </c:pt>
                <c:pt idx="1">
                  <c:v>1.92</c:v>
                </c:pt>
                <c:pt idx="2">
                  <c:v>2.0099999999999998</c:v>
                </c:pt>
                <c:pt idx="3">
                  <c:v>1.81</c:v>
                </c:pt>
                <c:pt idx="4">
                  <c:v>2.0099999999999998</c:v>
                </c:pt>
                <c:pt idx="5">
                  <c:v>2.3199999999999998</c:v>
                </c:pt>
                <c:pt idx="6">
                  <c:v>3.44</c:v>
                </c:pt>
                <c:pt idx="7">
                  <c:v>3.16</c:v>
                </c:pt>
                <c:pt idx="8">
                  <c:v>1.8</c:v>
                </c:pt>
                <c:pt idx="9">
                  <c:v>1.56</c:v>
                </c:pt>
                <c:pt idx="10">
                  <c:v>1.29</c:v>
                </c:pt>
                <c:pt idx="11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388-4590-AEFC-97F60A5F3D2A}"/>
            </c:ext>
          </c:extLst>
        </c:ser>
        <c:ser>
          <c:idx val="4"/>
          <c:order val="1"/>
          <c:tx>
            <c:strRef>
              <c:f>Summary!$H$93</c:f>
              <c:strCache>
                <c:ptCount val="1"/>
                <c:pt idx="0">
                  <c:v>Cost-of Service Gas Wexpro I - Into-Pipe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Summary!$A$159:$A$170</c:f>
              <c:strCache>
                <c:ptCount val="12"/>
                <c:pt idx="0">
                  <c:v>JUN19</c:v>
                </c:pt>
                <c:pt idx="1">
                  <c:v>JUL19</c:v>
                </c:pt>
                <c:pt idx="2">
                  <c:v>AUG19</c:v>
                </c:pt>
                <c:pt idx="3">
                  <c:v>SEP19</c:v>
                </c:pt>
                <c:pt idx="4">
                  <c:v>OCT19</c:v>
                </c:pt>
                <c:pt idx="5">
                  <c:v>NOV19</c:v>
                </c:pt>
                <c:pt idx="6">
                  <c:v>DEC19</c:v>
                </c:pt>
                <c:pt idx="7">
                  <c:v>JAN20</c:v>
                </c:pt>
                <c:pt idx="8">
                  <c:v>FEB20</c:v>
                </c:pt>
                <c:pt idx="9">
                  <c:v>MAR20</c:v>
                </c:pt>
                <c:pt idx="10">
                  <c:v>APR20</c:v>
                </c:pt>
                <c:pt idx="11">
                  <c:v>MAY20</c:v>
                </c:pt>
              </c:strCache>
            </c:strRef>
          </c:cat>
          <c:val>
            <c:numRef>
              <c:f>Summary!$H$159:$H$170</c:f>
              <c:numCache>
                <c:formatCode>_(* #,##0.00_);_(* \(#,##0.00\);_(* "-"??_);_(@_)</c:formatCode>
                <c:ptCount val="12"/>
                <c:pt idx="0">
                  <c:v>4.1028359678496029</c:v>
                </c:pt>
                <c:pt idx="1">
                  <c:v>4.0955920844402627</c:v>
                </c:pt>
                <c:pt idx="2">
                  <c:v>4.0331346496888045</c:v>
                </c:pt>
                <c:pt idx="3">
                  <c:v>3.9951341302271715</c:v>
                </c:pt>
                <c:pt idx="4">
                  <c:v>3.9582165098114244</c:v>
                </c:pt>
                <c:pt idx="5">
                  <c:v>3.9566574923919093</c:v>
                </c:pt>
                <c:pt idx="6">
                  <c:v>4.0568725878690204</c:v>
                </c:pt>
                <c:pt idx="7">
                  <c:v>4.0032016689945014</c:v>
                </c:pt>
                <c:pt idx="8">
                  <c:v>3.9536920587129498</c:v>
                </c:pt>
                <c:pt idx="9">
                  <c:v>4.0308490244541071</c:v>
                </c:pt>
                <c:pt idx="10">
                  <c:v>3.99409256846327</c:v>
                </c:pt>
                <c:pt idx="11">
                  <c:v>4.0373757914429786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88-4590-AEFC-97F60A5F3D2A}"/>
            </c:ext>
          </c:extLst>
        </c:ser>
        <c:ser>
          <c:idx val="2"/>
          <c:order val="2"/>
          <c:tx>
            <c:strRef>
              <c:f>Summary!$J$93</c:f>
              <c:strCache>
                <c:ptCount val="1"/>
                <c:pt idx="0">
                  <c:v>Cost-of-Service Gas Wexpro II - Into-Pipe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Summary!$A$159:$A$170</c:f>
              <c:strCache>
                <c:ptCount val="12"/>
                <c:pt idx="0">
                  <c:v>JUN19</c:v>
                </c:pt>
                <c:pt idx="1">
                  <c:v>JUL19</c:v>
                </c:pt>
                <c:pt idx="2">
                  <c:v>AUG19</c:v>
                </c:pt>
                <c:pt idx="3">
                  <c:v>SEP19</c:v>
                </c:pt>
                <c:pt idx="4">
                  <c:v>OCT19</c:v>
                </c:pt>
                <c:pt idx="5">
                  <c:v>NOV19</c:v>
                </c:pt>
                <c:pt idx="6">
                  <c:v>DEC19</c:v>
                </c:pt>
                <c:pt idx="7">
                  <c:v>JAN20</c:v>
                </c:pt>
                <c:pt idx="8">
                  <c:v>FEB20</c:v>
                </c:pt>
                <c:pt idx="9">
                  <c:v>MAR20</c:v>
                </c:pt>
                <c:pt idx="10">
                  <c:v>APR20</c:v>
                </c:pt>
                <c:pt idx="11">
                  <c:v>MAY20</c:v>
                </c:pt>
              </c:strCache>
            </c:strRef>
          </c:cat>
          <c:val>
            <c:numRef>
              <c:f>Summary!$J$159:$J$170</c:f>
              <c:numCache>
                <c:formatCode>_(* #,##0.00_);_(* \(#,##0.00\);_(* "-"??_);_(@_)</c:formatCode>
                <c:ptCount val="12"/>
                <c:pt idx="0">
                  <c:v>3.2009472084596728</c:v>
                </c:pt>
                <c:pt idx="1">
                  <c:v>3.1867012734081839</c:v>
                </c:pt>
                <c:pt idx="2">
                  <c:v>3.1939829929313035</c:v>
                </c:pt>
                <c:pt idx="3">
                  <c:v>3.1842623316224641</c:v>
                </c:pt>
                <c:pt idx="4">
                  <c:v>3.197492070735604</c:v>
                </c:pt>
                <c:pt idx="5">
                  <c:v>3.1950272015168193</c:v>
                </c:pt>
                <c:pt idx="6">
                  <c:v>3.2407144577593483</c:v>
                </c:pt>
                <c:pt idx="7">
                  <c:v>3.2270057450163763</c:v>
                </c:pt>
                <c:pt idx="8">
                  <c:v>3.1786880189078799</c:v>
                </c:pt>
                <c:pt idx="9">
                  <c:v>3.1692667444289575</c:v>
                </c:pt>
                <c:pt idx="10">
                  <c:v>3.1853495366653628</c:v>
                </c:pt>
                <c:pt idx="11">
                  <c:v>3.2019193913605353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388-4590-AEFC-97F60A5F3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748592"/>
        <c:axId val="146752904"/>
      </c:lineChart>
      <c:catAx>
        <c:axId val="14674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6752904"/>
        <c:crosses val="autoZero"/>
        <c:auto val="1"/>
        <c:lblAlgn val="ctr"/>
        <c:lblOffset val="100"/>
        <c:noMultiLvlLbl val="0"/>
      </c:catAx>
      <c:valAx>
        <c:axId val="146752904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14674859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5</xdr:row>
      <xdr:rowOff>95250</xdr:rowOff>
    </xdr:from>
    <xdr:to>
      <xdr:col>19</xdr:col>
      <xdr:colOff>552450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9525</xdr:rowOff>
    </xdr:from>
    <xdr:to>
      <xdr:col>35</xdr:col>
      <xdr:colOff>539749</xdr:colOff>
      <xdr:row>51</xdr:row>
      <xdr:rowOff>238125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173594</xdr:colOff>
      <xdr:row>38</xdr:row>
      <xdr:rowOff>28043</xdr:rowOff>
    </xdr:from>
    <xdr:to>
      <xdr:col>35</xdr:col>
      <xdr:colOff>610054</xdr:colOff>
      <xdr:row>51</xdr:row>
      <xdr:rowOff>82478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 rot="5400000">
          <a:off x="12874106" y="8758781"/>
          <a:ext cx="4023185" cy="1039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19-057-01</a:t>
          </a:r>
        </a:p>
        <a:p>
          <a:pPr algn="r"/>
          <a:r>
            <a:rPr lang="en-US" sz="2000" baseline="0"/>
            <a:t>DEU Variance Exhibit 10.1 </a:t>
          </a:r>
          <a:endParaRPr lang="en-US" sz="20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0.21053</cdr:x>
      <cdr:y>0.35638</cdr:y>
    </cdr:from>
    <cdr:to>
      <cdr:x>0.42641</cdr:x>
      <cdr:y>0.48404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47901" y="2552700"/>
          <a:ext cx="23050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0</xdr:rowOff>
    </xdr:from>
    <xdr:to>
      <xdr:col>35</xdr:col>
      <xdr:colOff>603251</xdr:colOff>
      <xdr:row>52</xdr:row>
      <xdr:rowOff>301625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158750</xdr:colOff>
      <xdr:row>37</xdr:row>
      <xdr:rowOff>65774</xdr:rowOff>
    </xdr:from>
    <xdr:to>
      <xdr:col>35</xdr:col>
      <xdr:colOff>610054</xdr:colOff>
      <xdr:row>51</xdr:row>
      <xdr:rowOff>138913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 rot="5400000">
          <a:off x="12762082" y="8703192"/>
          <a:ext cx="4232389" cy="1054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19-057-01</a:t>
          </a:r>
        </a:p>
        <a:p>
          <a:pPr algn="r"/>
          <a:r>
            <a:rPr lang="en-US" sz="2000" baseline="0"/>
            <a:t>DEU Variance Exhibit 10.2</a:t>
          </a:r>
          <a:endParaRPr lang="en-US" sz="20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2015\JLI\Rolling%2012%20month%20Wexpro%20using%20QPC%20volum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2016\JLI\Wexpro%20Rolling%2012%20Month\Rolling%2012%20month%20with%20reduced%2015M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2016\JLI\Wexpro%20Rolling%2012%20Month\Rolling%2012%20month%20Wexpro%20using%20QPC%20volum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2017\JLI\Wexpro\Rolling%2012%20month%20Wexpro%20using%20QPC%20volum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2018\JLI\Wexpro\Rolling%2012%20month%20Wexpro%20using%20QPC%20volum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2019\JLI\WEXPRO\Rolling%2012%20month%20Wexpro%20using%20QPC%20volum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2020\JLI\Wexpro\Rolling%2012%20month%20Wexpro%20using%20QPC%20volum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Pricing\FOM%20Index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2019\JLI\WEXPRO\COS%20Volumes%20-%20QPC%20Invoice%20Volumes%202011-curren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2014\ACS\System%20WACOG\Rolling%2012%20month%20Wexp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14"/>
      <sheetName val="Mar 2014"/>
      <sheetName val="April 2014"/>
      <sheetName val="May 2014"/>
      <sheetName val="June 2014"/>
      <sheetName val="July 2014"/>
      <sheetName val="Aug 2014"/>
      <sheetName val="Sep 2014"/>
      <sheetName val="Oct 2014"/>
      <sheetName val="Nov 2014"/>
      <sheetName val="Dec 2014"/>
      <sheetName val="Jan 2015"/>
      <sheetName val="Feb 2015"/>
      <sheetName val="Mar 2015"/>
      <sheetName val="Apr 2015"/>
      <sheetName val="May 2015"/>
      <sheetName val="Jun 2015"/>
      <sheetName val="July 2015"/>
      <sheetName val="Aug 2015"/>
      <sheetName val="Sep 2015"/>
      <sheetName val="Oct 2015"/>
      <sheetName val="Nov 2015"/>
      <sheetName val="Dec 2015"/>
      <sheetName val="Sheet3"/>
      <sheetName val="813003 Other Gas Supply Expense"/>
      <sheetName val="Ut &amp; WY Costs"/>
      <sheetName val="Sheet2"/>
      <sheetName val=""/>
      <sheetName val="2014 Detail"/>
      <sheetName val="2014 P &amp; G Detail"/>
      <sheetName val="Sheet6"/>
      <sheetName val="IRP Sli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O13">
            <v>5.1371806357431291</v>
          </cell>
        </row>
        <row r="39">
          <cell r="O39">
            <v>5.2624738477935544</v>
          </cell>
        </row>
        <row r="66">
          <cell r="O66">
            <v>5.061307005148814</v>
          </cell>
        </row>
        <row r="67">
          <cell r="O67">
            <v>5.1616395227519769</v>
          </cell>
        </row>
        <row r="96">
          <cell r="O96">
            <v>6.2932125679050168</v>
          </cell>
        </row>
        <row r="97">
          <cell r="O97">
            <v>6.8841901034138964</v>
          </cell>
        </row>
      </sheetData>
      <sheetData sheetId="12">
        <row r="13">
          <cell r="O13">
            <v>5.2265190163887292</v>
          </cell>
        </row>
        <row r="39">
          <cell r="O39">
            <v>5.3395810191252346</v>
          </cell>
        </row>
        <row r="66">
          <cell r="O66">
            <v>5.1631543053667404</v>
          </cell>
        </row>
        <row r="67">
          <cell r="O67">
            <v>5.2487094010588384</v>
          </cell>
        </row>
        <row r="96">
          <cell r="O96">
            <v>6.1013463159622487</v>
          </cell>
        </row>
        <row r="97">
          <cell r="O97">
            <v>6.6820681844811354</v>
          </cell>
        </row>
      </sheetData>
      <sheetData sheetId="13">
        <row r="13">
          <cell r="O13">
            <v>5.2221927561189272</v>
          </cell>
        </row>
        <row r="39">
          <cell r="O39">
            <v>5.3113656274763761</v>
          </cell>
        </row>
        <row r="66">
          <cell r="O66">
            <v>5.1540947571108333</v>
          </cell>
        </row>
        <row r="67">
          <cell r="O67">
            <v>5.2116056170523546</v>
          </cell>
        </row>
        <row r="96">
          <cell r="O96">
            <v>6.1463963664624259</v>
          </cell>
        </row>
        <row r="97">
          <cell r="O97">
            <v>6.7957091547676383</v>
          </cell>
        </row>
      </sheetData>
      <sheetData sheetId="14">
        <row r="13">
          <cell r="O13">
            <v>5.22115382558896</v>
          </cell>
        </row>
        <row r="39">
          <cell r="O39">
            <v>5.2991114529179546</v>
          </cell>
        </row>
        <row r="66">
          <cell r="O66">
            <v>5.149198931364463</v>
          </cell>
        </row>
        <row r="67">
          <cell r="O67">
            <v>5.1947361284113862</v>
          </cell>
        </row>
        <row r="96">
          <cell r="O96">
            <v>6.1809853278979761</v>
          </cell>
        </row>
        <row r="97">
          <cell r="O97">
            <v>6.868277325701472</v>
          </cell>
        </row>
      </sheetData>
      <sheetData sheetId="15">
        <row r="13">
          <cell r="O13">
            <v>5.1980316504789998</v>
          </cell>
        </row>
        <row r="39">
          <cell r="O39">
            <v>5.2667016506059516</v>
          </cell>
        </row>
        <row r="66">
          <cell r="O66">
            <v>5.1233573566142185</v>
          </cell>
        </row>
        <row r="67">
          <cell r="O67">
            <v>5.1565015996872052</v>
          </cell>
        </row>
        <row r="96">
          <cell r="O96">
            <v>6.2010662246623047</v>
          </cell>
        </row>
        <row r="97">
          <cell r="O97">
            <v>6.9518192718375094</v>
          </cell>
        </row>
      </sheetData>
      <sheetData sheetId="16">
        <row r="13">
          <cell r="O13">
            <v>5.1153435128473204</v>
          </cell>
        </row>
        <row r="39">
          <cell r="O39">
            <v>5.1179797336629429</v>
          </cell>
        </row>
        <row r="66">
          <cell r="O66">
            <v>5.0103875879148445</v>
          </cell>
        </row>
        <row r="67">
          <cell r="O67">
            <v>4.9830061455756933</v>
          </cell>
        </row>
        <row r="96">
          <cell r="O96">
            <v>6.7155543663691475</v>
          </cell>
        </row>
        <row r="97">
          <cell r="O97">
            <v>7.4404664147533932</v>
          </cell>
        </row>
      </sheetData>
      <sheetData sheetId="17">
        <row r="13">
          <cell r="O13">
            <v>5.0559654878257225</v>
          </cell>
        </row>
        <row r="39">
          <cell r="O39">
            <v>5.0411931686324394</v>
          </cell>
        </row>
        <row r="66">
          <cell r="O66">
            <v>4.956236974505658</v>
          </cell>
        </row>
        <row r="67">
          <cell r="O67">
            <v>4.9118099179051411</v>
          </cell>
        </row>
        <row r="96">
          <cell r="O96">
            <v>6.5427045921771745</v>
          </cell>
        </row>
        <row r="97">
          <cell r="O97">
            <v>7.2284763846002944</v>
          </cell>
        </row>
      </sheetData>
      <sheetData sheetId="18">
        <row r="13">
          <cell r="O13">
            <v>5.0798849201220992</v>
          </cell>
        </row>
        <row r="39">
          <cell r="O39">
            <v>5.0376845327660682</v>
          </cell>
        </row>
        <row r="66">
          <cell r="O66">
            <v>4.9845310935723477</v>
          </cell>
        </row>
        <row r="67">
          <cell r="O67">
            <v>4.9098134765723405</v>
          </cell>
        </row>
        <row r="96">
          <cell r="O96">
            <v>6.4899857783935238</v>
          </cell>
        </row>
        <row r="97">
          <cell r="O97">
            <v>7.212463452534938</v>
          </cell>
        </row>
      </sheetData>
      <sheetData sheetId="19">
        <row r="13">
          <cell r="O13">
            <v>5.1164337168978573</v>
          </cell>
        </row>
        <row r="39">
          <cell r="O39">
            <v>5.0451392080987558</v>
          </cell>
        </row>
        <row r="66">
          <cell r="O66">
            <v>5.0213447811664009</v>
          </cell>
        </row>
        <row r="67">
          <cell r="O67">
            <v>4.9198622628723001</v>
          </cell>
        </row>
        <row r="96">
          <cell r="O96">
            <v>6.5341511807421817</v>
          </cell>
        </row>
        <row r="97">
          <cell r="O97">
            <v>7.1628020335173694</v>
          </cell>
        </row>
      </sheetData>
      <sheetData sheetId="20">
        <row r="13">
          <cell r="O13">
            <v>5.2196863374901126</v>
          </cell>
        </row>
        <row r="39">
          <cell r="O39">
            <v>5.0988046506886855</v>
          </cell>
        </row>
        <row r="66">
          <cell r="O66">
            <v>5.135249776223775</v>
          </cell>
        </row>
        <row r="67">
          <cell r="O67">
            <v>4.9836493114668379</v>
          </cell>
        </row>
        <row r="96">
          <cell r="O96">
            <v>6.5008892940410368</v>
          </cell>
        </row>
        <row r="97">
          <cell r="O97">
            <v>7.0333252266704616</v>
          </cell>
        </row>
      </sheetData>
      <sheetData sheetId="21">
        <row r="13">
          <cell r="O13">
            <v>5.256547316923359</v>
          </cell>
        </row>
        <row r="39">
          <cell r="O39">
            <v>5.1297251737343057</v>
          </cell>
        </row>
        <row r="66">
          <cell r="O66">
            <v>5.1713532073975106</v>
          </cell>
        </row>
        <row r="67">
          <cell r="O67">
            <v>5.0135318665854811</v>
          </cell>
        </row>
        <row r="96">
          <cell r="O96">
            <v>6.5295453422814322</v>
          </cell>
        </row>
        <row r="97">
          <cell r="O97">
            <v>7.0543041365889092</v>
          </cell>
        </row>
      </sheetData>
      <sheetData sheetId="22">
        <row r="13">
          <cell r="O13">
            <v>5.244695007644812</v>
          </cell>
        </row>
        <row r="30">
          <cell r="C30">
            <v>89992.69</v>
          </cell>
          <cell r="D30">
            <v>54801.14</v>
          </cell>
          <cell r="E30">
            <v>67566.51999999999</v>
          </cell>
          <cell r="F30">
            <v>-9078.25</v>
          </cell>
          <cell r="G30">
            <v>63933.8</v>
          </cell>
          <cell r="H30">
            <v>98408.76</v>
          </cell>
          <cell r="I30">
            <v>66629.69</v>
          </cell>
          <cell r="J30">
            <v>21467.02</v>
          </cell>
          <cell r="K30">
            <v>30673.890000000003</v>
          </cell>
          <cell r="L30">
            <v>27895.07</v>
          </cell>
          <cell r="M30">
            <v>28585.06</v>
          </cell>
          <cell r="N30">
            <v>76117.56</v>
          </cell>
        </row>
        <row r="31">
          <cell r="C31">
            <v>52288.75</v>
          </cell>
          <cell r="D31">
            <v>51100</v>
          </cell>
          <cell r="E31">
            <v>50545</v>
          </cell>
          <cell r="F31">
            <v>48978</v>
          </cell>
          <cell r="G31">
            <v>50095</v>
          </cell>
          <cell r="H31">
            <v>49287.230373333347</v>
          </cell>
          <cell r="I31">
            <v>48740.311585833268</v>
          </cell>
          <cell r="J31">
            <v>48564.103129999989</v>
          </cell>
          <cell r="K31">
            <v>48312.321698333297</v>
          </cell>
          <cell r="L31">
            <v>48083.349665416601</v>
          </cell>
          <cell r="M31">
            <v>47848.713964583301</v>
          </cell>
          <cell r="N31">
            <v>47224</v>
          </cell>
        </row>
        <row r="32">
          <cell r="C32">
            <v>87595</v>
          </cell>
          <cell r="D32">
            <v>89610</v>
          </cell>
          <cell r="E32">
            <v>72668</v>
          </cell>
          <cell r="F32">
            <v>92744</v>
          </cell>
          <cell r="G32">
            <v>94619.4</v>
          </cell>
          <cell r="H32">
            <v>98998.399999999994</v>
          </cell>
          <cell r="I32">
            <v>91786</v>
          </cell>
          <cell r="J32">
            <v>77760.399999999994</v>
          </cell>
          <cell r="K32">
            <v>70836.800000000003</v>
          </cell>
          <cell r="L32">
            <v>79966.2</v>
          </cell>
          <cell r="M32">
            <v>58212</v>
          </cell>
          <cell r="N32">
            <v>107227.2</v>
          </cell>
        </row>
        <row r="34">
          <cell r="C34">
            <v>32506412.880000003</v>
          </cell>
          <cell r="D34">
            <v>34178804.069999993</v>
          </cell>
          <cell r="E34">
            <v>30098234.290000003</v>
          </cell>
          <cell r="F34">
            <v>29754809.629999995</v>
          </cell>
          <cell r="G34">
            <v>29839963.090000007</v>
          </cell>
          <cell r="H34">
            <v>24486189.970373336</v>
          </cell>
          <cell r="I34">
            <v>29584100.48158583</v>
          </cell>
          <cell r="J34">
            <v>29977287.023130003</v>
          </cell>
          <cell r="K34">
            <v>30256933.031698331</v>
          </cell>
          <cell r="L34">
            <v>30081037.60966542</v>
          </cell>
          <cell r="M34">
            <v>28058287.463964578</v>
          </cell>
          <cell r="N34">
            <v>26792513.510000005</v>
          </cell>
        </row>
        <row r="39">
          <cell r="O39">
            <v>5.1507389472245348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14"/>
      <sheetName val="Mar 2014"/>
      <sheetName val="April 2014"/>
      <sheetName val="May 2014"/>
      <sheetName val="June 2014"/>
      <sheetName val="July 2014"/>
      <sheetName val="Aug 2014"/>
      <sheetName val="Sep 2014"/>
      <sheetName val="Oct 2014"/>
      <sheetName val="Nov 2014"/>
      <sheetName val="Dec 2014"/>
      <sheetName val="Jan 2015"/>
      <sheetName val="Feb 2015"/>
      <sheetName val="Mar 2015"/>
      <sheetName val="Apr 2015"/>
      <sheetName val="May 2015"/>
      <sheetName val="Jun 2015"/>
      <sheetName val="July 2015"/>
      <sheetName val="Aug 2015"/>
      <sheetName val="Sep 2015"/>
      <sheetName val="Oct 2015"/>
      <sheetName val="Nov 2015"/>
      <sheetName val="Dec 2015"/>
      <sheetName val="Jan 2016"/>
      <sheetName val="Feb 2016"/>
      <sheetName val="Mar 2016"/>
      <sheetName val="Apr 2016"/>
      <sheetName val="May 2016"/>
      <sheetName val="June 2016"/>
      <sheetName val="July 2016"/>
      <sheetName val="Aug 2016"/>
      <sheetName val="Sep 2016"/>
      <sheetName val="Oct 2016"/>
      <sheetName val="Nov 2016"/>
      <sheetName val="Dec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0">
          <cell r="O40">
            <v>4.9230988845236601</v>
          </cell>
        </row>
        <row r="71">
          <cell r="O71">
            <v>4.9657704301776926</v>
          </cell>
        </row>
        <row r="101">
          <cell r="O101">
            <v>4.6620518417867443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14"/>
      <sheetName val="Mar 2014"/>
      <sheetName val="April 2014"/>
      <sheetName val="May 2014"/>
      <sheetName val="June 2014"/>
      <sheetName val="July 2014"/>
      <sheetName val="Aug 2014"/>
      <sheetName val="Sep 2014"/>
      <sheetName val="Oct 2014"/>
      <sheetName val="Nov 2014"/>
      <sheetName val="Dec 2014"/>
      <sheetName val="Jan 2015"/>
      <sheetName val="Feb 2015"/>
      <sheetName val="Mar 2015"/>
      <sheetName val="Apr 2015"/>
      <sheetName val="May 2015"/>
      <sheetName val="Jun 2015"/>
      <sheetName val="July 2015"/>
      <sheetName val="Aug 2015"/>
      <sheetName val="Sep 2015"/>
      <sheetName val="Oct 2015"/>
      <sheetName val="Nov 2015"/>
      <sheetName val="Dec 2015"/>
      <sheetName val="Jan 2016"/>
      <sheetName val="Feb 2016"/>
      <sheetName val="Mar 2016"/>
      <sheetName val="Apr 2016"/>
      <sheetName val="May 2016"/>
      <sheetName val="June 2016"/>
      <sheetName val="July 2016"/>
      <sheetName val="Aug 2016"/>
      <sheetName val="Sep 2016"/>
      <sheetName val="Oct 2016"/>
      <sheetName val="Nov 2016"/>
      <sheetName val="Dec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O13">
            <v>5.2064570898669311</v>
          </cell>
        </row>
        <row r="39">
          <cell r="O39">
            <v>5.1088698253101779</v>
          </cell>
        </row>
        <row r="68">
          <cell r="O68">
            <v>4.979812272294236</v>
          </cell>
        </row>
        <row r="69">
          <cell r="O69">
            <v>5.0087007671095467</v>
          </cell>
        </row>
        <row r="98">
          <cell r="O98">
            <v>6.0343605238782665</v>
          </cell>
        </row>
        <row r="99">
          <cell r="O99">
            <v>6.5377105563182329</v>
          </cell>
        </row>
      </sheetData>
      <sheetData sheetId="24">
        <row r="13">
          <cell r="O13">
            <v>5.1576967467490134</v>
          </cell>
        </row>
        <row r="39">
          <cell r="O39">
            <v>5.0630045220431894</v>
          </cell>
        </row>
        <row r="68">
          <cell r="O68">
            <v>4.9538277788922906</v>
          </cell>
        </row>
        <row r="69">
          <cell r="O69">
            <v>4.9733403254235338</v>
          </cell>
        </row>
        <row r="98">
          <cell r="O98">
            <v>5.7238709260561151</v>
          </cell>
        </row>
        <row r="99">
          <cell r="O99">
            <v>6.2121701410715389</v>
          </cell>
        </row>
      </sheetData>
      <sheetData sheetId="25">
        <row r="13">
          <cell r="O13">
            <v>4.7530703783385286</v>
          </cell>
        </row>
        <row r="39">
          <cell r="O39">
            <v>5.0738958065994142</v>
          </cell>
        </row>
        <row r="68">
          <cell r="O68">
            <v>4.9950109827009825</v>
          </cell>
        </row>
        <row r="69">
          <cell r="O69">
            <v>5.0034069432176125</v>
          </cell>
        </row>
        <row r="98">
          <cell r="O98">
            <v>5.4228136205606177</v>
          </cell>
        </row>
        <row r="99">
          <cell r="O99">
            <v>5.8844514402014454</v>
          </cell>
        </row>
      </sheetData>
      <sheetData sheetId="26">
        <row r="13">
          <cell r="O13">
            <v>4.3326309840566495</v>
          </cell>
        </row>
        <row r="39">
          <cell r="O39">
            <v>5.0450007310654357</v>
          </cell>
        </row>
        <row r="68">
          <cell r="O68">
            <v>4.9991759406702885</v>
          </cell>
        </row>
        <row r="69">
          <cell r="O69">
            <v>4.9895654006637491</v>
          </cell>
        </row>
        <row r="98">
          <cell r="O98">
            <v>5.2028354472811129</v>
          </cell>
        </row>
        <row r="99">
          <cell r="O99">
            <v>5.626679788025668</v>
          </cell>
        </row>
      </sheetData>
      <sheetData sheetId="27">
        <row r="13">
          <cell r="O13">
            <v>3.8077023251173623</v>
          </cell>
        </row>
        <row r="39">
          <cell r="O39">
            <v>5.0561003002841725</v>
          </cell>
        </row>
        <row r="68">
          <cell r="O68">
            <v>4.995024713952013</v>
          </cell>
        </row>
        <row r="69">
          <cell r="O69">
            <v>5.02195521571526</v>
          </cell>
        </row>
        <row r="98">
          <cell r="O98">
            <v>5.0098145731989918</v>
          </cell>
        </row>
        <row r="99">
          <cell r="O99">
            <v>5.3828084398978566</v>
          </cell>
        </row>
      </sheetData>
      <sheetData sheetId="28">
        <row r="13">
          <cell r="O13">
            <v>3.7896722607737816</v>
          </cell>
        </row>
        <row r="39">
          <cell r="O39">
            <v>5.1553882388883778</v>
          </cell>
        </row>
        <row r="68">
          <cell r="O68">
            <v>5.5561215811810749</v>
          </cell>
        </row>
        <row r="69">
          <cell r="O69">
            <v>5.1456063315754736</v>
          </cell>
        </row>
        <row r="98">
          <cell r="O98">
            <v>5.4859883323880574</v>
          </cell>
        </row>
        <row r="99">
          <cell r="O99">
            <v>5.2411850322926403</v>
          </cell>
        </row>
      </sheetData>
      <sheetData sheetId="29">
        <row r="39">
          <cell r="O39">
            <v>5.1818778468553912</v>
          </cell>
        </row>
        <row r="69">
          <cell r="O69">
            <v>5.1924802535743328</v>
          </cell>
        </row>
        <row r="99">
          <cell r="O99">
            <v>5.0962055939607458</v>
          </cell>
        </row>
      </sheetData>
      <sheetData sheetId="30">
        <row r="39">
          <cell r="O39">
            <v>5.1910007601887544</v>
          </cell>
        </row>
        <row r="69">
          <cell r="O69">
            <v>5.2127065831784387</v>
          </cell>
        </row>
        <row r="99">
          <cell r="O99">
            <v>5.0266442907858364</v>
          </cell>
        </row>
      </sheetData>
      <sheetData sheetId="31">
        <row r="39">
          <cell r="O39">
            <v>5.1851113856901421</v>
          </cell>
        </row>
        <row r="69">
          <cell r="O69">
            <v>5.2133412515589423</v>
          </cell>
        </row>
        <row r="99">
          <cell r="O99">
            <v>4.9821994896532953</v>
          </cell>
        </row>
      </sheetData>
      <sheetData sheetId="32">
        <row r="39">
          <cell r="O39">
            <v>5.0641323869681942</v>
          </cell>
        </row>
        <row r="69">
          <cell r="O69">
            <v>5.0887746719819207</v>
          </cell>
        </row>
        <row r="99">
          <cell r="O99">
            <v>4.8948163082139917</v>
          </cell>
        </row>
      </sheetData>
      <sheetData sheetId="33">
        <row r="40">
          <cell r="O40">
            <v>4.9063635371005603</v>
          </cell>
        </row>
        <row r="71">
          <cell r="O71">
            <v>4.9292742725017131</v>
          </cell>
        </row>
        <row r="101">
          <cell r="O101">
            <v>4.7592139738808648</v>
          </cell>
        </row>
      </sheetData>
      <sheetData sheetId="34">
        <row r="30">
          <cell r="C30">
            <v>76859.179999999993</v>
          </cell>
          <cell r="D30">
            <v>79274.87</v>
          </cell>
          <cell r="E30">
            <v>68686.37</v>
          </cell>
          <cell r="F30">
            <v>77557.929999999993</v>
          </cell>
          <cell r="G30">
            <v>76503.62</v>
          </cell>
          <cell r="H30">
            <v>68066.320000000007</v>
          </cell>
          <cell r="I30">
            <v>72591.23</v>
          </cell>
          <cell r="J30">
            <v>91612.76</v>
          </cell>
          <cell r="K30">
            <v>55216.01</v>
          </cell>
          <cell r="L30">
            <v>50395.16</v>
          </cell>
          <cell r="M30">
            <v>59763.32</v>
          </cell>
          <cell r="N30">
            <v>68939.25</v>
          </cell>
        </row>
        <row r="31">
          <cell r="C31">
            <v>46593.03</v>
          </cell>
          <cell r="D31">
            <v>45942.32</v>
          </cell>
          <cell r="E31">
            <v>45379</v>
          </cell>
          <cell r="F31">
            <v>44742</v>
          </cell>
          <cell r="G31">
            <v>44114</v>
          </cell>
          <cell r="H31">
            <v>43555</v>
          </cell>
          <cell r="I31">
            <v>42959</v>
          </cell>
          <cell r="J31">
            <v>42207</v>
          </cell>
          <cell r="K31">
            <v>41754</v>
          </cell>
          <cell r="L31">
            <v>41340</v>
          </cell>
          <cell r="M31">
            <v>40850</v>
          </cell>
          <cell r="N31">
            <v>40284</v>
          </cell>
        </row>
        <row r="32">
          <cell r="C32">
            <v>80334.2</v>
          </cell>
          <cell r="D32">
            <v>85288</v>
          </cell>
          <cell r="E32">
            <v>116805</v>
          </cell>
          <cell r="F32">
            <v>145434.64000000001</v>
          </cell>
          <cell r="G32">
            <v>115058.06</v>
          </cell>
          <cell r="H32">
            <v>114561.2</v>
          </cell>
          <cell r="I32">
            <v>110298.24000000001</v>
          </cell>
          <cell r="J32">
            <v>112461.44</v>
          </cell>
          <cell r="K32">
            <v>91312</v>
          </cell>
          <cell r="L32">
            <v>108630.34</v>
          </cell>
          <cell r="M32">
            <v>83850</v>
          </cell>
          <cell r="N32">
            <v>93582.720000000001</v>
          </cell>
        </row>
        <row r="35">
          <cell r="C35">
            <v>28061635.75</v>
          </cell>
          <cell r="D35">
            <v>29651790.049999997</v>
          </cell>
          <cell r="E35">
            <v>15486793.199999999</v>
          </cell>
          <cell r="F35">
            <v>28840390.590000004</v>
          </cell>
          <cell r="G35">
            <v>28485718.919999998</v>
          </cell>
          <cell r="H35">
            <v>28617972.98</v>
          </cell>
          <cell r="I35">
            <v>28045685.649999999</v>
          </cell>
          <cell r="J35">
            <v>28463148.629999999</v>
          </cell>
          <cell r="K35">
            <v>30079154.140000001</v>
          </cell>
          <cell r="L35">
            <v>26737374.990000006</v>
          </cell>
          <cell r="M35">
            <v>31500216.409999996</v>
          </cell>
          <cell r="N35">
            <v>28928696.640000004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14"/>
      <sheetName val="Mar 2014"/>
      <sheetName val="April 2014"/>
      <sheetName val="May 2014"/>
      <sheetName val="June 2014"/>
      <sheetName val="July 2014"/>
      <sheetName val="Aug 2014"/>
      <sheetName val="Sep 2014"/>
      <sheetName val="Oct 2014"/>
      <sheetName val="Nov 2014"/>
      <sheetName val="Dec 2014"/>
      <sheetName val="Jan 2015"/>
      <sheetName val="Feb 2015"/>
      <sheetName val="Mar 2015"/>
      <sheetName val="Apr 2015"/>
      <sheetName val="May 2015"/>
      <sheetName val="Jun 2015"/>
      <sheetName val="July 2015"/>
      <sheetName val="Aug 2015"/>
      <sheetName val="Sep 2015"/>
      <sheetName val="Oct 2015"/>
      <sheetName val="Nov 2015"/>
      <sheetName val="Dec 2015"/>
      <sheetName val="Jan 2016"/>
      <sheetName val="Feb 2016"/>
      <sheetName val="Mar 2016"/>
      <sheetName val="Apr 2016"/>
      <sheetName val="May 2016"/>
      <sheetName val="June 2016"/>
      <sheetName val="July 2016"/>
      <sheetName val="Aug 2016"/>
      <sheetName val="Sep 2016"/>
      <sheetName val="Oct 2016"/>
      <sheetName val="Nov 2016"/>
      <sheetName val="Dec 2016"/>
      <sheetName val="Jan 2017"/>
      <sheetName val="Feb 2017"/>
      <sheetName val="Mar 2017"/>
      <sheetName val="Apr 2017"/>
      <sheetName val="May 2017"/>
      <sheetName val="Jun 2017"/>
      <sheetName val="Jul 2017"/>
      <sheetName val="Aug 2017"/>
      <sheetName val="Sep 2017"/>
      <sheetName val="Oct 2017"/>
      <sheetName val="Nov 2017"/>
      <sheetName val="Dec 2017"/>
      <sheetName val="jan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40">
          <cell r="O40">
            <v>4.9692444799203832</v>
          </cell>
        </row>
        <row r="71">
          <cell r="O71">
            <v>5.0131504770334354</v>
          </cell>
        </row>
        <row r="101">
          <cell r="O101">
            <v>4.7006997018413941</v>
          </cell>
        </row>
      </sheetData>
      <sheetData sheetId="36">
        <row r="40">
          <cell r="O40">
            <v>4.8410981679157024</v>
          </cell>
        </row>
        <row r="71">
          <cell r="O71">
            <v>4.869872782513287</v>
          </cell>
        </row>
        <row r="101">
          <cell r="O101">
            <v>4.6647829634619775</v>
          </cell>
        </row>
      </sheetData>
      <sheetData sheetId="37">
        <row r="40">
          <cell r="O40">
            <v>5.0815762477336959</v>
          </cell>
        </row>
        <row r="71">
          <cell r="O71">
            <v>5.1441297443460003</v>
          </cell>
        </row>
        <row r="101">
          <cell r="O101">
            <v>4.6980335497734389</v>
          </cell>
        </row>
      </sheetData>
      <sheetData sheetId="38">
        <row r="40">
          <cell r="O40">
            <v>5.0862012987508489</v>
          </cell>
        </row>
        <row r="71">
          <cell r="O71">
            <v>5.1488451152079939</v>
          </cell>
        </row>
        <row r="101">
          <cell r="O101">
            <v>4.7048535089035397</v>
          </cell>
        </row>
      </sheetData>
      <sheetData sheetId="39">
        <row r="40">
          <cell r="O40">
            <v>5.0947857116607507</v>
          </cell>
        </row>
        <row r="71">
          <cell r="O71">
            <v>5.1556404126856288</v>
          </cell>
        </row>
        <row r="101">
          <cell r="O101">
            <v>4.7247050401567074</v>
          </cell>
        </row>
      </sheetData>
      <sheetData sheetId="40">
        <row r="40">
          <cell r="O40">
            <v>5.159100927911787</v>
          </cell>
        </row>
        <row r="71">
          <cell r="O71">
            <v>5.2263749947577915</v>
          </cell>
        </row>
        <row r="101">
          <cell r="O101">
            <v>4.7506499873267218</v>
          </cell>
        </row>
      </sheetData>
      <sheetData sheetId="41">
        <row r="40">
          <cell r="O40">
            <v>5.2109707686282301</v>
          </cell>
        </row>
        <row r="71">
          <cell r="O71">
            <v>5.2926041974866234</v>
          </cell>
        </row>
        <row r="101">
          <cell r="O101">
            <v>4.7212165431386444</v>
          </cell>
        </row>
      </sheetData>
      <sheetData sheetId="42">
        <row r="38">
          <cell r="M38">
            <v>5315779</v>
          </cell>
          <cell r="N38">
            <v>5719570</v>
          </cell>
        </row>
        <row r="40">
          <cell r="O40">
            <v>5.1505524353854675</v>
          </cell>
        </row>
        <row r="71">
          <cell r="O71">
            <v>5.2376314806144784</v>
          </cell>
        </row>
        <row r="101">
          <cell r="O101">
            <v>4.6345051016453596</v>
          </cell>
        </row>
      </sheetData>
      <sheetData sheetId="43">
        <row r="38">
          <cell r="N38">
            <v>5955473</v>
          </cell>
        </row>
        <row r="40">
          <cell r="O40">
            <v>5.0979584492351222</v>
          </cell>
        </row>
        <row r="71">
          <cell r="O71">
            <v>5.1940075248642152</v>
          </cell>
        </row>
        <row r="101">
          <cell r="O101">
            <v>4.5397342762970814</v>
          </cell>
        </row>
      </sheetData>
      <sheetData sheetId="44">
        <row r="38">
          <cell r="N38">
            <v>5847685</v>
          </cell>
        </row>
        <row r="40">
          <cell r="O40">
            <v>5.0950761717880741</v>
          </cell>
        </row>
        <row r="71">
          <cell r="O71">
            <v>5.2031168739027649</v>
          </cell>
        </row>
        <row r="101">
          <cell r="O101">
            <v>4.4762772746419435</v>
          </cell>
        </row>
      </sheetData>
      <sheetData sheetId="45">
        <row r="38">
          <cell r="N38">
            <v>6468492</v>
          </cell>
        </row>
        <row r="40">
          <cell r="O40">
            <v>4.9737666963187124</v>
          </cell>
        </row>
        <row r="71">
          <cell r="O71">
            <v>5.0770600095309568</v>
          </cell>
        </row>
        <row r="101">
          <cell r="O101">
            <v>4.3988779958170099</v>
          </cell>
        </row>
      </sheetData>
      <sheetData sheetId="46">
        <row r="30">
          <cell r="C30">
            <v>66982.720000000001</v>
          </cell>
          <cell r="D30">
            <v>56018.49</v>
          </cell>
          <cell r="E30">
            <v>46341.280000000006</v>
          </cell>
          <cell r="F30">
            <v>58104.77</v>
          </cell>
          <cell r="G30">
            <v>54931.76</v>
          </cell>
          <cell r="H30">
            <v>55692.93</v>
          </cell>
          <cell r="I30">
            <v>58972.68</v>
          </cell>
          <cell r="J30">
            <v>51584.869999999995</v>
          </cell>
          <cell r="K30">
            <v>51584.869999999995</v>
          </cell>
          <cell r="L30">
            <v>52925.94</v>
          </cell>
          <cell r="M30">
            <v>69107.11</v>
          </cell>
          <cell r="N30">
            <v>41248.230000000003</v>
          </cell>
        </row>
        <row r="31">
          <cell r="C31">
            <v>39734</v>
          </cell>
          <cell r="D31">
            <v>39274.410000000003</v>
          </cell>
          <cell r="E31">
            <v>38894.03</v>
          </cell>
          <cell r="F31">
            <v>38417.089999999997</v>
          </cell>
          <cell r="G31">
            <v>37966.19</v>
          </cell>
          <cell r="H31">
            <v>37509.041407083299</v>
          </cell>
          <cell r="I31">
            <v>37024.97</v>
          </cell>
          <cell r="J31">
            <v>36576.39</v>
          </cell>
          <cell r="K31">
            <v>36152.97</v>
          </cell>
          <cell r="L31">
            <v>35718.54</v>
          </cell>
          <cell r="M31">
            <v>35151.279999999999</v>
          </cell>
          <cell r="N31">
            <v>34812.699999999997</v>
          </cell>
        </row>
        <row r="32">
          <cell r="C32">
            <v>106708.54</v>
          </cell>
          <cell r="D32">
            <v>96478.46</v>
          </cell>
          <cell r="E32">
            <v>72930.7</v>
          </cell>
          <cell r="F32">
            <v>94151.98</v>
          </cell>
          <cell r="G32">
            <v>94620.24</v>
          </cell>
          <cell r="H32">
            <v>99183.5</v>
          </cell>
          <cell r="I32">
            <v>94084.64</v>
          </cell>
          <cell r="J32">
            <v>99710.78</v>
          </cell>
          <cell r="K32">
            <v>90729.34</v>
          </cell>
          <cell r="L32">
            <v>96509.66</v>
          </cell>
          <cell r="M32">
            <v>68046.16</v>
          </cell>
          <cell r="N32">
            <v>143058.88</v>
          </cell>
        </row>
        <row r="35">
          <cell r="C35">
            <v>28619308.949999996</v>
          </cell>
          <cell r="D35">
            <v>19438389.109999999</v>
          </cell>
          <cell r="E35">
            <v>29735980.859999999</v>
          </cell>
          <cell r="F35">
            <v>27964390.09</v>
          </cell>
          <cell r="G35">
            <v>28476691.529999997</v>
          </cell>
          <cell r="H35">
            <v>30831583.661407076</v>
          </cell>
          <cell r="I35">
            <v>29324262.330000002</v>
          </cell>
          <cell r="J35">
            <v>26648089.050000004</v>
          </cell>
          <cell r="K35">
            <v>28169249.979999997</v>
          </cell>
          <cell r="L35">
            <v>26663144.790000003</v>
          </cell>
          <cell r="M35">
            <v>27847699.270000003</v>
          </cell>
          <cell r="N35">
            <v>29146499.979999997</v>
          </cell>
        </row>
        <row r="38">
          <cell r="N38">
            <v>6710479</v>
          </cell>
        </row>
        <row r="40">
          <cell r="O40">
            <v>4.8935051740123443</v>
          </cell>
        </row>
        <row r="71">
          <cell r="O71">
            <v>5.0188690468482795</v>
          </cell>
        </row>
        <row r="101">
          <cell r="O101">
            <v>4.2382195149682698</v>
          </cell>
        </row>
      </sheetData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14"/>
      <sheetName val="Mar 2014"/>
      <sheetName val="April 2014"/>
      <sheetName val="May 2014"/>
      <sheetName val="June 2014"/>
      <sheetName val="July 2014"/>
      <sheetName val="Aug 2014"/>
      <sheetName val="Sep 2014"/>
      <sheetName val="Oct 2014"/>
      <sheetName val="Nov 2014"/>
      <sheetName val="Dec 2014"/>
      <sheetName val="Jan 2015"/>
      <sheetName val="Feb 2015"/>
      <sheetName val="Mar 2015"/>
      <sheetName val="Apr 2015"/>
      <sheetName val="May 2015"/>
      <sheetName val="Jun 2015"/>
      <sheetName val="July 2015"/>
      <sheetName val="Aug 2015"/>
      <sheetName val="Sep 2015"/>
      <sheetName val="Oct 2015"/>
      <sheetName val="Nov 2015"/>
      <sheetName val="Dec 2015"/>
      <sheetName val="Jan 2016"/>
      <sheetName val="Feb 2016"/>
      <sheetName val="Mar 2016"/>
      <sheetName val="Apr 2016"/>
      <sheetName val="May 2016"/>
      <sheetName val="June 2016"/>
      <sheetName val="July 2016"/>
      <sheetName val="Aug 2016"/>
      <sheetName val="Sep 2016"/>
      <sheetName val="Oct 2016"/>
      <sheetName val="Nov 2016"/>
      <sheetName val="Dec 2016"/>
      <sheetName val="Jan 2017"/>
      <sheetName val="Feb 2017"/>
      <sheetName val="Mar 2017"/>
      <sheetName val="Apr 2017"/>
      <sheetName val="May 2017"/>
      <sheetName val="Jun 2017"/>
      <sheetName val="Jul 2017"/>
      <sheetName val="Aug 2017"/>
      <sheetName val="Sep 2017"/>
      <sheetName val="Oct 2017"/>
      <sheetName val="Nov 2017"/>
      <sheetName val="Dec 2017"/>
      <sheetName val="Jan 2018"/>
      <sheetName val="Feb 2018"/>
      <sheetName val="Mar 2018"/>
      <sheetName val="Apr 2018"/>
      <sheetName val="May 2018"/>
      <sheetName val="Jun 2018"/>
      <sheetName val="Jul 2018"/>
      <sheetName val="Aug 2018"/>
      <sheetName val="Sep 2018"/>
      <sheetName val="Oct 2018"/>
      <sheetName val="Nov 2018"/>
      <sheetName val="Dec 2018"/>
      <sheetName val="Jan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38">
          <cell r="N38">
            <v>6629411</v>
          </cell>
        </row>
        <row r="40">
          <cell r="O40">
            <v>4.7868600180087277</v>
          </cell>
        </row>
        <row r="71">
          <cell r="O71">
            <v>4.9381879405898168</v>
          </cell>
        </row>
        <row r="101">
          <cell r="O101">
            <v>4.0406217023190774</v>
          </cell>
        </row>
      </sheetData>
      <sheetData sheetId="48">
        <row r="38">
          <cell r="N38">
            <v>5936266</v>
          </cell>
        </row>
        <row r="40">
          <cell r="O40">
            <v>4.8247880690958196</v>
          </cell>
        </row>
        <row r="71">
          <cell r="O71">
            <v>5.0146928742589738</v>
          </cell>
        </row>
        <row r="101">
          <cell r="O101">
            <v>3.9363811816445446</v>
          </cell>
        </row>
      </sheetData>
      <sheetData sheetId="49">
        <row r="38">
          <cell r="O38">
            <v>6569137</v>
          </cell>
        </row>
        <row r="40">
          <cell r="P40">
            <v>4.6754651569450791</v>
          </cell>
        </row>
        <row r="71">
          <cell r="P71">
            <v>4.8832721287563947</v>
          </cell>
        </row>
        <row r="101">
          <cell r="P101">
            <v>3.7604673166645792</v>
          </cell>
        </row>
      </sheetData>
      <sheetData sheetId="50">
        <row r="38">
          <cell r="O38">
            <v>6081411</v>
          </cell>
        </row>
        <row r="40">
          <cell r="P40">
            <v>4.5773771148318998</v>
          </cell>
        </row>
        <row r="71">
          <cell r="P71">
            <v>4.8013782453727245</v>
          </cell>
        </row>
        <row r="101">
          <cell r="P101">
            <v>3.6386469358680849</v>
          </cell>
        </row>
      </sheetData>
      <sheetData sheetId="51">
        <row r="38">
          <cell r="O38">
            <v>5947217</v>
          </cell>
        </row>
        <row r="40">
          <cell r="P40">
            <v>4.5109983336195896</v>
          </cell>
        </row>
        <row r="75">
          <cell r="P75">
            <v>4.7497183186952601</v>
          </cell>
        </row>
        <row r="105">
          <cell r="P105">
            <v>3.5479234394655887</v>
          </cell>
        </row>
      </sheetData>
      <sheetData sheetId="52">
        <row r="38">
          <cell r="O38">
            <v>5565763</v>
          </cell>
        </row>
        <row r="40">
          <cell r="P40">
            <v>4.3720829382293713</v>
          </cell>
        </row>
        <row r="75">
          <cell r="P75">
            <v>4.6162875857522856</v>
          </cell>
        </row>
        <row r="105">
          <cell r="P105">
            <v>3.4246925510512214</v>
          </cell>
        </row>
      </sheetData>
      <sheetData sheetId="53">
        <row r="38">
          <cell r="O38">
            <v>5674895</v>
          </cell>
        </row>
        <row r="40">
          <cell r="P40">
            <v>4.2616224851180613</v>
          </cell>
        </row>
        <row r="75">
          <cell r="P75">
            <v>4.5092486322626906</v>
          </cell>
        </row>
        <row r="105">
          <cell r="P105">
            <v>3.3383239767115263</v>
          </cell>
        </row>
      </sheetData>
      <sheetData sheetId="54">
        <row r="38">
          <cell r="O38">
            <v>5565230</v>
          </cell>
        </row>
        <row r="40">
          <cell r="P40">
            <v>4.2077847660971672</v>
          </cell>
        </row>
        <row r="75">
          <cell r="P75">
            <v>4.4717810215742499</v>
          </cell>
        </row>
        <row r="105">
          <cell r="P105">
            <v>3.2607632050372128</v>
          </cell>
        </row>
      </sheetData>
      <sheetData sheetId="55">
        <row r="38">
          <cell r="O38">
            <v>5462871</v>
          </cell>
        </row>
        <row r="40">
          <cell r="P40">
            <v>4.1763756736958033</v>
          </cell>
        </row>
        <row r="75">
          <cell r="P75">
            <v>4.4527098550043469</v>
          </cell>
        </row>
        <row r="105">
          <cell r="P105">
            <v>3.2187495764644773</v>
          </cell>
        </row>
      </sheetData>
      <sheetData sheetId="56">
        <row r="38">
          <cell r="O38">
            <v>5984745</v>
          </cell>
        </row>
        <row r="40">
          <cell r="P40">
            <v>4.145611093561139</v>
          </cell>
        </row>
        <row r="75">
          <cell r="P75">
            <v>4.4373729029063709</v>
          </cell>
        </row>
        <row r="105">
          <cell r="P105">
            <v>3.1652403255275998</v>
          </cell>
        </row>
      </sheetData>
      <sheetData sheetId="57">
        <row r="38">
          <cell r="O38">
            <v>5968277</v>
          </cell>
        </row>
        <row r="40">
          <cell r="P40">
            <v>4.0779561559201465</v>
          </cell>
        </row>
        <row r="75">
          <cell r="P75">
            <v>4.3669734465262158</v>
          </cell>
        </row>
        <row r="105">
          <cell r="P105">
            <v>3.1206840435825876</v>
          </cell>
        </row>
      </sheetData>
      <sheetData sheetId="58">
        <row r="30">
          <cell r="D30">
            <v>43022.6</v>
          </cell>
          <cell r="E30">
            <v>43022.6</v>
          </cell>
          <cell r="F30">
            <v>43022.6</v>
          </cell>
          <cell r="G30">
            <v>43022.6</v>
          </cell>
          <cell r="H30">
            <v>43022.6</v>
          </cell>
          <cell r="I30">
            <v>43022.6</v>
          </cell>
          <cell r="J30">
            <v>43022.6</v>
          </cell>
          <cell r="K30">
            <v>43022.6</v>
          </cell>
          <cell r="L30">
            <v>43022.6</v>
          </cell>
          <cell r="M30">
            <v>43022.6</v>
          </cell>
          <cell r="N30">
            <v>43022.6</v>
          </cell>
          <cell r="O30">
            <v>43022.6</v>
          </cell>
        </row>
        <row r="31">
          <cell r="D31">
            <v>34434.04821458333</v>
          </cell>
          <cell r="E31">
            <v>34080.871457499983</v>
          </cell>
          <cell r="F31">
            <v>33730.24946208328</v>
          </cell>
          <cell r="G31">
            <v>31627.130071999967</v>
          </cell>
          <cell r="H31">
            <v>31343.886433250002</v>
          </cell>
          <cell r="I31">
            <v>31021.481441249944</v>
          </cell>
          <cell r="J31">
            <v>32974.873840750006</v>
          </cell>
          <cell r="K31">
            <v>32974.873840750006</v>
          </cell>
          <cell r="L31">
            <v>32974.873840750006</v>
          </cell>
          <cell r="M31">
            <v>32974.873840750006</v>
          </cell>
          <cell r="N31">
            <v>32974.873840750006</v>
          </cell>
          <cell r="O31">
            <v>32974.873840750006</v>
          </cell>
        </row>
        <row r="32">
          <cell r="D32">
            <v>104247.22</v>
          </cell>
          <cell r="E32">
            <v>123903.18</v>
          </cell>
          <cell r="F32">
            <v>86354.84</v>
          </cell>
          <cell r="G32">
            <v>118658.94</v>
          </cell>
          <cell r="H32">
            <v>56879.419999999984</v>
          </cell>
          <cell r="I32">
            <v>87439.12</v>
          </cell>
          <cell r="J32">
            <v>78778.320000000007</v>
          </cell>
          <cell r="K32">
            <v>90145.02</v>
          </cell>
          <cell r="L32">
            <v>91826.919999999984</v>
          </cell>
          <cell r="M32">
            <v>100785.34</v>
          </cell>
          <cell r="N32">
            <v>108954.32</v>
          </cell>
          <cell r="O32">
            <v>87923.920000000013</v>
          </cell>
        </row>
        <row r="35">
          <cell r="D35">
            <v>27686017.658214584</v>
          </cell>
          <cell r="E35">
            <v>27431222.981457498</v>
          </cell>
          <cell r="F35">
            <v>24523023.799462087</v>
          </cell>
          <cell r="G35">
            <v>23091264.870072003</v>
          </cell>
          <cell r="H35">
            <v>25337121.366433252</v>
          </cell>
          <cell r="I35">
            <v>22186935.481441248</v>
          </cell>
          <cell r="J35">
            <v>22819047.58384075</v>
          </cell>
          <cell r="K35">
            <v>22062810.083840754</v>
          </cell>
          <cell r="L35">
            <v>23820619.853840753</v>
          </cell>
          <cell r="M35">
            <v>25002175.933840752</v>
          </cell>
          <cell r="N35">
            <v>20896372.19384075</v>
          </cell>
          <cell r="O35">
            <v>17139910.153840758</v>
          </cell>
        </row>
        <row r="38">
          <cell r="O38">
            <v>6185236</v>
          </cell>
        </row>
        <row r="40">
          <cell r="P40">
            <v>3.9401245416090616</v>
          </cell>
        </row>
        <row r="75">
          <cell r="P75">
            <v>4.2021065479288886</v>
          </cell>
        </row>
        <row r="106">
          <cell r="P106">
            <v>3.0733084743179124</v>
          </cell>
        </row>
      </sheetData>
      <sheetData sheetId="5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14"/>
      <sheetName val="Mar 2014"/>
      <sheetName val="April 2014"/>
      <sheetName val="May 2014"/>
      <sheetName val="June 2014"/>
      <sheetName val="July 2014"/>
      <sheetName val="Aug 2014"/>
      <sheetName val="Sep 2014"/>
      <sheetName val="Oct 2014"/>
      <sheetName val="Nov 2014"/>
      <sheetName val="Dec 2014"/>
      <sheetName val="Jan 2015"/>
      <sheetName val="Feb 2015"/>
      <sheetName val="Mar 2015"/>
      <sheetName val="Apr 2015"/>
      <sheetName val="May 2015"/>
      <sheetName val="Jun 2015"/>
      <sheetName val="July 2015"/>
      <sheetName val="Aug 2015"/>
      <sheetName val="Sep 2015"/>
      <sheetName val="Oct 2015"/>
      <sheetName val="Nov 2015"/>
      <sheetName val="Dec 2015"/>
      <sheetName val="Jan 2016"/>
      <sheetName val="Feb 2016"/>
      <sheetName val="Mar 2016"/>
      <sheetName val="Apr 2016"/>
      <sheetName val="May 2016"/>
      <sheetName val="June 2016"/>
      <sheetName val="July 2016"/>
      <sheetName val="Aug 2016"/>
      <sheetName val="Sep 2016"/>
      <sheetName val="Oct 2016"/>
      <sheetName val="Nov 2016"/>
      <sheetName val="Dec 2016"/>
      <sheetName val="Jan 2017"/>
      <sheetName val="Feb 2017"/>
      <sheetName val="Mar 2017"/>
      <sheetName val="Apr 2017"/>
      <sheetName val="May 2017"/>
      <sheetName val="Jun 2017"/>
      <sheetName val="Jul 2017"/>
      <sheetName val="Aug 2017"/>
      <sheetName val="Sep 2017"/>
      <sheetName val="Oct 2017"/>
      <sheetName val="Nov 2017"/>
      <sheetName val="Dec 2017"/>
      <sheetName val="Jan 2018"/>
      <sheetName val="Feb 2018"/>
      <sheetName val="Mar 2018"/>
      <sheetName val="Apr 2018"/>
      <sheetName val="May 2018"/>
      <sheetName val="Jun 2018"/>
      <sheetName val="Jul 2018"/>
      <sheetName val="Aug 2018"/>
      <sheetName val="Sep 2018"/>
      <sheetName val="Oct 2018"/>
      <sheetName val="Nov 2018"/>
      <sheetName val="Dec 2018"/>
      <sheetName val="Jan 2019"/>
      <sheetName val="Feb 2019"/>
      <sheetName val="Mar 2019"/>
      <sheetName val="Apr 2019"/>
      <sheetName val="May 2019"/>
      <sheetName val="Jun 2019"/>
      <sheetName val="Jul 2019"/>
      <sheetName val="Aug 2019"/>
      <sheetName val="Sep 2019"/>
      <sheetName val="Oct 2019"/>
      <sheetName val="Nov 2019"/>
      <sheetName val="Dec 2019"/>
      <sheetName val="Jan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8">
          <cell r="O38">
            <v>5947946</v>
          </cell>
        </row>
        <row r="40">
          <cell r="P40">
            <v>3.9522085234635198</v>
          </cell>
        </row>
        <row r="75">
          <cell r="P75">
            <v>4.2015352995279409</v>
          </cell>
        </row>
        <row r="106">
          <cell r="P106">
            <v>3.1257469151736741</v>
          </cell>
        </row>
      </sheetData>
      <sheetData sheetId="60">
        <row r="38">
          <cell r="O38">
            <v>5475311</v>
          </cell>
        </row>
        <row r="40">
          <cell r="P40">
            <v>3.9727825161595378</v>
          </cell>
        </row>
        <row r="75">
          <cell r="P75">
            <v>4.2111002173785526</v>
          </cell>
        </row>
        <row r="106">
          <cell r="P106">
            <v>3.1797246340449803</v>
          </cell>
        </row>
      </sheetData>
      <sheetData sheetId="61">
        <row r="38">
          <cell r="O38">
            <v>6160768</v>
          </cell>
        </row>
        <row r="40">
          <cell r="P40">
            <v>3.9511191894171054</v>
          </cell>
        </row>
        <row r="75">
          <cell r="P75">
            <v>4.1789390467954979</v>
          </cell>
        </row>
        <row r="106">
          <cell r="P106">
            <v>3.1909558344032134</v>
          </cell>
        </row>
      </sheetData>
      <sheetData sheetId="62">
        <row r="38">
          <cell r="O38">
            <v>5928781</v>
          </cell>
        </row>
        <row r="40">
          <cell r="P40">
            <v>3.9571121398602624</v>
          </cell>
        </row>
        <row r="75">
          <cell r="P75">
            <v>4.1882885951702047</v>
          </cell>
        </row>
        <row r="106">
          <cell r="P106">
            <v>3.1828521461463386</v>
          </cell>
        </row>
      </sheetData>
      <sheetData sheetId="63">
        <row r="38">
          <cell r="O38">
            <v>6451141</v>
          </cell>
        </row>
        <row r="40">
          <cell r="P40">
            <v>3.8980127953085666</v>
          </cell>
        </row>
        <row r="75">
          <cell r="P75">
            <v>4.1172870080658512</v>
          </cell>
        </row>
        <row r="106">
          <cell r="P106">
            <v>3.1610554940743603</v>
          </cell>
        </row>
      </sheetData>
      <sheetData sheetId="64">
        <row r="38">
          <cell r="O38">
            <v>5770236</v>
          </cell>
        </row>
        <row r="40">
          <cell r="P40">
            <v>3.8964293167649036</v>
          </cell>
        </row>
        <row r="75">
          <cell r="P75">
            <v>4.1028359678496029</v>
          </cell>
        </row>
        <row r="106">
          <cell r="P106">
            <v>3.2009472084596728</v>
          </cell>
        </row>
      </sheetData>
      <sheetData sheetId="65">
        <row r="38">
          <cell r="O38">
            <v>5869748</v>
          </cell>
        </row>
        <row r="40">
          <cell r="P40">
            <v>3.8868251164491552</v>
          </cell>
        </row>
        <row r="75">
          <cell r="P75">
            <v>4.0955920844402627</v>
          </cell>
        </row>
        <row r="106">
          <cell r="P106">
            <v>3.1867012734081839</v>
          </cell>
        </row>
      </sheetData>
      <sheetData sheetId="66">
        <row r="38">
          <cell r="O38">
            <v>5850837</v>
          </cell>
        </row>
        <row r="40">
          <cell r="P40">
            <v>3.8440504169623875</v>
          </cell>
        </row>
        <row r="75">
          <cell r="P75">
            <v>4.0331346496888045</v>
          </cell>
        </row>
        <row r="106">
          <cell r="P106">
            <v>3.1939829929313035</v>
          </cell>
        </row>
      </sheetData>
      <sheetData sheetId="67">
        <row r="38">
          <cell r="O38">
            <v>5370654</v>
          </cell>
        </row>
        <row r="40">
          <cell r="P40">
            <v>3.8135060725915033</v>
          </cell>
        </row>
        <row r="75">
          <cell r="P75">
            <v>3.9951341302271715</v>
          </cell>
        </row>
        <row r="106">
          <cell r="P106">
            <v>3.1842623316224641</v>
          </cell>
        </row>
      </sheetData>
      <sheetData sheetId="68">
        <row r="38">
          <cell r="O38">
            <v>5236460</v>
          </cell>
        </row>
        <row r="40">
          <cell r="P40">
            <v>3.7887514708638497</v>
          </cell>
        </row>
        <row r="75">
          <cell r="P75">
            <v>3.9582165098114244</v>
          </cell>
        </row>
        <row r="106">
          <cell r="P106">
            <v>3.197492070735604</v>
          </cell>
        </row>
      </sheetData>
      <sheetData sheetId="69">
        <row r="38">
          <cell r="O38">
            <v>5674968</v>
          </cell>
        </row>
        <row r="40">
          <cell r="P40">
            <v>3.7871815632564543</v>
          </cell>
        </row>
        <row r="75">
          <cell r="P75">
            <v>3.9566574923919093</v>
          </cell>
        </row>
        <row r="106">
          <cell r="P106">
            <v>3.1950272015168193</v>
          </cell>
        </row>
      </sheetData>
      <sheetData sheetId="70">
        <row r="30">
          <cell r="D30">
            <v>43022.6</v>
          </cell>
          <cell r="E30">
            <v>43022.6</v>
          </cell>
          <cell r="F30">
            <v>43022.6</v>
          </cell>
          <cell r="G30">
            <v>43022.6</v>
          </cell>
          <cell r="H30">
            <v>43022.6</v>
          </cell>
          <cell r="I30">
            <v>43022.6</v>
          </cell>
          <cell r="J30">
            <v>43022.6</v>
          </cell>
          <cell r="K30">
            <v>43022.6</v>
          </cell>
          <cell r="L30">
            <v>43022.6</v>
          </cell>
          <cell r="M30">
            <v>43022.6</v>
          </cell>
          <cell r="N30">
            <v>43022.6</v>
          </cell>
          <cell r="O30">
            <v>43022.6</v>
          </cell>
        </row>
        <row r="31">
          <cell r="D31">
            <v>28764.646497249891</v>
          </cell>
          <cell r="E31">
            <v>28442.24150524984</v>
          </cell>
          <cell r="F31">
            <v>28119.836513249778</v>
          </cell>
          <cell r="G31">
            <v>27805.206521249722</v>
          </cell>
          <cell r="H31">
            <v>27490.576529249665</v>
          </cell>
          <cell r="I31">
            <v>27152.621537249612</v>
          </cell>
          <cell r="J31">
            <v>26830.216545249557</v>
          </cell>
          <cell r="K31">
            <v>26507.811553249499</v>
          </cell>
          <cell r="L31">
            <v>26185.406794499977</v>
          </cell>
          <cell r="M31">
            <v>25863.001569249955</v>
          </cell>
          <cell r="N31">
            <v>25587.246577249331</v>
          </cell>
          <cell r="O31">
            <v>25272.616585249278</v>
          </cell>
        </row>
        <row r="32">
          <cell r="D32">
            <v>98682.559999999998</v>
          </cell>
          <cell r="E32">
            <v>79547.130000000019</v>
          </cell>
          <cell r="F32">
            <v>80369.429999999993</v>
          </cell>
          <cell r="G32">
            <v>90451.3</v>
          </cell>
          <cell r="H32">
            <v>72260.740000000005</v>
          </cell>
          <cell r="I32">
            <v>60898.600000000006</v>
          </cell>
          <cell r="J32">
            <v>327937.03999999998</v>
          </cell>
          <cell r="K32">
            <v>-171206.16</v>
          </cell>
          <cell r="L32">
            <v>105386.74</v>
          </cell>
          <cell r="M32">
            <v>69761.570000000007</v>
          </cell>
          <cell r="N32">
            <v>97441.44</v>
          </cell>
          <cell r="O32">
            <v>103131.42</v>
          </cell>
        </row>
        <row r="35">
          <cell r="D35">
            <v>25873152.256497249</v>
          </cell>
          <cell r="E35">
            <v>27058418.661505248</v>
          </cell>
          <cell r="F35">
            <v>21383803.586513247</v>
          </cell>
          <cell r="G35">
            <v>22906915.256521251</v>
          </cell>
          <cell r="H35">
            <v>23172327.296529248</v>
          </cell>
          <cell r="I35">
            <v>22872219.161537252</v>
          </cell>
          <cell r="J35">
            <v>23056276.12654525</v>
          </cell>
          <cell r="K35">
            <v>19970956.261553254</v>
          </cell>
          <cell r="L35">
            <v>21298593.976794504</v>
          </cell>
          <cell r="M35">
            <v>20407189.391569249</v>
          </cell>
          <cell r="N35">
            <v>19671760.656577256</v>
          </cell>
          <cell r="O35">
            <v>20839577.116585255</v>
          </cell>
        </row>
        <row r="38">
          <cell r="O38">
            <v>5524423</v>
          </cell>
        </row>
        <row r="40">
          <cell r="P40">
            <v>3.87678681199995</v>
          </cell>
        </row>
        <row r="75">
          <cell r="P75">
            <v>4.0568725878690204</v>
          </cell>
        </row>
        <row r="106">
          <cell r="P106">
            <v>3.2407144577593483</v>
          </cell>
        </row>
      </sheetData>
      <sheetData sheetId="7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14"/>
      <sheetName val="Mar 2014"/>
      <sheetName val="April 2014"/>
      <sheetName val="May 2014"/>
      <sheetName val="June 2014"/>
      <sheetName val="July 2014"/>
      <sheetName val="Aug 2014"/>
      <sheetName val="Sep 2014"/>
      <sheetName val="Oct 2014"/>
      <sheetName val="Nov 2014"/>
      <sheetName val="Dec 2014"/>
      <sheetName val="Jan 2015"/>
      <sheetName val="Feb 2015"/>
      <sheetName val="Mar 2015"/>
      <sheetName val="Apr 2015"/>
      <sheetName val="May 2015"/>
      <sheetName val="Jun 2015"/>
      <sheetName val="July 2015"/>
      <sheetName val="Aug 2015"/>
      <sheetName val="Sep 2015"/>
      <sheetName val="Oct 2015"/>
      <sheetName val="Nov 2015"/>
      <sheetName val="Dec 2015"/>
      <sheetName val="Jan 2016"/>
      <sheetName val="Feb 2016"/>
      <sheetName val="Mar 2016"/>
      <sheetName val="Apr 2016"/>
      <sheetName val="May 2016"/>
      <sheetName val="June 2016"/>
      <sheetName val="July 2016"/>
      <sheetName val="Aug 2016"/>
      <sheetName val="Sep 2016"/>
      <sheetName val="Oct 2016"/>
      <sheetName val="Nov 2016"/>
      <sheetName val="Dec 2016"/>
      <sheetName val="Jan 2017"/>
      <sheetName val="Feb 2017"/>
      <sheetName val="Mar 2017"/>
      <sheetName val="Apr 2017"/>
      <sheetName val="May 2017"/>
      <sheetName val="Jun 2017"/>
      <sheetName val="Jul 2017"/>
      <sheetName val="Aug 2017"/>
      <sheetName val="Sep 2017"/>
      <sheetName val="Oct 2017"/>
      <sheetName val="Nov 2017"/>
      <sheetName val="Dec 2017"/>
      <sheetName val="Jan 2018"/>
      <sheetName val="Feb 2018"/>
      <sheetName val="Mar 2018"/>
      <sheetName val="Apr 2018"/>
      <sheetName val="May 2018"/>
      <sheetName val="Jun 2018"/>
      <sheetName val="Jul 2018"/>
      <sheetName val="Aug 2018"/>
      <sheetName val="Sep 2018"/>
      <sheetName val="Oct 2018"/>
      <sheetName val="Nov 2018"/>
      <sheetName val="Dec 2018"/>
      <sheetName val="Jan 2019"/>
      <sheetName val="Feb 2019"/>
      <sheetName val="Mar 2019"/>
      <sheetName val="Apr 2019"/>
      <sheetName val="May 2019"/>
      <sheetName val="Jun 2019"/>
      <sheetName val="Jul 2019"/>
      <sheetName val="Aug 2019"/>
      <sheetName val="Sep 2019"/>
      <sheetName val="Oct 2019"/>
      <sheetName val="Nov 2019"/>
      <sheetName val="Dec 2019"/>
      <sheetName val="Jan 2020"/>
      <sheetName val="Feb 2020"/>
      <sheetName val="Mar 2020"/>
      <sheetName val="Apr 2020"/>
      <sheetName val="May 2020"/>
      <sheetName val="Jun 2020"/>
      <sheetName val="Jul 2020"/>
      <sheetName val="Account listing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38">
          <cell r="O38">
            <v>5726007</v>
          </cell>
        </row>
        <row r="40">
          <cell r="P40">
            <v>3.833158852804349</v>
          </cell>
        </row>
        <row r="75">
          <cell r="P75">
            <v>4.0032016689945014</v>
          </cell>
        </row>
        <row r="106">
          <cell r="P106">
            <v>3.2270057450163763</v>
          </cell>
        </row>
      </sheetData>
      <sheetData sheetId="72">
        <row r="38">
          <cell r="O38">
            <v>5139045</v>
          </cell>
        </row>
        <row r="40">
          <cell r="P40">
            <v>3.7855742738289395</v>
          </cell>
        </row>
        <row r="75">
          <cell r="P75">
            <v>3.9536920587129498</v>
          </cell>
        </row>
        <row r="106">
          <cell r="P106">
            <v>3.1786880189078799</v>
          </cell>
        </row>
      </sheetData>
      <sheetData sheetId="73">
        <row r="38">
          <cell r="O38">
            <v>5596194</v>
          </cell>
        </row>
        <row r="40">
          <cell r="P40">
            <v>3.8466495359834267</v>
          </cell>
        </row>
        <row r="75">
          <cell r="P75">
            <v>4.0308490244541071</v>
          </cell>
        </row>
        <row r="106">
          <cell r="P106">
            <v>3.1692667444289575</v>
          </cell>
        </row>
      </sheetData>
      <sheetData sheetId="74">
        <row r="38">
          <cell r="O38">
            <v>5416928</v>
          </cell>
        </row>
        <row r="40">
          <cell r="P40">
            <v>3.8229347890495418</v>
          </cell>
        </row>
        <row r="75">
          <cell r="P75">
            <v>3.99409256846327</v>
          </cell>
        </row>
        <row r="106">
          <cell r="P106">
            <v>3.1853495366653628</v>
          </cell>
        </row>
      </sheetData>
      <sheetData sheetId="75">
        <row r="30">
          <cell r="K30">
            <v>43022.6</v>
          </cell>
          <cell r="L30">
            <v>43022.6</v>
          </cell>
          <cell r="M30">
            <v>43022.6</v>
          </cell>
          <cell r="N30">
            <v>43022.6</v>
          </cell>
          <cell r="O30">
            <v>43022.6</v>
          </cell>
        </row>
        <row r="31">
          <cell r="K31">
            <v>24895.786593249897</v>
          </cell>
          <cell r="L31">
            <v>24573.381601249843</v>
          </cell>
          <cell r="M31">
            <v>23133.300302499796</v>
          </cell>
          <cell r="N31">
            <v>22825.754275833078</v>
          </cell>
          <cell r="O31">
            <v>22518.208249166353</v>
          </cell>
        </row>
        <row r="32">
          <cell r="K32">
            <v>67505.78</v>
          </cell>
          <cell r="L32">
            <v>95726.799999999988</v>
          </cell>
          <cell r="M32">
            <v>73913.2</v>
          </cell>
          <cell r="N32">
            <v>96924.479999999996</v>
          </cell>
          <cell r="O32">
            <v>85725.52</v>
          </cell>
        </row>
        <row r="35">
          <cell r="K35">
            <v>22411575.846593257</v>
          </cell>
          <cell r="L35">
            <v>22500674.581601255</v>
          </cell>
          <cell r="M35">
            <v>23408143.160302501</v>
          </cell>
          <cell r="N35">
            <v>19334247.474275831</v>
          </cell>
          <cell r="O35">
            <v>21943198.988249168</v>
          </cell>
        </row>
        <row r="38">
          <cell r="O38">
            <v>5462967</v>
          </cell>
        </row>
        <row r="40">
          <cell r="P40">
            <v>3.8611799133552096</v>
          </cell>
        </row>
        <row r="75">
          <cell r="P75">
            <v>4.0373757914429786</v>
          </cell>
        </row>
        <row r="106">
          <cell r="P106">
            <v>3.2019193913605353</v>
          </cell>
        </row>
      </sheetData>
      <sheetData sheetId="76"/>
      <sheetData sheetId="77"/>
      <sheetData sheetId="7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 Index"/>
    </sheetNames>
    <sheetDataSet>
      <sheetData sheetId="0">
        <row r="416">
          <cell r="D416">
            <v>2.6</v>
          </cell>
        </row>
        <row r="417">
          <cell r="D417">
            <v>2.62</v>
          </cell>
        </row>
        <row r="418">
          <cell r="D418">
            <v>2.66</v>
          </cell>
        </row>
        <row r="419">
          <cell r="D419">
            <v>2.46</v>
          </cell>
        </row>
        <row r="420">
          <cell r="D420">
            <v>2.4300000000000002</v>
          </cell>
        </row>
        <row r="421">
          <cell r="D421">
            <v>2.04</v>
          </cell>
        </row>
        <row r="422">
          <cell r="D422">
            <v>2.2200000000000002</v>
          </cell>
        </row>
        <row r="423">
          <cell r="D423">
            <v>2.2799999999999998</v>
          </cell>
        </row>
        <row r="424">
          <cell r="D424">
            <v>2.02</v>
          </cell>
        </row>
        <row r="425">
          <cell r="D425">
            <v>1.51</v>
          </cell>
        </row>
        <row r="426">
          <cell r="D426">
            <v>1.51</v>
          </cell>
        </row>
        <row r="427">
          <cell r="D427">
            <v>1.77</v>
          </cell>
        </row>
        <row r="428">
          <cell r="D428">
            <v>1.78</v>
          </cell>
        </row>
        <row r="429">
          <cell r="D429">
            <v>2.52</v>
          </cell>
        </row>
        <row r="430">
          <cell r="D430">
            <v>2.5099999999999998</v>
          </cell>
        </row>
        <row r="431">
          <cell r="D431">
            <v>2.62</v>
          </cell>
        </row>
        <row r="432">
          <cell r="D432">
            <v>2.7</v>
          </cell>
        </row>
        <row r="433">
          <cell r="D433">
            <v>2.62</v>
          </cell>
        </row>
        <row r="434">
          <cell r="D434">
            <v>2.99</v>
          </cell>
        </row>
        <row r="435">
          <cell r="D435">
            <v>3.73</v>
          </cell>
        </row>
        <row r="436">
          <cell r="D436">
            <v>3.11</v>
          </cell>
        </row>
        <row r="437">
          <cell r="D437">
            <v>2.29</v>
          </cell>
        </row>
        <row r="438">
          <cell r="D438">
            <v>2.64</v>
          </cell>
        </row>
        <row r="439">
          <cell r="D439">
            <v>2.62</v>
          </cell>
        </row>
        <row r="440">
          <cell r="D440">
            <v>2.79</v>
          </cell>
        </row>
        <row r="441">
          <cell r="D441">
            <v>2.63</v>
          </cell>
        </row>
        <row r="442">
          <cell r="D442">
            <v>2.59</v>
          </cell>
        </row>
        <row r="443">
          <cell r="D443">
            <v>2.59</v>
          </cell>
        </row>
        <row r="444">
          <cell r="D444">
            <v>2.48</v>
          </cell>
        </row>
        <row r="445">
          <cell r="D445">
            <v>2.63</v>
          </cell>
        </row>
        <row r="446">
          <cell r="D446">
            <v>2.73</v>
          </cell>
        </row>
        <row r="447">
          <cell r="D447">
            <v>2.5</v>
          </cell>
        </row>
        <row r="448">
          <cell r="D448">
            <v>2.8</v>
          </cell>
        </row>
        <row r="449">
          <cell r="D449">
            <v>2.17</v>
          </cell>
        </row>
        <row r="450">
          <cell r="D450">
            <v>1.85</v>
          </cell>
        </row>
        <row r="451">
          <cell r="D451">
            <v>1.9</v>
          </cell>
        </row>
        <row r="452">
          <cell r="D452">
            <v>2.09</v>
          </cell>
        </row>
        <row r="453">
          <cell r="D453">
            <v>2.2400000000000002</v>
          </cell>
        </row>
        <row r="454">
          <cell r="D454">
            <v>2.41</v>
          </cell>
        </row>
        <row r="455">
          <cell r="D455">
            <v>2.3199999999999998</v>
          </cell>
        </row>
        <row r="456">
          <cell r="D456">
            <v>2.3199999999999998</v>
          </cell>
        </row>
        <row r="457">
          <cell r="D457">
            <v>3.23</v>
          </cell>
        </row>
        <row r="458">
          <cell r="D458">
            <v>5.7</v>
          </cell>
        </row>
        <row r="459">
          <cell r="D459">
            <v>4.22</v>
          </cell>
        </row>
        <row r="460">
          <cell r="D460">
            <v>3.38</v>
          </cell>
        </row>
        <row r="461">
          <cell r="D461">
            <v>3.77</v>
          </cell>
        </row>
        <row r="462">
          <cell r="D462">
            <v>2.48</v>
          </cell>
        </row>
        <row r="463">
          <cell r="D463">
            <v>1.88</v>
          </cell>
        </row>
        <row r="464">
          <cell r="D464">
            <v>1.89</v>
          </cell>
        </row>
        <row r="465">
          <cell r="D465">
            <v>1.92</v>
          </cell>
        </row>
        <row r="466">
          <cell r="D466">
            <v>2.0099999999999998</v>
          </cell>
        </row>
        <row r="467">
          <cell r="D467">
            <v>1.81</v>
          </cell>
        </row>
        <row r="468">
          <cell r="D468">
            <v>2.0099999999999998</v>
          </cell>
        </row>
        <row r="469">
          <cell r="D469">
            <v>2.3199999999999998</v>
          </cell>
        </row>
        <row r="470">
          <cell r="D470">
            <v>3.44</v>
          </cell>
        </row>
        <row r="471">
          <cell r="D471">
            <v>3.16</v>
          </cell>
        </row>
        <row r="472">
          <cell r="D472">
            <v>1.8</v>
          </cell>
        </row>
        <row r="473">
          <cell r="D473">
            <v>1.56</v>
          </cell>
        </row>
        <row r="474">
          <cell r="D474">
            <v>1.29</v>
          </cell>
        </row>
        <row r="475">
          <cell r="D475">
            <v>1.59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0">
          <cell r="N40">
            <v>7794954</v>
          </cell>
        </row>
        <row r="41">
          <cell r="N41">
            <v>7208864</v>
          </cell>
        </row>
        <row r="42">
          <cell r="N42">
            <v>7312487</v>
          </cell>
        </row>
        <row r="43">
          <cell r="N43">
            <v>7008662</v>
          </cell>
        </row>
        <row r="44">
          <cell r="N44">
            <v>7172631.8836927498</v>
          </cell>
        </row>
        <row r="45">
          <cell r="N45">
            <v>6895157.0858834554</v>
          </cell>
        </row>
        <row r="46">
          <cell r="N46">
            <v>5596242.2210055087</v>
          </cell>
        </row>
        <row r="47">
          <cell r="N47">
            <v>6153305.0921172034</v>
          </cell>
        </row>
        <row r="48">
          <cell r="N48">
            <v>5703702.7995207421</v>
          </cell>
        </row>
        <row r="49">
          <cell r="N49">
            <v>5998787.7667135838</v>
          </cell>
        </row>
        <row r="50">
          <cell r="N50">
            <v>6285748.6589703793</v>
          </cell>
        </row>
        <row r="51">
          <cell r="N51">
            <v>6286816.6273567649</v>
          </cell>
        </row>
        <row r="52">
          <cell r="N52">
            <v>6271916</v>
          </cell>
        </row>
        <row r="53">
          <cell r="N53">
            <v>5774832</v>
          </cell>
        </row>
        <row r="54">
          <cell r="N54">
            <v>6254406</v>
          </cell>
        </row>
        <row r="55">
          <cell r="N55">
            <v>5947215</v>
          </cell>
        </row>
        <row r="56">
          <cell r="N56">
            <v>5899528</v>
          </cell>
        </row>
        <row r="57">
          <cell r="N57">
            <v>6122558</v>
          </cell>
        </row>
        <row r="58">
          <cell r="N58">
            <v>6033322</v>
          </cell>
        </row>
        <row r="59">
          <cell r="N59">
            <v>5784491</v>
          </cell>
        </row>
        <row r="60">
          <cell r="N60">
            <v>5582666</v>
          </cell>
        </row>
        <row r="61">
          <cell r="N61">
            <v>4623954</v>
          </cell>
        </row>
        <row r="62">
          <cell r="N62">
            <v>5753052</v>
          </cell>
        </row>
        <row r="63">
          <cell r="N63">
            <v>5655558</v>
          </cell>
        </row>
        <row r="64">
          <cell r="N64">
            <v>6053949</v>
          </cell>
        </row>
        <row r="65">
          <cell r="N65">
            <v>5428030</v>
          </cell>
        </row>
        <row r="66">
          <cell r="N66">
            <v>6082713</v>
          </cell>
        </row>
        <row r="67">
          <cell r="N67">
            <v>5951978</v>
          </cell>
        </row>
        <row r="68">
          <cell r="N68">
            <v>5928418</v>
          </cell>
        </row>
        <row r="69">
          <cell r="N69">
            <v>5738888</v>
          </cell>
        </row>
        <row r="70">
          <cell r="N70">
            <v>5875166</v>
          </cell>
        </row>
        <row r="71">
          <cell r="N71">
            <v>5626650</v>
          </cell>
        </row>
        <row r="72">
          <cell r="N72">
            <v>5702496</v>
          </cell>
        </row>
        <row r="73">
          <cell r="N73">
            <v>5899597</v>
          </cell>
        </row>
        <row r="74">
          <cell r="N74">
            <v>5676247</v>
          </cell>
        </row>
        <row r="75">
          <cell r="N75">
            <v>5706726</v>
          </cell>
        </row>
        <row r="76">
          <cell r="N76">
            <v>5410869</v>
          </cell>
        </row>
        <row r="77">
          <cell r="N77">
            <v>4948991</v>
          </cell>
        </row>
        <row r="78">
          <cell r="N78">
            <v>5596706</v>
          </cell>
        </row>
        <row r="79">
          <cell r="N79">
            <v>5495134</v>
          </cell>
        </row>
        <row r="80">
          <cell r="N80">
            <v>5613967</v>
          </cell>
        </row>
        <row r="81">
          <cell r="N81">
            <v>5375207.5700000003</v>
          </cell>
        </row>
        <row r="82">
          <cell r="N82">
            <v>5449679.1500000004</v>
          </cell>
        </row>
        <row r="83">
          <cell r="N83">
            <v>5879167.8200000003</v>
          </cell>
        </row>
        <row r="84">
          <cell r="N84">
            <v>5996777.96</v>
          </cell>
        </row>
        <row r="85">
          <cell r="N85">
            <v>6107534.3899999997</v>
          </cell>
        </row>
        <row r="86">
          <cell r="N86">
            <v>6666282.6500000004</v>
          </cell>
        </row>
        <row r="87">
          <cell r="N87">
            <v>6935763.1399999997</v>
          </cell>
        </row>
        <row r="88">
          <cell r="N88">
            <v>6759696.75</v>
          </cell>
        </row>
        <row r="89">
          <cell r="N89">
            <v>6096678.7199999997</v>
          </cell>
        </row>
        <row r="90">
          <cell r="N90">
            <v>6777055.1500000004</v>
          </cell>
        </row>
        <row r="91">
          <cell r="N91">
            <v>6245139.6799999997</v>
          </cell>
        </row>
        <row r="92">
          <cell r="N92">
            <v>6059662.1200000001</v>
          </cell>
        </row>
        <row r="93">
          <cell r="N93">
            <v>5680061</v>
          </cell>
        </row>
        <row r="94">
          <cell r="N94">
            <v>5803186</v>
          </cell>
        </row>
        <row r="95">
          <cell r="N95">
            <v>5680110</v>
          </cell>
        </row>
        <row r="96">
          <cell r="N96">
            <v>5575682</v>
          </cell>
        </row>
        <row r="97">
          <cell r="N97">
            <v>6080380</v>
          </cell>
        </row>
        <row r="98">
          <cell r="N98">
            <v>6108810</v>
          </cell>
        </row>
        <row r="99">
          <cell r="N99">
            <v>6409990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813003 Other Gas Supply Expense"/>
      <sheetName val="Ut &amp; WY Costs"/>
      <sheetName val="Sheet2"/>
      <sheetName val="sheet1"/>
      <sheetName val="Feb 2014"/>
      <sheetName val="Mar 2014"/>
      <sheetName val="April 2014"/>
      <sheetName val="May 2014"/>
      <sheetName val="June 2014"/>
      <sheetName val="July 2014"/>
      <sheetName val="Aug 2014"/>
      <sheetName val="Sep 2014"/>
      <sheetName val="Oct 2014"/>
      <sheetName val="Nov 2014"/>
      <sheetName val="Dec 2014"/>
      <sheetName val="2014 Detail"/>
      <sheetName val="2014 P &amp; G Detail"/>
      <sheetName val="Sheet6"/>
      <sheetName val="IRP Slides"/>
    </sheetNames>
    <sheetDataSet>
      <sheetData sheetId="0"/>
      <sheetData sheetId="1"/>
      <sheetData sheetId="2"/>
      <sheetData sheetId="3"/>
      <sheetData sheetId="4"/>
      <sheetData sheetId="5">
        <row r="42">
          <cell r="O42">
            <v>4.7869944111949003</v>
          </cell>
        </row>
      </sheetData>
      <sheetData sheetId="6">
        <row r="14">
          <cell r="O14">
            <v>4.8148239226666192</v>
          </cell>
        </row>
      </sheetData>
      <sheetData sheetId="7">
        <row r="14">
          <cell r="O14">
            <v>4.816015418519024</v>
          </cell>
        </row>
      </sheetData>
      <sheetData sheetId="8">
        <row r="14">
          <cell r="O14">
            <v>4.8519121803554288</v>
          </cell>
        </row>
      </sheetData>
      <sheetData sheetId="9">
        <row r="14">
          <cell r="O14">
            <v>4.8873668808995934</v>
          </cell>
        </row>
        <row r="71">
          <cell r="O71">
            <v>4.8215236462796316</v>
          </cell>
        </row>
        <row r="72">
          <cell r="O72">
            <v>5.0119788422865197</v>
          </cell>
        </row>
        <row r="101">
          <cell r="O101">
            <v>5.9064972159292513</v>
          </cell>
        </row>
        <row r="102">
          <cell r="O102">
            <v>6.1398099957684522</v>
          </cell>
        </row>
      </sheetData>
      <sheetData sheetId="10">
        <row r="14">
          <cell r="O14">
            <v>4.8867567932245937</v>
          </cell>
        </row>
        <row r="71">
          <cell r="O71">
            <v>4.9008146867547806</v>
          </cell>
        </row>
        <row r="72">
          <cell r="O72">
            <v>5.0944019612835554</v>
          </cell>
        </row>
        <row r="101">
          <cell r="O101">
            <v>6.1583961981676936</v>
          </cell>
        </row>
        <row r="102">
          <cell r="O102">
            <v>6.4016592496545668</v>
          </cell>
        </row>
      </sheetData>
      <sheetData sheetId="11">
        <row r="14">
          <cell r="O14">
            <v>4.8641607151176496</v>
          </cell>
        </row>
        <row r="71">
          <cell r="O71">
            <v>4.8873260723708603</v>
          </cell>
        </row>
        <row r="72">
          <cell r="O72">
            <v>5.0803805326100422</v>
          </cell>
        </row>
        <row r="101">
          <cell r="O101">
            <v>6.1716251264938711</v>
          </cell>
        </row>
        <row r="102">
          <cell r="O102">
            <v>6.4154107344011138</v>
          </cell>
        </row>
      </sheetData>
      <sheetData sheetId="12">
        <row r="14">
          <cell r="O14">
            <v>4.8886956749664217</v>
          </cell>
        </row>
        <row r="71">
          <cell r="O71">
            <v>4.9163149946054974</v>
          </cell>
        </row>
        <row r="72">
          <cell r="O72">
            <v>5.1105145474069618</v>
          </cell>
        </row>
        <row r="101">
          <cell r="O101">
            <v>6.0798458533793021</v>
          </cell>
        </row>
        <row r="102">
          <cell r="O102">
            <v>6.320006084593869</v>
          </cell>
        </row>
      </sheetData>
      <sheetData sheetId="13">
        <row r="14">
          <cell r="O14">
            <v>4.934453141227733</v>
          </cell>
        </row>
        <row r="71">
          <cell r="O71">
            <v>4.9529240193889432</v>
          </cell>
        </row>
        <row r="72">
          <cell r="O72">
            <v>5.1485696667244731</v>
          </cell>
        </row>
        <row r="101">
          <cell r="O101">
            <v>6.1873895413297184</v>
          </cell>
        </row>
        <row r="102">
          <cell r="O102">
            <v>6.4317978600101027</v>
          </cell>
        </row>
      </sheetData>
      <sheetData sheetId="14">
        <row r="14">
          <cell r="O14">
            <v>4.943571214512902</v>
          </cell>
        </row>
        <row r="71">
          <cell r="O71">
            <v>4.9345310759540659</v>
          </cell>
        </row>
        <row r="72">
          <cell r="O72">
            <v>5.129450182904435</v>
          </cell>
        </row>
        <row r="101">
          <cell r="O101">
            <v>6.1767047608336592</v>
          </cell>
        </row>
        <row r="102">
          <cell r="O102">
            <v>6.4206910195776086</v>
          </cell>
        </row>
      </sheetData>
      <sheetData sheetId="15">
        <row r="14">
          <cell r="O14">
            <v>5.2412760550939597</v>
          </cell>
        </row>
        <row r="69">
          <cell r="O69">
            <v>4.9682189677546349</v>
          </cell>
        </row>
        <row r="70">
          <cell r="O70">
            <v>5.1644687814497257</v>
          </cell>
        </row>
        <row r="99">
          <cell r="O99">
            <v>6.2656298817243101</v>
          </cell>
        </row>
        <row r="100">
          <cell r="O100">
            <v>6.5131287751811966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25"/>
  <sheetViews>
    <sheetView tabSelected="1" topLeftCell="A34" workbookViewId="0">
      <selection activeCell="K46" sqref="K46"/>
    </sheetView>
  </sheetViews>
  <sheetFormatPr defaultRowHeight="15" x14ac:dyDescent="0.25"/>
  <cols>
    <col min="1" max="1" width="11.85546875" style="3" customWidth="1"/>
    <col min="2" max="3" width="13.42578125" style="3" customWidth="1"/>
    <col min="4" max="5" width="14.140625" style="3" customWidth="1"/>
    <col min="6" max="6" width="15.85546875" style="3" customWidth="1"/>
    <col min="7" max="7" width="13.42578125" style="3" customWidth="1"/>
    <col min="8" max="9" width="15.85546875" style="3" customWidth="1"/>
    <col min="10" max="10" width="11.140625" style="3" customWidth="1"/>
    <col min="11" max="11" width="11.5703125" style="3" bestFit="1" customWidth="1"/>
    <col min="12" max="12" width="15" style="3" bestFit="1" customWidth="1"/>
    <col min="13" max="13" width="7.7109375" style="3" bestFit="1" customWidth="1"/>
    <col min="14" max="17" width="9.140625" style="3"/>
    <col min="18" max="18" width="11.140625" style="3" bestFit="1" customWidth="1"/>
    <col min="19" max="19" width="9.140625" style="3"/>
    <col min="20" max="20" width="11.140625" style="3" bestFit="1" customWidth="1"/>
    <col min="21" max="16384" width="9.140625" style="3"/>
  </cols>
  <sheetData>
    <row r="1" spans="1:14" x14ac:dyDescent="0.25">
      <c r="A1" s="3" t="s">
        <v>0</v>
      </c>
      <c r="F1" s="26" t="s">
        <v>1</v>
      </c>
      <c r="L1" s="3" t="s">
        <v>69</v>
      </c>
      <c r="M1" s="3">
        <v>2015</v>
      </c>
    </row>
    <row r="2" spans="1:14" x14ac:dyDescent="0.25">
      <c r="B2" s="26" t="s">
        <v>7</v>
      </c>
      <c r="E2" s="26" t="s">
        <v>2</v>
      </c>
      <c r="F2" s="26" t="s">
        <v>3</v>
      </c>
      <c r="G2" s="26">
        <v>806000</v>
      </c>
      <c r="H2" s="26">
        <v>813000</v>
      </c>
      <c r="L2" s="27">
        <v>3.7999999999999999E-2</v>
      </c>
      <c r="M2" s="27">
        <v>3.6700000000000003E-2</v>
      </c>
    </row>
    <row r="3" spans="1:14" hidden="1" x14ac:dyDescent="0.25">
      <c r="B3" s="26" t="s">
        <v>5</v>
      </c>
      <c r="C3" s="26"/>
      <c r="D3" s="26"/>
      <c r="E3" s="26" t="s">
        <v>6</v>
      </c>
      <c r="F3" s="26" t="s">
        <v>5</v>
      </c>
      <c r="G3" s="26"/>
      <c r="H3" s="26"/>
      <c r="I3" s="26"/>
    </row>
    <row r="4" spans="1:14" x14ac:dyDescent="0.25">
      <c r="B4" s="3" t="s">
        <v>60</v>
      </c>
      <c r="C4" s="3" t="s">
        <v>61</v>
      </c>
      <c r="D4" s="26" t="s">
        <v>70</v>
      </c>
      <c r="E4" s="26" t="s">
        <v>8</v>
      </c>
      <c r="F4" s="26" t="s">
        <v>9</v>
      </c>
      <c r="G4" s="26" t="s">
        <v>10</v>
      </c>
      <c r="H4" s="26" t="s">
        <v>11</v>
      </c>
      <c r="I4" s="7"/>
      <c r="J4" s="26" t="s">
        <v>60</v>
      </c>
      <c r="K4" s="26" t="s">
        <v>61</v>
      </c>
      <c r="M4" s="26" t="s">
        <v>71</v>
      </c>
    </row>
    <row r="5" spans="1:14" x14ac:dyDescent="0.25">
      <c r="B5" s="28" t="s">
        <v>12</v>
      </c>
      <c r="C5" s="28" t="s">
        <v>21</v>
      </c>
      <c r="D5" s="28" t="s">
        <v>61</v>
      </c>
      <c r="E5" s="26" t="s">
        <v>13</v>
      </c>
      <c r="F5" s="26" t="s">
        <v>14</v>
      </c>
      <c r="G5" s="26" t="s">
        <v>15</v>
      </c>
      <c r="H5" s="26" t="s">
        <v>16</v>
      </c>
      <c r="I5" s="26" t="s">
        <v>4</v>
      </c>
      <c r="J5" s="29" t="s">
        <v>17</v>
      </c>
      <c r="K5" s="26" t="s">
        <v>17</v>
      </c>
      <c r="M5" s="26" t="s">
        <v>17</v>
      </c>
      <c r="N5" s="30" t="s">
        <v>45</v>
      </c>
    </row>
    <row r="6" spans="1:14" x14ac:dyDescent="0.25">
      <c r="A6" s="1">
        <v>1981</v>
      </c>
      <c r="B6" s="2">
        <v>19314840</v>
      </c>
      <c r="C6" s="2">
        <f t="shared" ref="C6:C35" si="0">B6*(1-$L$2)</f>
        <v>18580876.079999998</v>
      </c>
      <c r="F6" s="4">
        <v>9730000</v>
      </c>
      <c r="G6" s="4"/>
      <c r="H6" s="4"/>
      <c r="I6" s="7">
        <v>0.2944</v>
      </c>
      <c r="J6" s="5">
        <v>0.49440000000000001</v>
      </c>
      <c r="K6" s="5">
        <f>B6*(J6-I6)/C6+I6</f>
        <v>0.50230020790020791</v>
      </c>
    </row>
    <row r="7" spans="1:14" x14ac:dyDescent="0.25">
      <c r="A7" s="1">
        <v>1982</v>
      </c>
      <c r="B7" s="2">
        <v>43246998.149999999</v>
      </c>
      <c r="C7" s="2">
        <f t="shared" si="0"/>
        <v>41603612.220299996</v>
      </c>
      <c r="F7" s="4">
        <v>23387000</v>
      </c>
      <c r="G7" s="4"/>
      <c r="H7" s="4"/>
      <c r="I7" s="7">
        <v>0.2944</v>
      </c>
      <c r="J7" s="5">
        <v>0.58440000000000003</v>
      </c>
      <c r="K7" s="5">
        <f>B7*(J7-I7)/C7+I7</f>
        <v>0.59585530145530141</v>
      </c>
    </row>
    <row r="8" spans="1:14" x14ac:dyDescent="0.25">
      <c r="A8" s="1">
        <v>1983</v>
      </c>
      <c r="B8" s="2">
        <v>34826991</v>
      </c>
      <c r="C8" s="2">
        <f t="shared" si="0"/>
        <v>33503565.342</v>
      </c>
      <c r="E8" s="4">
        <v>17398559.020000003</v>
      </c>
      <c r="F8" s="4">
        <f>21870000+6655000</f>
        <v>28525000</v>
      </c>
      <c r="G8" s="4">
        <v>0</v>
      </c>
      <c r="H8" s="4">
        <v>0</v>
      </c>
      <c r="I8" s="7">
        <v>0.2944</v>
      </c>
      <c r="J8" s="5">
        <f>(E8+F8+G8+H8)/B8+I8</f>
        <v>1.6130197745306221</v>
      </c>
      <c r="K8" s="5">
        <f>(E8+F8+G8+H8)/C8+I8</f>
        <v>1.665106626331208</v>
      </c>
    </row>
    <row r="9" spans="1:14" x14ac:dyDescent="0.25">
      <c r="A9" s="1">
        <v>1984</v>
      </c>
      <c r="B9" s="2">
        <v>37820993.549999997</v>
      </c>
      <c r="C9" s="2">
        <f t="shared" si="0"/>
        <v>36383795.795099996</v>
      </c>
      <c r="E9" s="4">
        <v>17554914.23</v>
      </c>
      <c r="F9" s="4">
        <f>20360000+5566000</f>
        <v>25926000</v>
      </c>
      <c r="G9" s="4">
        <v>5568110.190000033</v>
      </c>
      <c r="H9" s="4">
        <v>0</v>
      </c>
      <c r="I9" s="7">
        <v>0.2944</v>
      </c>
      <c r="J9" s="5">
        <f t="shared" ref="J9:J35" si="1">(E9+F9+G9+H9)/B9+I9</f>
        <v>1.5912729749300847</v>
      </c>
      <c r="K9" s="5">
        <f t="shared" ref="K9:K35" si="2">(E9+F9+G9+H9)/C9+I9</f>
        <v>1.6425008055406285</v>
      </c>
    </row>
    <row r="10" spans="1:14" x14ac:dyDescent="0.25">
      <c r="A10" s="1">
        <v>1985</v>
      </c>
      <c r="B10" s="2">
        <v>34069999.649999999</v>
      </c>
      <c r="C10" s="2">
        <f t="shared" si="0"/>
        <v>32775339.663299996</v>
      </c>
      <c r="E10" s="4">
        <v>18937529.739999995</v>
      </c>
      <c r="F10" s="4">
        <f>18076000+3919000</f>
        <v>21995000</v>
      </c>
      <c r="G10" s="4">
        <v>0</v>
      </c>
      <c r="H10" s="4">
        <v>0</v>
      </c>
      <c r="I10" s="7">
        <v>0.29441000000000001</v>
      </c>
      <c r="J10" s="5">
        <f t="shared" si="1"/>
        <v>1.4958344250219708</v>
      </c>
      <c r="K10" s="5">
        <f t="shared" si="2"/>
        <v>1.5432919386922774</v>
      </c>
    </row>
    <row r="11" spans="1:14" x14ac:dyDescent="0.25">
      <c r="A11" s="1">
        <v>1986</v>
      </c>
      <c r="B11" s="2">
        <v>27368998.349999998</v>
      </c>
      <c r="C11" s="2">
        <f t="shared" si="0"/>
        <v>26328976.412699997</v>
      </c>
      <c r="E11" s="4">
        <v>30283523.539999999</v>
      </c>
      <c r="F11" s="4">
        <f>16236000-62000</f>
        <v>16174000</v>
      </c>
      <c r="G11" s="4">
        <v>0</v>
      </c>
      <c r="H11" s="4">
        <v>0</v>
      </c>
      <c r="I11" s="7">
        <v>0.29441000000000001</v>
      </c>
      <c r="J11" s="5">
        <f t="shared" si="1"/>
        <v>1.9918606317656307</v>
      </c>
      <c r="K11" s="5">
        <f t="shared" si="2"/>
        <v>2.058911696222069</v>
      </c>
    </row>
    <row r="12" spans="1:14" x14ac:dyDescent="0.25">
      <c r="A12" s="1">
        <v>1987</v>
      </c>
      <c r="B12" s="2">
        <v>23591997.149999999</v>
      </c>
      <c r="C12" s="2">
        <f t="shared" si="0"/>
        <v>22695501.258299999</v>
      </c>
      <c r="E12" s="4">
        <v>25225801.090000004</v>
      </c>
      <c r="F12" s="4">
        <v>14038000</v>
      </c>
      <c r="G12" s="4">
        <v>0</v>
      </c>
      <c r="H12" s="4">
        <v>0</v>
      </c>
      <c r="I12" s="7">
        <v>0.36060999999999999</v>
      </c>
      <c r="J12" s="5">
        <f t="shared" si="1"/>
        <v>2.0248947504752266</v>
      </c>
      <c r="K12" s="5">
        <f t="shared" si="2"/>
        <v>2.0906357281447261</v>
      </c>
    </row>
    <row r="13" spans="1:14" x14ac:dyDescent="0.25">
      <c r="A13" s="1">
        <v>1988</v>
      </c>
      <c r="B13" s="2">
        <v>26008993.350000001</v>
      </c>
      <c r="C13" s="2">
        <f t="shared" si="0"/>
        <v>25020651.602699999</v>
      </c>
      <c r="E13" s="4">
        <v>23700697.41</v>
      </c>
      <c r="F13" s="4">
        <v>13255000</v>
      </c>
      <c r="G13" s="4">
        <v>0</v>
      </c>
      <c r="H13" s="4">
        <v>0</v>
      </c>
      <c r="I13" s="7">
        <v>0.28720000000000001</v>
      </c>
      <c r="J13" s="5">
        <f t="shared" si="1"/>
        <v>1.7080814971302991</v>
      </c>
      <c r="K13" s="5">
        <f t="shared" si="2"/>
        <v>1.7642077932747395</v>
      </c>
    </row>
    <row r="14" spans="1:14" x14ac:dyDescent="0.25">
      <c r="A14" s="1">
        <v>1989</v>
      </c>
      <c r="B14" s="2">
        <v>24293001.449999999</v>
      </c>
      <c r="C14" s="2">
        <f t="shared" si="0"/>
        <v>23369867.394899998</v>
      </c>
      <c r="E14" s="4">
        <v>20284206.210000001</v>
      </c>
      <c r="F14" s="4">
        <v>11639000</v>
      </c>
      <c r="G14" s="4">
        <v>0</v>
      </c>
      <c r="H14" s="4">
        <v>0</v>
      </c>
      <c r="I14" s="7">
        <v>0.27839999999999998</v>
      </c>
      <c r="J14" s="5">
        <f t="shared" si="1"/>
        <v>1.5924906559325136</v>
      </c>
      <c r="K14" s="5">
        <f t="shared" si="2"/>
        <v>1.6443986028404507</v>
      </c>
    </row>
    <row r="15" spans="1:14" x14ac:dyDescent="0.25">
      <c r="A15" s="1">
        <v>1990</v>
      </c>
      <c r="B15" s="2">
        <v>26213995.200000003</v>
      </c>
      <c r="C15" s="2">
        <f t="shared" si="0"/>
        <v>25217863.382400002</v>
      </c>
      <c r="E15" s="4">
        <v>24541966.349999998</v>
      </c>
      <c r="F15" s="4">
        <v>10662000</v>
      </c>
      <c r="G15" s="4">
        <v>0</v>
      </c>
      <c r="H15" s="4">
        <v>0</v>
      </c>
      <c r="I15" s="7">
        <v>0.24579999999999999</v>
      </c>
      <c r="J15" s="5">
        <f t="shared" si="1"/>
        <v>1.5887454793674485</v>
      </c>
      <c r="K15" s="5">
        <f t="shared" si="2"/>
        <v>1.6417932217956843</v>
      </c>
    </row>
    <row r="16" spans="1:14" x14ac:dyDescent="0.25">
      <c r="A16" s="1">
        <v>1991</v>
      </c>
      <c r="B16" s="6">
        <v>34580997.299999997</v>
      </c>
      <c r="C16" s="2">
        <f t="shared" si="0"/>
        <v>33266919.402599998</v>
      </c>
      <c r="E16" s="4">
        <v>34313401.889999993</v>
      </c>
      <c r="F16" s="4">
        <v>12458000</v>
      </c>
      <c r="G16" s="4">
        <v>0</v>
      </c>
      <c r="H16" s="4">
        <v>0</v>
      </c>
      <c r="I16" s="7">
        <v>0.27939999999999998</v>
      </c>
      <c r="J16" s="5">
        <f t="shared" si="1"/>
        <v>1.6319174385297441</v>
      </c>
      <c r="K16" s="5">
        <f t="shared" si="2"/>
        <v>1.6853432832949524</v>
      </c>
    </row>
    <row r="17" spans="1:11" x14ac:dyDescent="0.25">
      <c r="A17" s="1">
        <v>1992</v>
      </c>
      <c r="B17" s="6">
        <v>33882996.299999997</v>
      </c>
      <c r="C17" s="2">
        <f t="shared" si="0"/>
        <v>32595442.440599997</v>
      </c>
      <c r="E17" s="4">
        <v>46558463.700000003</v>
      </c>
      <c r="F17" s="4">
        <v>9664000</v>
      </c>
      <c r="G17" s="4">
        <v>0</v>
      </c>
      <c r="H17" s="4">
        <v>0</v>
      </c>
      <c r="I17" s="7">
        <v>0.28064</v>
      </c>
      <c r="J17" s="5">
        <f t="shared" si="1"/>
        <v>1.9399520396498113</v>
      </c>
      <c r="K17" s="5">
        <f t="shared" si="2"/>
        <v>2.005496590072569</v>
      </c>
    </row>
    <row r="18" spans="1:11" x14ac:dyDescent="0.25">
      <c r="A18" s="1">
        <v>1993</v>
      </c>
      <c r="B18" s="6">
        <v>47120999.549999997</v>
      </c>
      <c r="C18" s="2">
        <f t="shared" si="0"/>
        <v>45330401.567099996</v>
      </c>
      <c r="E18" s="4">
        <v>63808650.210000001</v>
      </c>
      <c r="F18" s="4">
        <v>9656000</v>
      </c>
      <c r="G18" s="4">
        <v>-12689952</v>
      </c>
      <c r="H18" s="4">
        <v>0</v>
      </c>
      <c r="I18" s="7">
        <v>0.28189999999999998</v>
      </c>
      <c r="J18" s="5">
        <f t="shared" si="1"/>
        <v>1.5716582561998096</v>
      </c>
      <c r="K18" s="5">
        <f t="shared" si="2"/>
        <v>1.6226050480247503</v>
      </c>
    </row>
    <row r="19" spans="1:11" x14ac:dyDescent="0.25">
      <c r="A19" s="1">
        <v>1994</v>
      </c>
      <c r="B19" s="6">
        <v>47276415</v>
      </c>
      <c r="C19" s="2">
        <f t="shared" si="0"/>
        <v>45479911.229999997</v>
      </c>
      <c r="E19" s="4">
        <v>80264547.260000005</v>
      </c>
      <c r="F19" s="4">
        <v>7722000</v>
      </c>
      <c r="G19" s="4">
        <v>-410868.12</v>
      </c>
      <c r="H19" s="4">
        <v>0</v>
      </c>
      <c r="I19" s="7"/>
      <c r="J19" s="5">
        <f t="shared" si="1"/>
        <v>1.8524179369353619</v>
      </c>
      <c r="K19" s="5">
        <f t="shared" si="2"/>
        <v>1.92559037103468</v>
      </c>
    </row>
    <row r="20" spans="1:11" x14ac:dyDescent="0.25">
      <c r="A20" s="1">
        <v>1995</v>
      </c>
      <c r="B20" s="6">
        <v>49990034.999999993</v>
      </c>
      <c r="C20" s="2">
        <f t="shared" si="0"/>
        <v>48090413.669999994</v>
      </c>
      <c r="E20" s="4">
        <v>76643528.299999982</v>
      </c>
      <c r="F20" s="4">
        <v>8122000</v>
      </c>
      <c r="G20" s="4">
        <v>768735.12999999989</v>
      </c>
      <c r="H20" s="4">
        <v>1207534.8800000001</v>
      </c>
      <c r="I20" s="7"/>
      <c r="J20" s="5">
        <f t="shared" si="1"/>
        <v>1.7351817879303342</v>
      </c>
      <c r="K20" s="5">
        <f t="shared" si="2"/>
        <v>1.8037232722768546</v>
      </c>
    </row>
    <row r="21" spans="1:11" x14ac:dyDescent="0.25">
      <c r="A21" s="1">
        <v>1996</v>
      </c>
      <c r="B21" s="6">
        <v>47625735</v>
      </c>
      <c r="C21" s="2">
        <f t="shared" si="0"/>
        <v>45815957.07</v>
      </c>
      <c r="E21" s="4">
        <v>72572208.350000009</v>
      </c>
      <c r="F21" s="4">
        <v>7957000</v>
      </c>
      <c r="G21" s="4">
        <v>12376672.57</v>
      </c>
      <c r="H21" s="4">
        <v>1085740.6399999999</v>
      </c>
      <c r="I21" s="7"/>
      <c r="J21" s="5">
        <f t="shared" si="1"/>
        <v>1.9735468977014217</v>
      </c>
      <c r="K21" s="5">
        <f t="shared" si="2"/>
        <v>2.0515040516646796</v>
      </c>
    </row>
    <row r="22" spans="1:11" x14ac:dyDescent="0.25">
      <c r="A22" s="1">
        <v>1997</v>
      </c>
      <c r="B22" s="6">
        <v>46503000</v>
      </c>
      <c r="C22" s="2">
        <f t="shared" si="0"/>
        <v>44735886</v>
      </c>
      <c r="E22" s="4">
        <v>71108278.930000007</v>
      </c>
      <c r="F22" s="4">
        <v>7920000</v>
      </c>
      <c r="G22" s="4">
        <v>-47951.399999999965</v>
      </c>
      <c r="H22" s="4">
        <v>971164.55999999994</v>
      </c>
      <c r="I22" s="7"/>
      <c r="J22" s="5">
        <f t="shared" si="1"/>
        <v>1.7192760056340453</v>
      </c>
      <c r="K22" s="5">
        <f t="shared" si="2"/>
        <v>1.787189195045785</v>
      </c>
    </row>
    <row r="23" spans="1:11" x14ac:dyDescent="0.25">
      <c r="A23" s="1">
        <v>1998</v>
      </c>
      <c r="B23" s="6">
        <v>47764000</v>
      </c>
      <c r="C23" s="2">
        <f t="shared" si="0"/>
        <v>45948968</v>
      </c>
      <c r="E23" s="4">
        <v>75377463.309999987</v>
      </c>
      <c r="F23" s="4">
        <v>6641000</v>
      </c>
      <c r="G23" s="4">
        <v>0</v>
      </c>
      <c r="H23" s="4">
        <v>445957.62</v>
      </c>
      <c r="I23" s="7"/>
      <c r="J23" s="5">
        <f t="shared" si="1"/>
        <v>1.7264973815007116</v>
      </c>
      <c r="K23" s="5">
        <f t="shared" si="2"/>
        <v>1.7946958227658125</v>
      </c>
    </row>
    <row r="24" spans="1:11" x14ac:dyDescent="0.25">
      <c r="A24" s="1">
        <v>1999</v>
      </c>
      <c r="B24" s="6">
        <v>48895000</v>
      </c>
      <c r="C24" s="2">
        <f t="shared" si="0"/>
        <v>47036990</v>
      </c>
      <c r="E24" s="4">
        <v>75321893.430000007</v>
      </c>
      <c r="F24" s="4">
        <v>4673000</v>
      </c>
      <c r="G24" s="4">
        <v>0</v>
      </c>
      <c r="H24" s="4">
        <v>1155622.0900000001</v>
      </c>
      <c r="I24" s="7"/>
      <c r="J24" s="5">
        <f t="shared" si="1"/>
        <v>1.6596894471827388</v>
      </c>
      <c r="K24" s="5">
        <f t="shared" si="2"/>
        <v>1.7252489055953626</v>
      </c>
    </row>
    <row r="25" spans="1:11" x14ac:dyDescent="0.25">
      <c r="A25" s="1">
        <v>2000</v>
      </c>
      <c r="B25" s="6">
        <v>52781000</v>
      </c>
      <c r="C25" s="2">
        <f t="shared" si="0"/>
        <v>50775322</v>
      </c>
      <c r="E25" s="4">
        <v>86683811.890000015</v>
      </c>
      <c r="F25" s="4">
        <v>5453000</v>
      </c>
      <c r="G25" s="4">
        <v>0</v>
      </c>
      <c r="H25" s="4">
        <v>957849.26</v>
      </c>
      <c r="I25" s="7"/>
      <c r="J25" s="5">
        <f t="shared" si="1"/>
        <v>1.7637911587503083</v>
      </c>
      <c r="K25" s="5">
        <f t="shared" si="2"/>
        <v>1.8334627429836885</v>
      </c>
    </row>
    <row r="26" spans="1:11" x14ac:dyDescent="0.25">
      <c r="A26" s="1">
        <v>2001</v>
      </c>
      <c r="B26" s="6">
        <v>48475000</v>
      </c>
      <c r="C26" s="2">
        <f t="shared" si="0"/>
        <v>46632950</v>
      </c>
      <c r="E26" s="4">
        <v>109131445.65000001</v>
      </c>
      <c r="F26" s="4">
        <v>4275000</v>
      </c>
      <c r="G26" s="4">
        <v>0</v>
      </c>
      <c r="H26" s="4">
        <v>766289.3600000001</v>
      </c>
      <c r="I26" s="7"/>
      <c r="J26" s="5">
        <f t="shared" si="1"/>
        <v>2.3552910780814855</v>
      </c>
      <c r="K26" s="5">
        <f t="shared" si="2"/>
        <v>2.4483275239932283</v>
      </c>
    </row>
    <row r="27" spans="1:11" x14ac:dyDescent="0.25">
      <c r="A27" s="1">
        <v>2002</v>
      </c>
      <c r="B27" s="6">
        <v>52970000</v>
      </c>
      <c r="C27" s="2">
        <f t="shared" si="0"/>
        <v>50957140</v>
      </c>
      <c r="E27" s="4">
        <v>107377187.77000001</v>
      </c>
      <c r="F27" s="4">
        <v>4094000</v>
      </c>
      <c r="G27" s="4">
        <v>0</v>
      </c>
      <c r="H27" s="4">
        <v>835640.17999999993</v>
      </c>
      <c r="I27" s="7"/>
      <c r="J27" s="5">
        <f t="shared" si="1"/>
        <v>2.1201968652067209</v>
      </c>
      <c r="K27" s="5">
        <f t="shared" si="2"/>
        <v>2.2039468453292321</v>
      </c>
    </row>
    <row r="28" spans="1:11" x14ac:dyDescent="0.25">
      <c r="A28" s="1">
        <v>2003</v>
      </c>
      <c r="B28" s="6">
        <v>51885000</v>
      </c>
      <c r="C28" s="2">
        <f t="shared" si="0"/>
        <v>49913370</v>
      </c>
      <c r="E28" s="4">
        <v>126100720.93999998</v>
      </c>
      <c r="F28" s="4">
        <v>4414000</v>
      </c>
      <c r="G28" s="4">
        <v>0</v>
      </c>
      <c r="H28" s="4">
        <v>1450129.7100000004</v>
      </c>
      <c r="I28" s="7"/>
      <c r="J28" s="5">
        <f t="shared" si="1"/>
        <v>2.5434104394333619</v>
      </c>
      <c r="K28" s="5">
        <f t="shared" si="2"/>
        <v>2.6438777956687751</v>
      </c>
    </row>
    <row r="29" spans="1:11" x14ac:dyDescent="0.25">
      <c r="A29" s="1">
        <v>2004</v>
      </c>
      <c r="B29" s="6">
        <v>49694000</v>
      </c>
      <c r="C29" s="2">
        <f t="shared" si="0"/>
        <v>47805628</v>
      </c>
      <c r="E29" s="4">
        <v>134316468.56</v>
      </c>
      <c r="F29" s="4">
        <v>3090000</v>
      </c>
      <c r="G29" s="4">
        <v>0</v>
      </c>
      <c r="H29" s="4">
        <v>814326.25</v>
      </c>
      <c r="I29" s="7"/>
      <c r="J29" s="5">
        <f t="shared" si="1"/>
        <v>2.7814382985873545</v>
      </c>
      <c r="K29" s="5">
        <f t="shared" si="2"/>
        <v>2.8913080026895579</v>
      </c>
    </row>
    <row r="30" spans="1:11" x14ac:dyDescent="0.25">
      <c r="A30" s="1">
        <v>2005</v>
      </c>
      <c r="B30" s="6">
        <v>49481000</v>
      </c>
      <c r="C30" s="2">
        <f t="shared" si="0"/>
        <v>47600722</v>
      </c>
      <c r="E30" s="4">
        <v>151192986.81999999</v>
      </c>
      <c r="F30" s="4">
        <v>2758000</v>
      </c>
      <c r="G30" s="4">
        <v>0</v>
      </c>
      <c r="H30" s="4">
        <v>815680.04</v>
      </c>
      <c r="I30" s="7"/>
      <c r="J30" s="5">
        <f t="shared" si="1"/>
        <v>3.1277999001636987</v>
      </c>
      <c r="K30" s="5">
        <f t="shared" si="2"/>
        <v>3.2513512475714124</v>
      </c>
    </row>
    <row r="31" spans="1:11" x14ac:dyDescent="0.25">
      <c r="A31" s="1">
        <v>2006</v>
      </c>
      <c r="B31" s="6">
        <v>48701000</v>
      </c>
      <c r="C31" s="2">
        <f t="shared" si="0"/>
        <v>46850362</v>
      </c>
      <c r="E31" s="4">
        <v>174240217.77000001</v>
      </c>
      <c r="F31" s="4">
        <v>2528000</v>
      </c>
      <c r="G31" s="4">
        <v>0</v>
      </c>
      <c r="H31" s="4">
        <v>865848.64999999991</v>
      </c>
      <c r="I31" s="7"/>
      <c r="J31" s="5">
        <f t="shared" si="1"/>
        <v>3.6474418681341247</v>
      </c>
      <c r="K31" s="5">
        <f t="shared" si="2"/>
        <v>3.7915196134450362</v>
      </c>
    </row>
    <row r="32" spans="1:11" x14ac:dyDescent="0.25">
      <c r="A32" s="1">
        <v>2007</v>
      </c>
      <c r="B32" s="6">
        <v>39670000</v>
      </c>
      <c r="C32" s="2">
        <f t="shared" si="0"/>
        <v>38162540</v>
      </c>
      <c r="E32" s="4">
        <v>170645639.54999998</v>
      </c>
      <c r="F32" s="4">
        <v>2513000</v>
      </c>
      <c r="G32" s="4">
        <v>0</v>
      </c>
      <c r="H32" s="4">
        <v>519693.99999999988</v>
      </c>
      <c r="I32" s="7"/>
      <c r="J32" s="5">
        <f t="shared" si="1"/>
        <v>4.3780774779430294</v>
      </c>
      <c r="K32" s="5">
        <f t="shared" si="2"/>
        <v>4.5510160893378684</v>
      </c>
    </row>
    <row r="33" spans="1:14" x14ac:dyDescent="0.25">
      <c r="A33" s="1">
        <v>2008</v>
      </c>
      <c r="B33" s="6">
        <v>55576000</v>
      </c>
      <c r="C33" s="2">
        <f t="shared" si="0"/>
        <v>53464112</v>
      </c>
      <c r="E33" s="4">
        <v>244028914.49999997</v>
      </c>
      <c r="F33" s="4">
        <v>1861000</v>
      </c>
      <c r="G33" s="4">
        <v>0</v>
      </c>
      <c r="H33" s="4">
        <v>1735022.2</v>
      </c>
      <c r="I33" s="7"/>
      <c r="J33" s="5">
        <f t="shared" si="1"/>
        <v>4.4556091964157183</v>
      </c>
      <c r="K33" s="5">
        <f t="shared" si="2"/>
        <v>4.6316103912845303</v>
      </c>
    </row>
    <row r="34" spans="1:14" x14ac:dyDescent="0.25">
      <c r="A34" s="1">
        <v>2009</v>
      </c>
      <c r="B34" s="6">
        <v>58432000</v>
      </c>
      <c r="C34" s="2">
        <f t="shared" si="0"/>
        <v>56211584</v>
      </c>
      <c r="E34" s="4">
        <v>254565657.51000005</v>
      </c>
      <c r="F34" s="4">
        <v>1926000</v>
      </c>
      <c r="G34" s="4">
        <v>0</v>
      </c>
      <c r="H34" s="4">
        <v>1642923.7999999998</v>
      </c>
      <c r="I34" s="7"/>
      <c r="J34" s="5">
        <f t="shared" si="1"/>
        <v>4.417692040491513</v>
      </c>
      <c r="K34" s="5">
        <f t="shared" si="2"/>
        <v>4.5921954682863957</v>
      </c>
    </row>
    <row r="35" spans="1:14" x14ac:dyDescent="0.25">
      <c r="A35" s="1">
        <v>2010</v>
      </c>
      <c r="B35" s="2">
        <v>60422000</v>
      </c>
      <c r="C35" s="2">
        <f t="shared" si="0"/>
        <v>58125964</v>
      </c>
      <c r="E35" s="4">
        <v>271944089.37000006</v>
      </c>
      <c r="F35" s="4">
        <v>1878000</v>
      </c>
      <c r="G35" s="4">
        <v>0</v>
      </c>
      <c r="H35" s="4">
        <v>1668764.2</v>
      </c>
      <c r="I35" s="7"/>
      <c r="J35" s="5">
        <f t="shared" si="1"/>
        <v>4.5594461217768369</v>
      </c>
      <c r="K35" s="5">
        <f t="shared" si="2"/>
        <v>4.7395489831360056</v>
      </c>
    </row>
    <row r="36" spans="1:14" x14ac:dyDescent="0.25">
      <c r="A36" s="1">
        <v>2011</v>
      </c>
      <c r="B36" s="6">
        <v>61306000</v>
      </c>
      <c r="C36" s="2">
        <v>62400137</v>
      </c>
      <c r="D36" s="2"/>
      <c r="E36" s="4">
        <v>287503117.31</v>
      </c>
      <c r="F36" s="4">
        <v>1751000</v>
      </c>
      <c r="G36" s="4">
        <v>0</v>
      </c>
      <c r="H36" s="4">
        <v>1420779.4000000001</v>
      </c>
      <c r="I36" s="7"/>
      <c r="J36" s="5">
        <f t="shared" ref="J36:J40" si="3">(E36+F36+G36+H36)/B36+I36</f>
        <v>4.7413776255178934</v>
      </c>
      <c r="K36" s="5">
        <f t="shared" ref="K36:K39" si="4">(E36+F36+G36+H36)/C36+I36</f>
        <v>4.6582413226111985</v>
      </c>
      <c r="M36" s="5"/>
      <c r="N36" s="5"/>
    </row>
    <row r="37" spans="1:14" x14ac:dyDescent="0.25">
      <c r="A37" s="1">
        <v>2012</v>
      </c>
      <c r="B37" s="2">
        <v>70015000</v>
      </c>
      <c r="C37" s="2">
        <v>70303457</v>
      </c>
      <c r="D37" s="2"/>
      <c r="E37" s="4">
        <v>296425066</v>
      </c>
      <c r="F37" s="8">
        <f>736000+843000+0</f>
        <v>1579000</v>
      </c>
      <c r="G37" s="4">
        <v>0</v>
      </c>
      <c r="H37" s="8">
        <v>997893</v>
      </c>
      <c r="I37" s="9"/>
      <c r="J37" s="5">
        <f t="shared" si="3"/>
        <v>4.27054144111976</v>
      </c>
      <c r="K37" s="5">
        <f t="shared" si="4"/>
        <v>4.2530192932048845</v>
      </c>
      <c r="M37" s="5"/>
      <c r="N37" s="5"/>
    </row>
    <row r="38" spans="1:14" x14ac:dyDescent="0.25">
      <c r="A38" s="1">
        <v>2013</v>
      </c>
      <c r="B38" s="2">
        <v>71916000</v>
      </c>
      <c r="C38" s="2">
        <v>71496292</v>
      </c>
      <c r="D38" s="2"/>
      <c r="E38" s="4">
        <v>329353628.45999998</v>
      </c>
      <c r="F38" s="8">
        <f>627000+772000+0</f>
        <v>1399000</v>
      </c>
      <c r="G38" s="4">
        <v>0</v>
      </c>
      <c r="H38" s="8">
        <v>1069555.2</v>
      </c>
      <c r="I38" s="9"/>
      <c r="J38" s="5">
        <f t="shared" si="3"/>
        <v>4.6140244682685347</v>
      </c>
      <c r="K38" s="5">
        <f t="shared" si="4"/>
        <v>4.6411103901724013</v>
      </c>
      <c r="M38" s="5"/>
      <c r="N38" s="5"/>
    </row>
    <row r="39" spans="1:14" x14ac:dyDescent="0.25">
      <c r="A39" s="1">
        <v>2014</v>
      </c>
      <c r="B39" s="2">
        <v>79419000</v>
      </c>
      <c r="C39" s="2">
        <v>77242815</v>
      </c>
      <c r="D39" s="2"/>
      <c r="E39" s="8">
        <f>400440234-F39-H39</f>
        <v>398023092</v>
      </c>
      <c r="F39" s="8">
        <f>755000+662000</f>
        <v>1417000</v>
      </c>
      <c r="G39" s="4">
        <v>0</v>
      </c>
      <c r="H39" s="8">
        <v>1000142</v>
      </c>
      <c r="I39" s="8"/>
      <c r="J39" s="5">
        <f t="shared" si="3"/>
        <v>5.0421213311676043</v>
      </c>
      <c r="K39" s="5">
        <f t="shared" si="4"/>
        <v>5.1841745280774658</v>
      </c>
      <c r="M39" s="5"/>
      <c r="N39" s="5"/>
    </row>
    <row r="40" spans="1:14" x14ac:dyDescent="0.25">
      <c r="A40" s="1">
        <v>2015</v>
      </c>
      <c r="B40" s="2">
        <f>SUM(B61:B72)</f>
        <v>69703498</v>
      </c>
      <c r="C40" s="2">
        <f>SUM(C61:C72)</f>
        <v>69041467</v>
      </c>
      <c r="D40" s="2"/>
      <c r="E40" s="8">
        <f>+SUM('[1]Dec 2015'!$C$34:$N$34)-F40-H40</f>
        <v>353384489.92000002</v>
      </c>
      <c r="F40" s="8">
        <f>+SUM('[1]Dec 2015'!$C$30:$N$31)</f>
        <v>1208059.7304175</v>
      </c>
      <c r="G40" s="4">
        <v>0</v>
      </c>
      <c r="H40" s="8">
        <f>+SUM('[1]Dec 2015'!$C$32:$N$32)</f>
        <v>1022023.4</v>
      </c>
      <c r="I40" s="9"/>
      <c r="J40" s="5">
        <f t="shared" si="3"/>
        <v>5.1018181763333814</v>
      </c>
      <c r="K40" s="5">
        <f t="shared" ref="K40:K44" si="5">(E40+F40+G40+H40)/C40+I40</f>
        <v>5.1507389472245348</v>
      </c>
      <c r="M40" s="5"/>
      <c r="N40" s="5"/>
    </row>
    <row r="41" spans="1:14" x14ac:dyDescent="0.25">
      <c r="A41" s="1">
        <v>2016</v>
      </c>
      <c r="B41" s="2"/>
      <c r="C41" s="2">
        <f>SUM(C73:C84)</f>
        <v>67619722</v>
      </c>
      <c r="D41" s="2"/>
      <c r="E41" s="8">
        <f>+SUM('[2]Dec 2016'!$C$35:$N$35)-F41-H41</f>
        <v>330275776.74000007</v>
      </c>
      <c r="F41" s="8">
        <f>+SUM('[2]Dec 2016'!$C30:$N$31)</f>
        <v>1365185.3699999999</v>
      </c>
      <c r="G41" s="4">
        <v>0</v>
      </c>
      <c r="H41" s="8">
        <f>+SUM('[2]Dec 2016'!$C$32:$N$32)</f>
        <v>1257615.8400000001</v>
      </c>
      <c r="I41" s="9"/>
      <c r="J41" s="5"/>
      <c r="K41" s="5">
        <f t="shared" si="5"/>
        <v>4.923098884523661</v>
      </c>
    </row>
    <row r="42" spans="1:14" x14ac:dyDescent="0.25">
      <c r="A42" s="1">
        <v>2017</v>
      </c>
      <c r="C42" s="13">
        <f>SUM(C85:C96)</f>
        <v>68021853</v>
      </c>
      <c r="E42" s="8">
        <f>+SUM('[3]Dec 2017'!$C$35:$N$35)-F42-H42</f>
        <v>330598349.46000004</v>
      </c>
      <c r="F42" s="8">
        <f>+SUM('[3]Dec 2017'!$C$30:$N$31)</f>
        <v>1110727.2614070831</v>
      </c>
      <c r="G42" s="4">
        <v>0</v>
      </c>
      <c r="H42" s="8">
        <f>+SUM('[3]Dec 2017'!$C$32:$N$32)</f>
        <v>1156212.8799999999</v>
      </c>
      <c r="K42" s="5">
        <f t="shared" si="5"/>
        <v>4.8935051740123443</v>
      </c>
    </row>
    <row r="43" spans="1:14" x14ac:dyDescent="0.25">
      <c r="A43" s="1">
        <v>2018</v>
      </c>
      <c r="C43" s="13">
        <f>SUM(C97:C108)</f>
        <v>71570459</v>
      </c>
      <c r="E43" s="8">
        <f>+SUM('[4]Dec 2018'!$D$35:$O$35)-F43-H43</f>
        <v>279950267.29000002</v>
      </c>
      <c r="F43" s="8">
        <f>+SUM('[4]Dec 2018'!$D$30:$O$31)</f>
        <v>910358.11012516636</v>
      </c>
      <c r="G43" s="4">
        <v>0</v>
      </c>
      <c r="H43" s="8">
        <f>+SUM('[4]Dec 2018'!$D$32:$O$32)</f>
        <v>1135896.5599999998</v>
      </c>
      <c r="K43" s="5">
        <f t="shared" si="5"/>
        <v>3.9401245416090624</v>
      </c>
    </row>
    <row r="44" spans="1:14" x14ac:dyDescent="0.25">
      <c r="A44" s="1">
        <v>2019</v>
      </c>
      <c r="C44" s="13">
        <f>SUM(C109:C120)</f>
        <v>69261273</v>
      </c>
      <c r="E44" s="8">
        <f>+SUM('[5]Dec 2019'!$D$35:$O$35)-F44-H44</f>
        <v>266656235.31000003</v>
      </c>
      <c r="F44" s="8">
        <f>+SUM('[5]Dec 2019'!$D$30:$O$31)</f>
        <v>840292.62872824608</v>
      </c>
      <c r="G44" s="4">
        <v>0</v>
      </c>
      <c r="H44" s="8">
        <f>+SUM('[5]Dec 2019'!$D$32:$O$32)</f>
        <v>1014661.8099999999</v>
      </c>
      <c r="K44" s="5">
        <f t="shared" si="5"/>
        <v>3.8767868119999509</v>
      </c>
    </row>
    <row r="45" spans="1:14" x14ac:dyDescent="0.25">
      <c r="A45" s="1">
        <v>2020</v>
      </c>
      <c r="C45" s="13">
        <f>SUM(C121:C125)</f>
        <v>27341141</v>
      </c>
      <c r="E45" s="8">
        <f>+SUM('[6]May 2020'!$K$35:$O$35)-F45-H45</f>
        <v>108844984.84</v>
      </c>
      <c r="F45" s="8">
        <f>+SUM('[6]May 2020'!$K$30:$O$31)</f>
        <v>333059.43102199899</v>
      </c>
      <c r="G45" s="4">
        <v>0</v>
      </c>
      <c r="H45" s="8">
        <f>+SUM('[6]May 2020'!$K$32:$O$32)</f>
        <v>419795.77999999997</v>
      </c>
      <c r="K45" s="5">
        <f>(E45+F45+G45+H45)/C45+I45</f>
        <v>4.0085320525219492</v>
      </c>
    </row>
    <row r="46" spans="1:14" x14ac:dyDescent="0.25">
      <c r="A46" s="1"/>
      <c r="C46" s="13"/>
      <c r="E46" s="8"/>
      <c r="F46" s="8"/>
      <c r="G46" s="4"/>
      <c r="H46" s="8"/>
      <c r="K46" s="5"/>
    </row>
    <row r="48" spans="1:14" x14ac:dyDescent="0.25">
      <c r="B48" s="3" t="s">
        <v>59</v>
      </c>
      <c r="D48" s="26"/>
    </row>
    <row r="49" spans="1:9" x14ac:dyDescent="0.25">
      <c r="A49" s="44">
        <v>41670</v>
      </c>
      <c r="B49" s="2">
        <v>7794954</v>
      </c>
      <c r="C49" s="2">
        <v>7313062</v>
      </c>
      <c r="D49" s="16">
        <f>Summary!B94</f>
        <v>4.6100000000000003</v>
      </c>
      <c r="E49" s="15">
        <f>Summary!E94</f>
        <v>4.7869944111949003</v>
      </c>
    </row>
    <row r="50" spans="1:9" x14ac:dyDescent="0.25">
      <c r="A50" s="44">
        <v>41698</v>
      </c>
      <c r="B50" s="2">
        <v>7208864</v>
      </c>
      <c r="C50" s="2">
        <v>6814213</v>
      </c>
      <c r="D50" s="16">
        <f>Summary!B95</f>
        <v>4.6050886235694932</v>
      </c>
      <c r="E50" s="15">
        <f>Summary!E95</f>
        <v>4.7869944111949003</v>
      </c>
    </row>
    <row r="51" spans="1:9" x14ac:dyDescent="0.25">
      <c r="A51" s="44">
        <v>41729</v>
      </c>
      <c r="B51" s="2">
        <v>7312487</v>
      </c>
      <c r="C51" s="2">
        <v>6961380</v>
      </c>
      <c r="D51" s="16">
        <f>Summary!B96</f>
        <v>4.6318469855621709</v>
      </c>
      <c r="E51" s="15">
        <f>Summary!E96</f>
        <v>4.8148239226666192</v>
      </c>
    </row>
    <row r="52" spans="1:9" x14ac:dyDescent="0.25">
      <c r="A52" s="44">
        <v>41759</v>
      </c>
      <c r="B52" s="2">
        <v>7008662</v>
      </c>
      <c r="C52" s="2">
        <v>6829676</v>
      </c>
      <c r="D52" s="16">
        <f>Summary!B97</f>
        <v>4.6330086054338091</v>
      </c>
      <c r="E52" s="15">
        <f>Summary!E97</f>
        <v>4.816015418519024</v>
      </c>
    </row>
    <row r="53" spans="1:9" x14ac:dyDescent="0.25">
      <c r="A53" s="44">
        <v>41790</v>
      </c>
      <c r="B53" s="2">
        <v>7172686</v>
      </c>
      <c r="C53" s="2">
        <v>6926787</v>
      </c>
      <c r="D53" s="16">
        <f>Summary!B98</f>
        <v>4.6675412736153721</v>
      </c>
      <c r="E53" s="15">
        <f>Summary!E98</f>
        <v>4.8519121803554288</v>
      </c>
    </row>
    <row r="54" spans="1:9" x14ac:dyDescent="0.25">
      <c r="A54" s="44">
        <v>41820</v>
      </c>
      <c r="B54" s="2">
        <v>6895885</v>
      </c>
      <c r="C54" s="2">
        <v>6554717</v>
      </c>
      <c r="D54" s="16">
        <f>Summary!B99</f>
        <v>4.7016486779768014</v>
      </c>
      <c r="E54" s="15">
        <f>Summary!E99</f>
        <v>4.8873668808995934</v>
      </c>
    </row>
    <row r="55" spans="1:9" x14ac:dyDescent="0.25">
      <c r="A55" s="44">
        <v>41851</v>
      </c>
      <c r="B55" s="2">
        <v>5597109</v>
      </c>
      <c r="C55" s="2">
        <v>5510197</v>
      </c>
      <c r="D55" s="16">
        <f>Summary!B100</f>
        <v>4.7010600350820582</v>
      </c>
      <c r="E55" s="15">
        <f>Summary!E100</f>
        <v>4.8867567932245937</v>
      </c>
    </row>
    <row r="56" spans="1:9" x14ac:dyDescent="0.25">
      <c r="A56" s="44">
        <v>41882</v>
      </c>
      <c r="B56" s="2">
        <v>6155330</v>
      </c>
      <c r="C56" s="2">
        <v>5825104</v>
      </c>
      <c r="D56" s="16">
        <f>Summary!B101</f>
        <v>4.6793226079431784</v>
      </c>
      <c r="E56" s="15">
        <f>Summary!E101</f>
        <v>4.8641607151176496</v>
      </c>
    </row>
    <row r="57" spans="1:9" x14ac:dyDescent="0.25">
      <c r="A57" s="44">
        <v>41912</v>
      </c>
      <c r="B57" s="2">
        <v>5702899</v>
      </c>
      <c r="C57" s="2">
        <v>5536113</v>
      </c>
      <c r="D57" s="16">
        <f>Summary!B102</f>
        <v>4.7</v>
      </c>
      <c r="E57" s="15">
        <f>Summary!E102</f>
        <v>4.8886956749664217</v>
      </c>
    </row>
    <row r="58" spans="1:9" x14ac:dyDescent="0.25">
      <c r="A58" s="44">
        <v>41943</v>
      </c>
      <c r="B58" s="2">
        <v>5999003</v>
      </c>
      <c r="C58" s="2">
        <v>5830421</v>
      </c>
      <c r="D58" s="16">
        <f>Summary!B103</f>
        <v>4.75</v>
      </c>
      <c r="E58" s="15">
        <f>Summary!E103</f>
        <v>4.934453141227733</v>
      </c>
    </row>
    <row r="59" spans="1:9" x14ac:dyDescent="0.25">
      <c r="A59" s="44">
        <v>41973</v>
      </c>
      <c r="B59" s="2">
        <v>6286047</v>
      </c>
      <c r="C59" s="2">
        <v>6584982</v>
      </c>
      <c r="D59" s="16">
        <f>Summary!B104</f>
        <v>4.76</v>
      </c>
      <c r="E59" s="15">
        <f>Summary!E104</f>
        <v>4.943571214512902</v>
      </c>
    </row>
    <row r="60" spans="1:9" x14ac:dyDescent="0.25">
      <c r="A60" s="44">
        <v>42004</v>
      </c>
      <c r="B60" s="2">
        <v>6285290</v>
      </c>
      <c r="C60" s="2">
        <v>6556163</v>
      </c>
      <c r="D60" s="16">
        <f>Summary!B105</f>
        <v>5.04</v>
      </c>
      <c r="E60" s="15">
        <f>Summary!E105</f>
        <v>5.2412760550939597</v>
      </c>
    </row>
    <row r="61" spans="1:9" x14ac:dyDescent="0.25">
      <c r="A61" s="44">
        <v>42035</v>
      </c>
      <c r="B61" s="2">
        <v>6271916</v>
      </c>
      <c r="C61" s="2">
        <v>6128839</v>
      </c>
      <c r="D61" s="16">
        <f>Summary!B106</f>
        <v>5.1371806357431291</v>
      </c>
      <c r="E61" s="15">
        <f>Summary!E106</f>
        <v>5.2624738477935544</v>
      </c>
      <c r="I61" s="13"/>
    </row>
    <row r="62" spans="1:9" x14ac:dyDescent="0.25">
      <c r="A62" s="44">
        <v>42063</v>
      </c>
      <c r="B62" s="2">
        <v>5774832</v>
      </c>
      <c r="C62" s="2">
        <v>5604479</v>
      </c>
      <c r="D62" s="16">
        <f>Summary!B107</f>
        <v>5.2265190163887292</v>
      </c>
      <c r="E62" s="15">
        <f>Summary!E107</f>
        <v>5.3395810191252346</v>
      </c>
      <c r="G62" s="16"/>
      <c r="H62" s="16"/>
      <c r="I62" s="13"/>
    </row>
    <row r="63" spans="1:9" x14ac:dyDescent="0.25">
      <c r="A63" s="44">
        <v>42094</v>
      </c>
      <c r="B63" s="2">
        <v>6254406</v>
      </c>
      <c r="C63" s="2">
        <v>6068884</v>
      </c>
      <c r="D63" s="16">
        <f>Summary!B108</f>
        <v>5.2221927561189272</v>
      </c>
      <c r="E63" s="15">
        <f>Summary!E108</f>
        <v>5.3113656274763761</v>
      </c>
      <c r="G63" s="16"/>
      <c r="H63" s="16"/>
      <c r="I63" s="13"/>
    </row>
    <row r="64" spans="1:9" x14ac:dyDescent="0.25">
      <c r="A64" s="44">
        <v>42124</v>
      </c>
      <c r="B64" s="2">
        <v>5947215</v>
      </c>
      <c r="C64" s="2">
        <v>5772186</v>
      </c>
      <c r="D64" s="16">
        <f>Summary!B109</f>
        <v>5.22115382558896</v>
      </c>
      <c r="E64" s="15">
        <f>Summary!E109</f>
        <v>5.2991114529179546</v>
      </c>
      <c r="G64" s="16"/>
      <c r="H64" s="16"/>
      <c r="I64" s="13"/>
    </row>
    <row r="65" spans="1:9" x14ac:dyDescent="0.25">
      <c r="A65" s="44">
        <v>42155</v>
      </c>
      <c r="B65" s="2">
        <v>5899528</v>
      </c>
      <c r="C65" s="2">
        <v>6122045</v>
      </c>
      <c r="D65" s="16">
        <f>Summary!B110</f>
        <v>5.1980316504789998</v>
      </c>
      <c r="E65" s="15">
        <f>Summary!E110</f>
        <v>5.2667016506059516</v>
      </c>
      <c r="G65" s="16"/>
      <c r="H65" s="16"/>
      <c r="I65" s="13"/>
    </row>
    <row r="66" spans="1:9" x14ac:dyDescent="0.25">
      <c r="A66" s="44">
        <v>42185</v>
      </c>
      <c r="B66" s="2">
        <v>6122558</v>
      </c>
      <c r="C66" s="2">
        <v>6118609</v>
      </c>
      <c r="D66" s="16">
        <f>Summary!B111</f>
        <v>5.1153435128473204</v>
      </c>
      <c r="E66" s="15">
        <f>Summary!E111</f>
        <v>5.1179797336629429</v>
      </c>
      <c r="G66" s="16"/>
      <c r="H66" s="16"/>
      <c r="I66" s="13"/>
    </row>
    <row r="67" spans="1:9" x14ac:dyDescent="0.25">
      <c r="A67" s="44">
        <v>42216</v>
      </c>
      <c r="B67" s="2">
        <v>6033322</v>
      </c>
      <c r="C67" s="2">
        <v>5867454</v>
      </c>
      <c r="D67" s="16">
        <f>Summary!B112</f>
        <v>5.0559654878257225</v>
      </c>
      <c r="E67" s="15">
        <f>Summary!E112</f>
        <v>5.0411931686324394</v>
      </c>
      <c r="G67" s="16"/>
      <c r="H67" s="16"/>
      <c r="I67" s="13"/>
    </row>
    <row r="68" spans="1:9" x14ac:dyDescent="0.25">
      <c r="A68" s="44">
        <v>42247</v>
      </c>
      <c r="B68" s="2">
        <v>5784491</v>
      </c>
      <c r="C68" s="2">
        <v>5715863</v>
      </c>
      <c r="D68" s="16">
        <f>Summary!B113</f>
        <v>5.0798849201220992</v>
      </c>
      <c r="E68" s="15">
        <f>Summary!E113</f>
        <v>5.0376845327660682</v>
      </c>
      <c r="G68" s="16"/>
      <c r="H68" s="16"/>
      <c r="I68" s="13"/>
    </row>
    <row r="69" spans="1:9" x14ac:dyDescent="0.25">
      <c r="A69" s="44">
        <v>42277</v>
      </c>
      <c r="B69" s="2">
        <v>5582666</v>
      </c>
      <c r="C69" s="2">
        <v>5611137</v>
      </c>
      <c r="D69" s="16">
        <f>Summary!B114</f>
        <v>5.1164337168978573</v>
      </c>
      <c r="E69" s="15">
        <f>Summary!E114</f>
        <v>5.0451392080987558</v>
      </c>
      <c r="G69" s="16"/>
      <c r="H69" s="16"/>
      <c r="I69" s="13"/>
    </row>
    <row r="70" spans="1:9" x14ac:dyDescent="0.25">
      <c r="A70" s="44">
        <v>42308</v>
      </c>
      <c r="B70" s="2">
        <v>4623954</v>
      </c>
      <c r="C70" s="2">
        <v>4892612</v>
      </c>
      <c r="D70" s="16">
        <f>Summary!B115</f>
        <v>5.2196863374901126</v>
      </c>
      <c r="E70" s="15">
        <f>Summary!E115</f>
        <v>5.0988046506886855</v>
      </c>
      <c r="G70" s="16"/>
      <c r="H70" s="16"/>
      <c r="I70" s="13"/>
    </row>
    <row r="71" spans="1:9" x14ac:dyDescent="0.25">
      <c r="A71" s="44">
        <v>42338</v>
      </c>
      <c r="B71" s="2">
        <v>5753052</v>
      </c>
      <c r="C71" s="2">
        <v>5775080</v>
      </c>
      <c r="D71" s="16">
        <f>Summary!B116</f>
        <v>5.256547316923359</v>
      </c>
      <c r="E71" s="15">
        <f>Summary!E116</f>
        <v>5.1297251737343057</v>
      </c>
      <c r="G71" s="16"/>
      <c r="H71" s="16"/>
      <c r="I71" s="13"/>
    </row>
    <row r="72" spans="1:9" x14ac:dyDescent="0.25">
      <c r="A72" s="44">
        <v>42369</v>
      </c>
      <c r="B72" s="2">
        <v>5655558</v>
      </c>
      <c r="C72" s="2">
        <v>5364279</v>
      </c>
      <c r="D72" s="16">
        <f>Summary!B117</f>
        <v>5.244695007644812</v>
      </c>
      <c r="E72" s="15">
        <f>Summary!E117</f>
        <v>5.1507389472245348</v>
      </c>
    </row>
    <row r="73" spans="1:9" x14ac:dyDescent="0.25">
      <c r="A73" s="44">
        <v>42400</v>
      </c>
      <c r="B73" s="2">
        <v>6053949</v>
      </c>
      <c r="C73" s="2">
        <v>5824648</v>
      </c>
      <c r="D73" s="16">
        <f>Summary!B118</f>
        <v>5.2064570898669311</v>
      </c>
      <c r="E73" s="15">
        <f>Summary!E118</f>
        <v>5.1088698253101779</v>
      </c>
    </row>
    <row r="74" spans="1:9" x14ac:dyDescent="0.25">
      <c r="A74" s="44">
        <v>42429</v>
      </c>
      <c r="B74" s="2">
        <v>5428030</v>
      </c>
      <c r="C74" s="2">
        <f>4983380+174824</f>
        <v>5158204</v>
      </c>
      <c r="D74" s="16">
        <f>Summary!B119</f>
        <v>5.1576967467490134</v>
      </c>
      <c r="E74" s="15">
        <f>Summary!E119</f>
        <v>5.0630045220431894</v>
      </c>
    </row>
    <row r="75" spans="1:9" x14ac:dyDescent="0.25">
      <c r="A75" s="44">
        <v>42460</v>
      </c>
      <c r="B75" s="2">
        <v>6082713</v>
      </c>
      <c r="C75" s="2">
        <f>5580908+208796</f>
        <v>5789704</v>
      </c>
      <c r="D75" s="16">
        <f>Summary!B120</f>
        <v>4.7530703783385286</v>
      </c>
      <c r="E75" s="15">
        <f>Summary!E120</f>
        <v>5.0738958065994142</v>
      </c>
    </row>
    <row r="76" spans="1:9" x14ac:dyDescent="0.25">
      <c r="A76" s="44">
        <v>42490</v>
      </c>
      <c r="B76" s="2">
        <v>5951978</v>
      </c>
      <c r="C76" s="2">
        <f>5706482+138092</f>
        <v>5844574</v>
      </c>
      <c r="D76" s="16">
        <f>Summary!B121</f>
        <v>4.3326309840566495</v>
      </c>
      <c r="E76" s="15">
        <f>Summary!E121</f>
        <v>5.0450007310654357</v>
      </c>
    </row>
    <row r="77" spans="1:9" x14ac:dyDescent="0.25">
      <c r="A77" s="44">
        <v>42521</v>
      </c>
      <c r="B77" s="2">
        <v>5928418</v>
      </c>
      <c r="C77" s="2">
        <v>5696152</v>
      </c>
      <c r="D77" s="16">
        <f>Summary!B122</f>
        <v>3.8077023251173623</v>
      </c>
      <c r="E77" s="15">
        <f>Summary!E122</f>
        <v>5.0561003002841725</v>
      </c>
    </row>
    <row r="78" spans="1:9" x14ac:dyDescent="0.25">
      <c r="A78" s="44">
        <v>42551</v>
      </c>
      <c r="C78" s="2">
        <v>5636461</v>
      </c>
      <c r="D78" s="16">
        <f>Summary!B123</f>
        <v>3.7896722607737816</v>
      </c>
      <c r="E78" s="15">
        <f>Summary!E123</f>
        <v>5.1553882388883778</v>
      </c>
    </row>
    <row r="79" spans="1:9" x14ac:dyDescent="0.25">
      <c r="A79" s="44">
        <v>42582</v>
      </c>
      <c r="C79" s="2">
        <v>5724137</v>
      </c>
      <c r="D79" s="16">
        <f>Summary!B124</f>
        <v>0</v>
      </c>
      <c r="E79" s="15">
        <f>Summary!E124</f>
        <v>5.1818778468553912</v>
      </c>
    </row>
    <row r="80" spans="1:9" x14ac:dyDescent="0.25">
      <c r="A80" s="44">
        <v>42613</v>
      </c>
      <c r="C80" s="2">
        <v>5306371</v>
      </c>
      <c r="D80" s="16">
        <f>Summary!B125</f>
        <v>0</v>
      </c>
      <c r="E80" s="15">
        <f>Summary!E125</f>
        <v>5.1910007601887544</v>
      </c>
    </row>
    <row r="81" spans="1:5" x14ac:dyDescent="0.25">
      <c r="A81" s="44">
        <v>42643</v>
      </c>
      <c r="C81" s="2">
        <v>5652523</v>
      </c>
      <c r="D81" s="16">
        <f>Summary!B126</f>
        <v>0</v>
      </c>
      <c r="E81" s="15">
        <f>Summary!E126</f>
        <v>5.1851113856901421</v>
      </c>
    </row>
    <row r="82" spans="1:5" x14ac:dyDescent="0.25">
      <c r="A82" s="44">
        <v>42674</v>
      </c>
      <c r="C82" s="2">
        <v>5824928</v>
      </c>
      <c r="D82" s="16">
        <f>Summary!B127</f>
        <v>0</v>
      </c>
      <c r="E82" s="15">
        <f>Summary!E127</f>
        <v>5.0641323869681942</v>
      </c>
    </row>
    <row r="83" spans="1:5" x14ac:dyDescent="0.25">
      <c r="A83" s="44">
        <v>42704</v>
      </c>
      <c r="C83" s="2">
        <v>5592998</v>
      </c>
      <c r="D83" s="16">
        <f>Summary!B128</f>
        <v>0</v>
      </c>
      <c r="E83" s="15">
        <f>Summary!E128</f>
        <v>4.9063635371005603</v>
      </c>
    </row>
    <row r="84" spans="1:5" x14ac:dyDescent="0.25">
      <c r="A84" s="44">
        <v>42735</v>
      </c>
      <c r="C84" s="2">
        <v>5569022</v>
      </c>
      <c r="D84" s="16">
        <f>Summary!B129</f>
        <v>0</v>
      </c>
      <c r="E84" s="15">
        <f>Summary!E129</f>
        <v>4.9230988845236601</v>
      </c>
    </row>
    <row r="85" spans="1:5" x14ac:dyDescent="0.25">
      <c r="A85" s="44">
        <v>42766</v>
      </c>
      <c r="C85" s="2">
        <v>5308940</v>
      </c>
      <c r="D85" s="16">
        <f>Summary!B130</f>
        <v>0</v>
      </c>
      <c r="E85" s="15">
        <f>Summary!E130</f>
        <v>4.9692444799203832</v>
      </c>
    </row>
    <row r="86" spans="1:5" x14ac:dyDescent="0.25">
      <c r="A86" s="44">
        <v>42794</v>
      </c>
      <c r="C86" s="2">
        <v>4824753</v>
      </c>
      <c r="D86" s="16">
        <f>Summary!B131</f>
        <v>0</v>
      </c>
      <c r="E86" s="15">
        <f>Summary!E131</f>
        <v>4.8410981679157024</v>
      </c>
    </row>
    <row r="87" spans="1:5" x14ac:dyDescent="0.25">
      <c r="A87" s="44">
        <v>42825</v>
      </c>
      <c r="C87" s="2">
        <v>5433974</v>
      </c>
      <c r="D87" s="16">
        <f>Summary!B132</f>
        <v>0</v>
      </c>
      <c r="E87" s="15">
        <f>Summary!E132</f>
        <v>5.0815762477336959</v>
      </c>
    </row>
    <row r="88" spans="1:5" x14ac:dyDescent="0.25">
      <c r="A88" s="44">
        <v>42855</v>
      </c>
      <c r="C88" s="2">
        <v>5611950</v>
      </c>
      <c r="D88" s="16">
        <f>Summary!B133</f>
        <v>0</v>
      </c>
      <c r="E88" s="15">
        <f>Summary!E133</f>
        <v>5.0862012987508489</v>
      </c>
    </row>
    <row r="89" spans="1:5" x14ac:dyDescent="0.25">
      <c r="A89" s="44">
        <v>42886</v>
      </c>
      <c r="C89" s="2">
        <v>5582867</v>
      </c>
      <c r="D89" s="16">
        <f>Summary!B134</f>
        <v>0</v>
      </c>
      <c r="E89" s="15">
        <f>Summary!E134</f>
        <v>5.0947857116607507</v>
      </c>
    </row>
    <row r="90" spans="1:5" x14ac:dyDescent="0.25">
      <c r="A90" s="44">
        <v>42916</v>
      </c>
      <c r="C90" s="2">
        <v>5241891</v>
      </c>
      <c r="D90" s="16">
        <f>Summary!B135</f>
        <v>0</v>
      </c>
      <c r="E90" s="15">
        <f>Summary!E135</f>
        <v>5.159100927911787</v>
      </c>
    </row>
    <row r="91" spans="1:5" x14ac:dyDescent="0.25">
      <c r="A91" s="44">
        <v>42947</v>
      </c>
      <c r="C91" s="2">
        <f>+'[3]Aug 2017'!$M$38</f>
        <v>5315779</v>
      </c>
      <c r="D91" s="16">
        <f>Summary!B136</f>
        <v>0</v>
      </c>
      <c r="E91" s="15">
        <f>Summary!E136</f>
        <v>5.2109707686282301</v>
      </c>
    </row>
    <row r="92" spans="1:5" x14ac:dyDescent="0.25">
      <c r="A92" s="44">
        <v>42978</v>
      </c>
      <c r="C92" s="2">
        <f>+'[3]Aug 2017'!$N$38</f>
        <v>5719570</v>
      </c>
      <c r="D92" s="16">
        <f>Summary!B137</f>
        <v>0</v>
      </c>
      <c r="E92" s="15">
        <f>Summary!E137</f>
        <v>5.1505524353854675</v>
      </c>
    </row>
    <row r="93" spans="1:5" x14ac:dyDescent="0.25">
      <c r="A93" s="44">
        <v>43008</v>
      </c>
      <c r="C93" s="2">
        <f>+'[3]Sep 2017'!$N$38</f>
        <v>5955473</v>
      </c>
      <c r="D93" s="16">
        <f>Summary!B138</f>
        <v>0</v>
      </c>
      <c r="E93" s="15">
        <f>Summary!E138</f>
        <v>5.0979584492351222</v>
      </c>
    </row>
    <row r="94" spans="1:5" x14ac:dyDescent="0.25">
      <c r="A94" s="44">
        <v>43039</v>
      </c>
      <c r="C94" s="2">
        <f>+'[3]Oct 2017'!$N$38</f>
        <v>5847685</v>
      </c>
      <c r="E94" s="15">
        <f>Summary!E139</f>
        <v>5.0950761717880741</v>
      </c>
    </row>
    <row r="95" spans="1:5" x14ac:dyDescent="0.25">
      <c r="A95" s="44">
        <v>43069</v>
      </c>
      <c r="C95" s="2">
        <f>+'[3]Nov 2017'!$N$38</f>
        <v>6468492</v>
      </c>
      <c r="E95" s="15">
        <f>Summary!E140</f>
        <v>4.9737666963187124</v>
      </c>
    </row>
    <row r="96" spans="1:5" x14ac:dyDescent="0.25">
      <c r="A96" s="44">
        <v>43100</v>
      </c>
      <c r="C96" s="2">
        <f>+'[3]Dec 2017'!$N$38</f>
        <v>6710479</v>
      </c>
      <c r="E96" s="15">
        <f>Summary!E141</f>
        <v>4.8935051740123443</v>
      </c>
    </row>
    <row r="97" spans="1:5" x14ac:dyDescent="0.25">
      <c r="A97" s="44">
        <v>43131</v>
      </c>
      <c r="C97" s="2">
        <f>+'[4]Jan 2018'!$N$38</f>
        <v>6629411</v>
      </c>
      <c r="E97" s="15">
        <f>Summary!E142</f>
        <v>4.7868600180087277</v>
      </c>
    </row>
    <row r="98" spans="1:5" x14ac:dyDescent="0.25">
      <c r="A98" s="44">
        <v>43159</v>
      </c>
      <c r="C98" s="2">
        <f>+'[4]Feb 2018'!$N$38</f>
        <v>5936266</v>
      </c>
      <c r="E98" s="15">
        <f>Summary!E143</f>
        <v>4.8247880690958196</v>
      </c>
    </row>
    <row r="99" spans="1:5" x14ac:dyDescent="0.25">
      <c r="A99" s="44">
        <v>43190</v>
      </c>
      <c r="C99" s="2">
        <f>+'[4]Mar 2018'!$O$38</f>
        <v>6569137</v>
      </c>
      <c r="E99" s="15">
        <f>Summary!E144</f>
        <v>4.6754651569450791</v>
      </c>
    </row>
    <row r="100" spans="1:5" x14ac:dyDescent="0.25">
      <c r="A100" s="44">
        <v>43220</v>
      </c>
      <c r="C100" s="2">
        <f>+'[4]Apr 2018'!$O$38</f>
        <v>6081411</v>
      </c>
      <c r="E100" s="15">
        <f>Summary!E145</f>
        <v>4.5773771148318998</v>
      </c>
    </row>
    <row r="101" spans="1:5" x14ac:dyDescent="0.25">
      <c r="A101" s="44">
        <v>43251</v>
      </c>
      <c r="C101" s="2">
        <f>+'[4]May 2018'!$O$38</f>
        <v>5947217</v>
      </c>
      <c r="E101" s="15">
        <f>Summary!E146</f>
        <v>4.5109983336195896</v>
      </c>
    </row>
    <row r="102" spans="1:5" x14ac:dyDescent="0.25">
      <c r="A102" s="45">
        <v>43281</v>
      </c>
      <c r="C102" s="2">
        <f>+'[4]Jun 2018'!$O$38</f>
        <v>5565763</v>
      </c>
      <c r="E102" s="15">
        <f>Summary!E147</f>
        <v>4.3720829382293713</v>
      </c>
    </row>
    <row r="103" spans="1:5" x14ac:dyDescent="0.25">
      <c r="A103" s="44">
        <v>43312</v>
      </c>
      <c r="C103" s="2">
        <f>+'[4]Jul 2018'!$O$38</f>
        <v>5674895</v>
      </c>
      <c r="E103" s="15">
        <f>Summary!E148</f>
        <v>4.2616224851180613</v>
      </c>
    </row>
    <row r="104" spans="1:5" x14ac:dyDescent="0.25">
      <c r="A104" s="45">
        <v>43343</v>
      </c>
      <c r="C104" s="2">
        <f>+'[4]Aug 2018'!$O$38</f>
        <v>5565230</v>
      </c>
      <c r="E104" s="15">
        <f>Summary!E149</f>
        <v>4.2077847660971672</v>
      </c>
    </row>
    <row r="105" spans="1:5" x14ac:dyDescent="0.25">
      <c r="A105" s="44">
        <v>43373</v>
      </c>
      <c r="C105" s="2">
        <f>+'[4]Sep 2018'!$O$38</f>
        <v>5462871</v>
      </c>
      <c r="E105" s="15">
        <f>Summary!E150</f>
        <v>4.1763756736958033</v>
      </c>
    </row>
    <row r="106" spans="1:5" x14ac:dyDescent="0.25">
      <c r="A106" s="45">
        <v>43404</v>
      </c>
      <c r="C106" s="2">
        <f>+'[4]Oct 2018'!$O$38</f>
        <v>5984745</v>
      </c>
      <c r="E106" s="15">
        <f>Summary!E151</f>
        <v>4.145611093561139</v>
      </c>
    </row>
    <row r="107" spans="1:5" x14ac:dyDescent="0.25">
      <c r="A107" s="44">
        <v>43434</v>
      </c>
      <c r="C107" s="2">
        <f>+'[4]Nov 2018'!$O$38</f>
        <v>5968277</v>
      </c>
      <c r="E107" s="15">
        <f>Summary!E152</f>
        <v>4.0779561559201465</v>
      </c>
    </row>
    <row r="108" spans="1:5" x14ac:dyDescent="0.25">
      <c r="A108" s="45">
        <v>43465</v>
      </c>
      <c r="C108" s="2">
        <f>+'[4]Dec 2018'!$O$38</f>
        <v>6185236</v>
      </c>
      <c r="E108" s="15">
        <f>Summary!E153</f>
        <v>3.9401245416090616</v>
      </c>
    </row>
    <row r="109" spans="1:5" x14ac:dyDescent="0.25">
      <c r="A109" s="44">
        <v>43496</v>
      </c>
      <c r="C109" s="2">
        <f>+'[5]Jan 2019'!$O$38</f>
        <v>5947946</v>
      </c>
      <c r="E109" s="15">
        <f>Summary!E154</f>
        <v>3.9522085234635198</v>
      </c>
    </row>
    <row r="110" spans="1:5" x14ac:dyDescent="0.25">
      <c r="A110" s="45">
        <v>43524</v>
      </c>
      <c r="C110" s="2">
        <f>+'[5]Feb 2019'!$O$38</f>
        <v>5475311</v>
      </c>
      <c r="E110" s="15">
        <f>Summary!E155</f>
        <v>3.9727825161595378</v>
      </c>
    </row>
    <row r="111" spans="1:5" x14ac:dyDescent="0.25">
      <c r="A111" s="45">
        <v>43555</v>
      </c>
      <c r="C111" s="2">
        <f>+'[5]Mar 2019'!$O$38</f>
        <v>6160768</v>
      </c>
      <c r="E111" s="15">
        <f>Summary!E156</f>
        <v>3.9511191894171054</v>
      </c>
    </row>
    <row r="112" spans="1:5" x14ac:dyDescent="0.25">
      <c r="A112" s="45">
        <v>43585</v>
      </c>
      <c r="C112" s="2">
        <f>+'[5]Apr 2019'!$O$38</f>
        <v>5928781</v>
      </c>
      <c r="E112" s="15">
        <f>Summary!E157</f>
        <v>3.9571121398602624</v>
      </c>
    </row>
    <row r="113" spans="1:5" x14ac:dyDescent="0.25">
      <c r="A113" s="45">
        <v>43616</v>
      </c>
      <c r="C113" s="2">
        <f>+'[5]May 2019'!$O$38</f>
        <v>6451141</v>
      </c>
      <c r="E113" s="15">
        <f>Summary!E158</f>
        <v>3.8980127953085666</v>
      </c>
    </row>
    <row r="114" spans="1:5" x14ac:dyDescent="0.25">
      <c r="A114" s="45">
        <v>43646</v>
      </c>
      <c r="C114" s="2">
        <f>+'[5]Jun 2019'!$O$38</f>
        <v>5770236</v>
      </c>
      <c r="E114" s="15">
        <f>Summary!E159</f>
        <v>3.8964293167649036</v>
      </c>
    </row>
    <row r="115" spans="1:5" x14ac:dyDescent="0.25">
      <c r="A115" s="45">
        <v>43677</v>
      </c>
      <c r="C115" s="2">
        <f>+'[5]Jul 2019'!$O$38</f>
        <v>5869748</v>
      </c>
      <c r="E115" s="15">
        <f>Summary!E160</f>
        <v>3.8868251164491552</v>
      </c>
    </row>
    <row r="116" spans="1:5" x14ac:dyDescent="0.25">
      <c r="A116" s="45">
        <v>43708</v>
      </c>
      <c r="C116" s="2">
        <f>+'[5]Aug 2019'!$O$38</f>
        <v>5850837</v>
      </c>
      <c r="E116" s="15">
        <f>Summary!E161</f>
        <v>3.8440504169623875</v>
      </c>
    </row>
    <row r="117" spans="1:5" x14ac:dyDescent="0.25">
      <c r="A117" s="45">
        <v>43738</v>
      </c>
      <c r="C117" s="2">
        <f>+'[5]Sep 2019'!$O$38</f>
        <v>5370654</v>
      </c>
      <c r="E117" s="15">
        <f>Summary!E162</f>
        <v>3.8135060725915033</v>
      </c>
    </row>
    <row r="118" spans="1:5" x14ac:dyDescent="0.25">
      <c r="A118" s="45">
        <v>43769</v>
      </c>
      <c r="C118" s="2">
        <f>+'[5]Oct 2019'!$O$38</f>
        <v>5236460</v>
      </c>
      <c r="E118" s="15">
        <f>Summary!E163</f>
        <v>3.7887514708638497</v>
      </c>
    </row>
    <row r="119" spans="1:5" x14ac:dyDescent="0.25">
      <c r="A119" s="45">
        <v>43799</v>
      </c>
      <c r="C119" s="2">
        <f>+'[5]Nov 2019'!$O$38</f>
        <v>5674968</v>
      </c>
      <c r="E119" s="15">
        <f>Summary!E164</f>
        <v>3.7871815632564543</v>
      </c>
    </row>
    <row r="120" spans="1:5" x14ac:dyDescent="0.25">
      <c r="A120" s="45">
        <v>43830</v>
      </c>
      <c r="C120" s="2">
        <f>+'[5]Dec 2019'!$O$38</f>
        <v>5524423</v>
      </c>
      <c r="E120" s="15">
        <f>Summary!E165</f>
        <v>3.87678681199995</v>
      </c>
    </row>
    <row r="121" spans="1:5" x14ac:dyDescent="0.25">
      <c r="A121" s="45">
        <v>43861</v>
      </c>
      <c r="C121" s="2">
        <f>+'[6]Jan 2020'!$O$38</f>
        <v>5726007</v>
      </c>
      <c r="E121" s="15">
        <f>Summary!E166</f>
        <v>3.833158852804349</v>
      </c>
    </row>
    <row r="122" spans="1:5" x14ac:dyDescent="0.25">
      <c r="A122" s="45">
        <v>43890</v>
      </c>
      <c r="C122" s="2">
        <f>+'[6]Feb 2020'!$O$38</f>
        <v>5139045</v>
      </c>
      <c r="E122" s="15">
        <f>Summary!E167</f>
        <v>3.7855742738289395</v>
      </c>
    </row>
    <row r="123" spans="1:5" x14ac:dyDescent="0.25">
      <c r="A123" s="45">
        <v>43921</v>
      </c>
      <c r="C123" s="2">
        <f>+'[6]Mar 2020'!$O$38</f>
        <v>5596194</v>
      </c>
      <c r="E123" s="15">
        <f>Summary!E168</f>
        <v>3.8466495359834267</v>
      </c>
    </row>
    <row r="124" spans="1:5" x14ac:dyDescent="0.25">
      <c r="A124" s="45">
        <v>43951</v>
      </c>
      <c r="C124" s="2">
        <f>+'[6]Apr 2020'!$O$38</f>
        <v>5416928</v>
      </c>
      <c r="E124" s="15">
        <f>Summary!E169</f>
        <v>3.8229347890495418</v>
      </c>
    </row>
    <row r="125" spans="1:5" x14ac:dyDescent="0.25">
      <c r="A125" s="45">
        <v>43982</v>
      </c>
      <c r="C125" s="2">
        <f>+'[6]May 2020'!$O$38</f>
        <v>5462967</v>
      </c>
      <c r="E125" s="15">
        <f>Summary!E170</f>
        <v>3.8611799133552096</v>
      </c>
    </row>
  </sheetData>
  <pageMargins left="1.2" right="0.7" top="0.75" bottom="0.75" header="0.3" footer="0.3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6"/>
  <sheetViews>
    <sheetView topLeftCell="A106" workbookViewId="0">
      <selection activeCell="I45" sqref="I45"/>
    </sheetView>
  </sheetViews>
  <sheetFormatPr defaultRowHeight="15" x14ac:dyDescent="0.25"/>
  <cols>
    <col min="1" max="1" width="12" style="3" customWidth="1"/>
    <col min="2" max="2" width="13.28515625" style="3" bestFit="1" customWidth="1"/>
    <col min="3" max="3" width="11.7109375" style="3" customWidth="1"/>
    <col min="4" max="4" width="14.28515625" style="3" bestFit="1" customWidth="1"/>
    <col min="5" max="5" width="11.7109375" style="3" customWidth="1"/>
    <col min="6" max="6" width="11.140625" style="3" customWidth="1"/>
    <col min="7" max="8" width="9.140625" style="3"/>
    <col min="9" max="9" width="13.7109375" style="3" customWidth="1"/>
    <col min="10" max="10" width="12.28515625" style="3" bestFit="1" customWidth="1"/>
    <col min="11" max="11" width="17.85546875" style="3" bestFit="1" customWidth="1"/>
    <col min="12" max="13" width="12.5703125" style="3" bestFit="1" customWidth="1"/>
    <col min="14" max="16384" width="9.140625" style="3"/>
  </cols>
  <sheetData>
    <row r="1" spans="1:10" x14ac:dyDescent="0.25">
      <c r="A1" s="3" t="s">
        <v>20</v>
      </c>
    </row>
    <row r="2" spans="1:10" ht="33.75" customHeight="1" x14ac:dyDescent="0.25">
      <c r="B2" s="10" t="s">
        <v>19</v>
      </c>
      <c r="D2" s="10" t="s">
        <v>19</v>
      </c>
      <c r="I2" s="31" t="s">
        <v>73</v>
      </c>
    </row>
    <row r="3" spans="1:10" x14ac:dyDescent="0.25">
      <c r="B3" s="10"/>
      <c r="I3" s="32"/>
    </row>
    <row r="4" spans="1:10" x14ac:dyDescent="0.25">
      <c r="B4" s="10" t="s">
        <v>7</v>
      </c>
      <c r="D4" s="26" t="s">
        <v>8</v>
      </c>
      <c r="I4" s="3" t="s">
        <v>74</v>
      </c>
    </row>
    <row r="5" spans="1:10" x14ac:dyDescent="0.25">
      <c r="B5" s="33" t="s">
        <v>46</v>
      </c>
      <c r="D5" s="26" t="s">
        <v>18</v>
      </c>
      <c r="F5" s="29" t="s">
        <v>17</v>
      </c>
      <c r="I5" s="29" t="s">
        <v>17</v>
      </c>
      <c r="J5" s="29"/>
    </row>
    <row r="6" spans="1:10" hidden="1" x14ac:dyDescent="0.25">
      <c r="A6" s="1">
        <v>1981</v>
      </c>
      <c r="B6" s="2"/>
    </row>
    <row r="7" spans="1:10" hidden="1" x14ac:dyDescent="0.25">
      <c r="A7" s="1">
        <v>1982</v>
      </c>
      <c r="B7" s="2"/>
    </row>
    <row r="8" spans="1:10" hidden="1" x14ac:dyDescent="0.25">
      <c r="A8" s="1">
        <v>1983</v>
      </c>
      <c r="B8" s="2"/>
    </row>
    <row r="9" spans="1:10" x14ac:dyDescent="0.25">
      <c r="A9" s="1">
        <v>1984</v>
      </c>
      <c r="B9" s="2">
        <v>81135632.299999997</v>
      </c>
      <c r="D9" s="4">
        <v>276798839.83999979</v>
      </c>
      <c r="F9" s="5">
        <f t="shared" ref="F9:F38" si="0">D9/B9</f>
        <v>3.4115570680035212</v>
      </c>
    </row>
    <row r="10" spans="1:10" x14ac:dyDescent="0.25">
      <c r="A10" s="1">
        <v>1985</v>
      </c>
      <c r="B10" s="2">
        <v>79338914.219999999</v>
      </c>
      <c r="D10" s="4">
        <v>290076105.55000007</v>
      </c>
      <c r="F10" s="5">
        <f t="shared" si="0"/>
        <v>3.6561642972028068</v>
      </c>
    </row>
    <row r="11" spans="1:10" x14ac:dyDescent="0.25">
      <c r="A11" s="1">
        <v>1986</v>
      </c>
      <c r="B11" s="2">
        <v>74494419</v>
      </c>
      <c r="D11" s="4">
        <v>249953190.04000002</v>
      </c>
      <c r="F11" s="5">
        <f t="shared" si="0"/>
        <v>3.3553277332091147</v>
      </c>
    </row>
    <row r="12" spans="1:10" x14ac:dyDescent="0.25">
      <c r="A12" s="1">
        <v>1987</v>
      </c>
      <c r="B12" s="2">
        <v>66421173</v>
      </c>
      <c r="D12" s="4">
        <v>193808214.66</v>
      </c>
      <c r="F12" s="5">
        <f t="shared" si="0"/>
        <v>2.9178679915815398</v>
      </c>
    </row>
    <row r="13" spans="1:10" x14ac:dyDescent="0.25">
      <c r="A13" s="1">
        <v>1988</v>
      </c>
      <c r="B13" s="2">
        <v>64729329</v>
      </c>
      <c r="D13" s="4">
        <v>174211328.06</v>
      </c>
      <c r="F13" s="5">
        <f t="shared" si="0"/>
        <v>2.6913816464867111</v>
      </c>
    </row>
    <row r="14" spans="1:10" x14ac:dyDescent="0.25">
      <c r="A14" s="1">
        <v>1989</v>
      </c>
      <c r="B14" s="2">
        <v>56923090</v>
      </c>
      <c r="D14" s="4">
        <v>183131280.69999987</v>
      </c>
      <c r="F14" s="5">
        <f t="shared" si="0"/>
        <v>3.2171704083527417</v>
      </c>
    </row>
    <row r="15" spans="1:10" x14ac:dyDescent="0.25">
      <c r="A15" s="1">
        <v>1990</v>
      </c>
      <c r="B15" s="2">
        <v>51484195</v>
      </c>
      <c r="D15" s="4">
        <v>185838170.28999999</v>
      </c>
      <c r="F15" s="5">
        <f t="shared" si="0"/>
        <v>3.6096159275676736</v>
      </c>
    </row>
    <row r="16" spans="1:10" x14ac:dyDescent="0.25">
      <c r="A16" s="1">
        <v>1991</v>
      </c>
      <c r="B16" s="6">
        <v>47885156</v>
      </c>
      <c r="D16" s="4">
        <v>178158188.22000012</v>
      </c>
      <c r="F16" s="5">
        <f t="shared" si="0"/>
        <v>3.7205306007565291</v>
      </c>
    </row>
    <row r="17" spans="1:6" x14ac:dyDescent="0.25">
      <c r="A17" s="1">
        <v>1992</v>
      </c>
      <c r="B17" s="6">
        <v>65203726.939999998</v>
      </c>
      <c r="D17" s="4">
        <v>150700844.84</v>
      </c>
      <c r="F17" s="5">
        <f t="shared" si="0"/>
        <v>2.3112305371543229</v>
      </c>
    </row>
    <row r="18" spans="1:6" x14ac:dyDescent="0.25">
      <c r="A18" s="1">
        <v>1993</v>
      </c>
      <c r="B18" s="6">
        <v>45285386</v>
      </c>
      <c r="D18" s="4">
        <v>126952566.90000002</v>
      </c>
      <c r="F18" s="5">
        <f t="shared" si="0"/>
        <v>2.8033893075351068</v>
      </c>
    </row>
    <row r="19" spans="1:6" x14ac:dyDescent="0.25">
      <c r="A19" s="1">
        <v>1994</v>
      </c>
      <c r="B19" s="6">
        <v>39990856</v>
      </c>
      <c r="D19" s="4">
        <v>73682424.180000022</v>
      </c>
      <c r="F19" s="5">
        <f t="shared" si="0"/>
        <v>1.8424817958385293</v>
      </c>
    </row>
    <row r="20" spans="1:6" x14ac:dyDescent="0.25">
      <c r="A20" s="1">
        <v>1995</v>
      </c>
      <c r="B20" s="6">
        <v>30336637</v>
      </c>
      <c r="D20" s="4">
        <v>44891772.829999976</v>
      </c>
      <c r="F20" s="5">
        <f t="shared" si="0"/>
        <v>1.4797873881010599</v>
      </c>
    </row>
    <row r="21" spans="1:6" x14ac:dyDescent="0.25">
      <c r="A21" s="1">
        <v>1996</v>
      </c>
      <c r="B21" s="6">
        <v>37575715</v>
      </c>
      <c r="D21" s="4">
        <v>67248736.989999995</v>
      </c>
      <c r="F21" s="5">
        <f t="shared" si="0"/>
        <v>1.7896861574024605</v>
      </c>
    </row>
    <row r="22" spans="1:6" x14ac:dyDescent="0.25">
      <c r="A22" s="1">
        <v>1997</v>
      </c>
      <c r="B22" s="6">
        <v>53734600</v>
      </c>
      <c r="D22" s="4">
        <v>122106168.66</v>
      </c>
      <c r="F22" s="5">
        <f t="shared" si="0"/>
        <v>2.2723937399738716</v>
      </c>
    </row>
    <row r="23" spans="1:6" x14ac:dyDescent="0.25">
      <c r="A23" s="1">
        <v>1998</v>
      </c>
      <c r="B23" s="6">
        <v>52313902</v>
      </c>
      <c r="D23" s="4">
        <v>100057811.5</v>
      </c>
      <c r="F23" s="5">
        <f t="shared" si="0"/>
        <v>1.912642866899892</v>
      </c>
    </row>
    <row r="24" spans="1:6" x14ac:dyDescent="0.25">
      <c r="A24" s="1">
        <v>1999</v>
      </c>
      <c r="B24" s="6">
        <v>46249773</v>
      </c>
      <c r="D24" s="4">
        <v>93040347.690000013</v>
      </c>
      <c r="F24" s="5">
        <f t="shared" si="0"/>
        <v>2.0116930669043502</v>
      </c>
    </row>
    <row r="25" spans="1:6" x14ac:dyDescent="0.25">
      <c r="A25" s="1">
        <v>2000</v>
      </c>
      <c r="B25" s="6">
        <v>46425578</v>
      </c>
      <c r="D25" s="4">
        <v>183614935.43000007</v>
      </c>
      <c r="F25" s="5">
        <f t="shared" si="0"/>
        <v>3.9550382211719599</v>
      </c>
    </row>
    <row r="26" spans="1:6" x14ac:dyDescent="0.25">
      <c r="A26" s="1">
        <v>2001</v>
      </c>
      <c r="B26" s="6">
        <v>52979036</v>
      </c>
      <c r="D26" s="4">
        <v>259449707.62000006</v>
      </c>
      <c r="F26" s="5">
        <f t="shared" si="0"/>
        <v>4.8972145816318751</v>
      </c>
    </row>
    <row r="27" spans="1:6" x14ac:dyDescent="0.25">
      <c r="A27" s="1">
        <v>2002</v>
      </c>
      <c r="B27" s="6">
        <v>56912695</v>
      </c>
      <c r="D27" s="4">
        <v>143815118.39999998</v>
      </c>
      <c r="F27" s="5">
        <f t="shared" si="0"/>
        <v>2.5269426865130877</v>
      </c>
    </row>
    <row r="28" spans="1:6" x14ac:dyDescent="0.25">
      <c r="A28" s="1">
        <v>2003</v>
      </c>
      <c r="B28" s="6">
        <v>45115003</v>
      </c>
      <c r="D28" s="4">
        <v>177700348.36000001</v>
      </c>
      <c r="F28" s="5">
        <f t="shared" si="0"/>
        <v>3.9388304675497863</v>
      </c>
    </row>
    <row r="29" spans="1:6" x14ac:dyDescent="0.25">
      <c r="A29" s="1">
        <v>2004</v>
      </c>
      <c r="B29" s="6">
        <v>63287064</v>
      </c>
      <c r="D29" s="4">
        <v>335938392.53000009</v>
      </c>
      <c r="F29" s="5">
        <f t="shared" si="0"/>
        <v>5.308168388566739</v>
      </c>
    </row>
    <row r="30" spans="1:6" x14ac:dyDescent="0.25">
      <c r="A30" s="1">
        <v>2005</v>
      </c>
      <c r="B30" s="6">
        <v>61950995</v>
      </c>
      <c r="D30" s="4">
        <v>447709632.48999995</v>
      </c>
      <c r="F30" s="5">
        <f t="shared" si="0"/>
        <v>7.2268352185465297</v>
      </c>
    </row>
    <row r="31" spans="1:6" x14ac:dyDescent="0.25">
      <c r="A31" s="1">
        <v>2006</v>
      </c>
      <c r="B31" s="6">
        <v>63003039</v>
      </c>
      <c r="D31" s="4">
        <v>429480642.53000003</v>
      </c>
      <c r="F31" s="5">
        <f t="shared" si="0"/>
        <v>6.81682422541554</v>
      </c>
    </row>
    <row r="32" spans="1:6" x14ac:dyDescent="0.25">
      <c r="A32" s="1">
        <v>2007</v>
      </c>
      <c r="B32" s="6">
        <v>74222918</v>
      </c>
      <c r="D32" s="4">
        <v>374931831.6699999</v>
      </c>
      <c r="F32" s="5">
        <f t="shared" si="0"/>
        <v>5.0514294206271959</v>
      </c>
    </row>
    <row r="33" spans="1:15" x14ac:dyDescent="0.25">
      <c r="A33" s="1">
        <v>2008</v>
      </c>
      <c r="B33" s="6">
        <v>62828533</v>
      </c>
      <c r="D33" s="4">
        <v>396360328.92999995</v>
      </c>
      <c r="F33" s="5">
        <f t="shared" si="0"/>
        <v>6.3086039097872924</v>
      </c>
    </row>
    <row r="34" spans="1:15" x14ac:dyDescent="0.25">
      <c r="A34" s="1">
        <v>2009</v>
      </c>
      <c r="B34" s="6">
        <v>57448633</v>
      </c>
      <c r="D34" s="4">
        <v>225395651.66000003</v>
      </c>
      <c r="F34" s="5">
        <f t="shared" si="0"/>
        <v>3.9234293296413165</v>
      </c>
    </row>
    <row r="35" spans="1:15" x14ac:dyDescent="0.25">
      <c r="A35" s="1">
        <v>2010</v>
      </c>
      <c r="B35" s="6">
        <v>56643058</v>
      </c>
      <c r="D35" s="4">
        <v>245378404.10999995</v>
      </c>
      <c r="F35" s="5">
        <f t="shared" si="0"/>
        <v>4.3320119494607789</v>
      </c>
    </row>
    <row r="36" spans="1:15" x14ac:dyDescent="0.25">
      <c r="A36" s="1">
        <v>2011</v>
      </c>
      <c r="B36" s="6">
        <v>57100064</v>
      </c>
      <c r="D36" s="4">
        <v>221177026.23999998</v>
      </c>
      <c r="F36" s="5">
        <f t="shared" si="0"/>
        <v>3.8734987449401106</v>
      </c>
      <c r="M36" s="13"/>
      <c r="N36" s="34"/>
      <c r="O36" s="34"/>
    </row>
    <row r="37" spans="1:15" x14ac:dyDescent="0.25">
      <c r="A37" s="1">
        <v>2012</v>
      </c>
      <c r="B37" s="2">
        <v>33372542</v>
      </c>
      <c r="D37" s="4">
        <v>104174731.25</v>
      </c>
      <c r="F37" s="5">
        <f t="shared" si="0"/>
        <v>3.1215701593843228</v>
      </c>
      <c r="M37" s="13"/>
      <c r="N37" s="34"/>
      <c r="O37" s="34"/>
    </row>
    <row r="38" spans="1:15" x14ac:dyDescent="0.25">
      <c r="A38" s="1">
        <v>2013</v>
      </c>
      <c r="B38" s="2">
        <v>50085436</v>
      </c>
      <c r="D38" s="4">
        <v>186600542.15000001</v>
      </c>
      <c r="F38" s="5">
        <f t="shared" si="0"/>
        <v>3.7256447592869115</v>
      </c>
      <c r="M38" s="13"/>
      <c r="N38" s="34"/>
      <c r="O38" s="34"/>
    </row>
    <row r="39" spans="1:15" x14ac:dyDescent="0.25">
      <c r="A39" s="1">
        <v>2014</v>
      </c>
      <c r="B39" s="17">
        <v>28611429</v>
      </c>
      <c r="D39" s="4">
        <v>136473466.42000002</v>
      </c>
      <c r="F39" s="5">
        <f t="shared" ref="F39:F43" si="1">D39/B39</f>
        <v>4.7698934023882558</v>
      </c>
      <c r="M39" s="13"/>
      <c r="N39" s="34"/>
      <c r="O39" s="34"/>
    </row>
    <row r="40" spans="1:15" x14ac:dyDescent="0.25">
      <c r="A40" s="1">
        <v>2015</v>
      </c>
      <c r="B40" s="17">
        <f>SUM(B61:B72)</f>
        <v>32888488</v>
      </c>
      <c r="C40" s="17"/>
      <c r="D40" s="2">
        <f>SUM(D61:D72)</f>
        <v>82519856.690000013</v>
      </c>
      <c r="F40" s="5">
        <f t="shared" si="1"/>
        <v>2.5090802803096333</v>
      </c>
      <c r="M40" s="13"/>
      <c r="N40" s="34"/>
      <c r="O40" s="34"/>
    </row>
    <row r="41" spans="1:15" x14ac:dyDescent="0.25">
      <c r="A41" s="1">
        <v>2016</v>
      </c>
      <c r="B41" s="17">
        <f>SUM(B73:B84)</f>
        <v>40527797</v>
      </c>
      <c r="C41" s="17"/>
      <c r="D41" s="17">
        <f>SUM(D73:D84)</f>
        <v>102040558.06999999</v>
      </c>
      <c r="F41" s="5">
        <f t="shared" si="1"/>
        <v>2.5177918767704051</v>
      </c>
      <c r="I41" s="5">
        <f>+SUMPRODUCT(I73:I84,'Co Prod'!C73:C84)/SUM('Co Prod'!C73:C84)</f>
        <v>2.2326087316655929</v>
      </c>
      <c r="M41" s="13"/>
      <c r="N41" s="34"/>
      <c r="O41" s="34"/>
    </row>
    <row r="42" spans="1:15" x14ac:dyDescent="0.25">
      <c r="A42" s="1">
        <v>2017</v>
      </c>
      <c r="B42" s="13">
        <f>SUM(B85:B96)</f>
        <v>43219509</v>
      </c>
      <c r="D42" s="13">
        <f>SUM(D85:D96)</f>
        <v>125501369.27000001</v>
      </c>
      <c r="F42" s="5">
        <f t="shared" si="1"/>
        <v>2.9038129348021982</v>
      </c>
      <c r="I42" s="5">
        <f>+SUMPRODUCT(I85:I96,'Co Prod'!C85:C96)/SUM('Co Prod'!C85:C96)</f>
        <v>2.7251760473211455</v>
      </c>
      <c r="M42" s="13"/>
      <c r="N42" s="15"/>
      <c r="O42" s="15"/>
    </row>
    <row r="43" spans="1:15" x14ac:dyDescent="0.25">
      <c r="A43" s="1">
        <v>2018</v>
      </c>
      <c r="B43" s="13">
        <f>SUM(B97:B108)</f>
        <v>36896005.861999996</v>
      </c>
      <c r="C43" s="13"/>
      <c r="D43" s="13">
        <f>SUM(D97:D108)</f>
        <v>131523267.38</v>
      </c>
      <c r="F43" s="5">
        <f t="shared" si="1"/>
        <v>3.564702040430308</v>
      </c>
      <c r="I43" s="5">
        <f>+SUMPRODUCT(I97:I108,'Co Prod'!C97:C108)/SUM('Co Prod'!C97:C108)</f>
        <v>2.6386401272066737</v>
      </c>
      <c r="M43" s="13"/>
      <c r="N43" s="15"/>
      <c r="O43" s="15"/>
    </row>
    <row r="44" spans="1:15" x14ac:dyDescent="0.25">
      <c r="A44" s="1">
        <v>2019</v>
      </c>
      <c r="B44" s="13">
        <f>SUM(B109:B120)</f>
        <v>49096564.388000004</v>
      </c>
      <c r="C44" s="13"/>
      <c r="D44" s="13">
        <f>SUM(D109:D119)</f>
        <v>151856870.40999997</v>
      </c>
      <c r="F44" s="5">
        <f>D44/B44</f>
        <v>3.0930243755939113</v>
      </c>
      <c r="I44" s="5">
        <f>+SUMPRODUCT(I109:I120,'Co Prod'!C109:C120)/SUM('Co Prod'!C109:C120)</f>
        <v>2.5990924886696782</v>
      </c>
      <c r="M44" s="13"/>
      <c r="N44" s="15"/>
      <c r="O44" s="15"/>
    </row>
    <row r="45" spans="1:15" x14ac:dyDescent="0.25">
      <c r="A45" s="1">
        <v>2020</v>
      </c>
      <c r="B45" s="13">
        <f>SUM(B121:B125)</f>
        <v>26715416</v>
      </c>
      <c r="C45" s="13"/>
      <c r="D45" s="13">
        <f>SUM(D121:D125)</f>
        <v>52655119.600000001</v>
      </c>
      <c r="F45" s="5">
        <f>D45/B45</f>
        <v>1.9709638659566446</v>
      </c>
      <c r="I45" s="5">
        <f>+SUMPRODUCT(I121:I125,'Co Prod'!C121:C125)/SUM('Co Prod'!C121:C125)</f>
        <v>1.8926964463553297</v>
      </c>
      <c r="M45" s="13"/>
      <c r="N45" s="15"/>
      <c r="O45" s="15"/>
    </row>
    <row r="46" spans="1:15" x14ac:dyDescent="0.25">
      <c r="A46" s="1"/>
      <c r="B46" s="13"/>
      <c r="C46" s="13"/>
      <c r="D46" s="13"/>
      <c r="F46" s="5"/>
      <c r="I46" s="5"/>
      <c r="M46" s="13"/>
      <c r="N46" s="15"/>
      <c r="O46" s="15"/>
    </row>
    <row r="49" spans="1:6" x14ac:dyDescent="0.25">
      <c r="A49" s="44">
        <v>41670</v>
      </c>
      <c r="B49" s="2">
        <v>10782964</v>
      </c>
      <c r="C49" s="2"/>
      <c r="D49" s="2">
        <v>48027446.960000001</v>
      </c>
      <c r="F49" s="5">
        <f>D49/B49</f>
        <v>4.4540116205525679</v>
      </c>
    </row>
    <row r="50" spans="1:6" x14ac:dyDescent="0.25">
      <c r="A50" s="44">
        <v>41698</v>
      </c>
      <c r="B50" s="2">
        <v>4570793</v>
      </c>
      <c r="C50" s="2"/>
      <c r="D50" s="2">
        <v>34574585.590000004</v>
      </c>
      <c r="F50" s="5">
        <f t="shared" ref="F50:F67" si="2">D50/B50</f>
        <v>7.5642422638697493</v>
      </c>
    </row>
    <row r="51" spans="1:6" x14ac:dyDescent="0.25">
      <c r="A51" s="44">
        <v>41729</v>
      </c>
      <c r="B51" s="2">
        <v>1948140</v>
      </c>
      <c r="C51" s="2"/>
      <c r="D51" s="2">
        <v>10107059.300000003</v>
      </c>
      <c r="F51" s="5">
        <f t="shared" si="2"/>
        <v>5.1880559405381561</v>
      </c>
    </row>
    <row r="52" spans="1:6" x14ac:dyDescent="0.25">
      <c r="A52" s="44">
        <v>41759</v>
      </c>
      <c r="B52" s="2">
        <v>667950</v>
      </c>
      <c r="C52" s="2"/>
      <c r="D52" s="2">
        <v>2945201.5999999996</v>
      </c>
      <c r="F52" s="5">
        <f t="shared" si="2"/>
        <v>4.4093144696459312</v>
      </c>
    </row>
    <row r="53" spans="1:6" x14ac:dyDescent="0.25">
      <c r="A53" s="44">
        <v>41790</v>
      </c>
      <c r="B53" s="2">
        <v>122500</v>
      </c>
      <c r="C53" s="2"/>
      <c r="D53" s="2">
        <v>565997.24000000022</v>
      </c>
      <c r="F53" s="5">
        <f t="shared" si="2"/>
        <v>4.620385632653063</v>
      </c>
    </row>
    <row r="54" spans="1:6" x14ac:dyDescent="0.25">
      <c r="A54" s="44">
        <v>41820</v>
      </c>
      <c r="B54" s="2">
        <v>122938</v>
      </c>
      <c r="C54" s="2"/>
      <c r="D54" s="2">
        <v>390678.98</v>
      </c>
      <c r="F54" s="5">
        <f t="shared" si="2"/>
        <v>3.1778537148806714</v>
      </c>
    </row>
    <row r="55" spans="1:6" x14ac:dyDescent="0.25">
      <c r="A55" s="44">
        <v>41851</v>
      </c>
      <c r="B55" s="2">
        <v>8702</v>
      </c>
      <c r="C55" s="2"/>
      <c r="D55" s="2">
        <v>35168.980000000003</v>
      </c>
      <c r="F55" s="5">
        <f t="shared" si="2"/>
        <v>4.0414824178349811</v>
      </c>
    </row>
    <row r="56" spans="1:6" x14ac:dyDescent="0.25">
      <c r="A56" s="44">
        <v>41882</v>
      </c>
      <c r="B56" s="2">
        <v>7619</v>
      </c>
      <c r="C56" s="2"/>
      <c r="D56" s="2">
        <v>29068.22</v>
      </c>
      <c r="F56" s="5">
        <f t="shared" si="2"/>
        <v>3.8152277201732514</v>
      </c>
    </row>
    <row r="57" spans="1:6" x14ac:dyDescent="0.25">
      <c r="A57" s="44">
        <v>41912</v>
      </c>
      <c r="B57" s="2">
        <v>7569</v>
      </c>
      <c r="C57" s="2"/>
      <c r="D57" s="2">
        <v>29370.5</v>
      </c>
      <c r="F57" s="5">
        <f t="shared" si="2"/>
        <v>3.8803672876205577</v>
      </c>
    </row>
    <row r="58" spans="1:6" x14ac:dyDescent="0.25">
      <c r="A58" s="44">
        <v>41943</v>
      </c>
      <c r="B58" s="2">
        <v>8573</v>
      </c>
      <c r="C58" s="2"/>
      <c r="D58" s="2">
        <v>28079.360000000001</v>
      </c>
      <c r="F58" s="5">
        <f t="shared" si="2"/>
        <v>3.2753248571095299</v>
      </c>
    </row>
    <row r="59" spans="1:6" x14ac:dyDescent="0.25">
      <c r="A59" s="44">
        <v>41973</v>
      </c>
      <c r="B59" s="2">
        <v>4707555</v>
      </c>
      <c r="C59" s="2"/>
      <c r="D59" s="2">
        <v>18325481.079999998</v>
      </c>
      <c r="F59" s="5">
        <f t="shared" si="2"/>
        <v>3.8927810891216348</v>
      </c>
    </row>
    <row r="60" spans="1:6" x14ac:dyDescent="0.25">
      <c r="A60" s="44">
        <v>42004</v>
      </c>
      <c r="B60" s="2">
        <v>5656126</v>
      </c>
      <c r="C60" s="2"/>
      <c r="D60" s="2">
        <v>21415328.609999996</v>
      </c>
      <c r="F60" s="5">
        <f t="shared" si="2"/>
        <v>3.7862184488110757</v>
      </c>
    </row>
    <row r="61" spans="1:6" x14ac:dyDescent="0.25">
      <c r="A61" s="44">
        <v>42035</v>
      </c>
      <c r="B61" s="2">
        <v>9628236</v>
      </c>
      <c r="C61" s="2"/>
      <c r="D61" s="2">
        <v>27561696.700000003</v>
      </c>
      <c r="F61" s="5">
        <f t="shared" si="2"/>
        <v>2.862590478671275</v>
      </c>
    </row>
    <row r="62" spans="1:6" x14ac:dyDescent="0.25">
      <c r="A62" s="44">
        <v>42063</v>
      </c>
      <c r="B62" s="2">
        <v>2455061</v>
      </c>
      <c r="C62" s="2"/>
      <c r="D62" s="2">
        <v>7537517.8199999984</v>
      </c>
      <c r="F62" s="16">
        <f t="shared" si="2"/>
        <v>3.0701957385172909</v>
      </c>
    </row>
    <row r="63" spans="1:6" x14ac:dyDescent="0.25">
      <c r="A63" s="44">
        <v>42094</v>
      </c>
      <c r="B63" s="2">
        <v>2147849</v>
      </c>
      <c r="C63" s="2"/>
      <c r="D63" s="2">
        <v>5921797.25</v>
      </c>
      <c r="F63" s="16">
        <f t="shared" si="2"/>
        <v>2.7570826673569697</v>
      </c>
    </row>
    <row r="64" spans="1:6" x14ac:dyDescent="0.25">
      <c r="A64" s="44">
        <v>42124</v>
      </c>
      <c r="B64" s="2">
        <v>878175</v>
      </c>
      <c r="C64" s="2"/>
      <c r="D64" s="2">
        <v>2132388.42</v>
      </c>
      <c r="F64" s="16">
        <f t="shared" si="2"/>
        <v>2.428204423947391</v>
      </c>
    </row>
    <row r="65" spans="1:15" x14ac:dyDescent="0.25">
      <c r="A65" s="44">
        <v>42155</v>
      </c>
      <c r="B65" s="2">
        <v>855784</v>
      </c>
      <c r="C65" s="2"/>
      <c r="D65" s="2">
        <v>2034030.06</v>
      </c>
      <c r="F65" s="16">
        <f t="shared" si="2"/>
        <v>2.3768030951735484</v>
      </c>
    </row>
    <row r="66" spans="1:15" x14ac:dyDescent="0.25">
      <c r="A66" s="44">
        <v>42185</v>
      </c>
      <c r="B66" s="2">
        <v>-845143</v>
      </c>
      <c r="C66" s="2"/>
      <c r="D66" s="2">
        <v>-2013121.18</v>
      </c>
      <c r="F66" s="16">
        <f>D66/B66</f>
        <v>2.3819888231932347</v>
      </c>
      <c r="I66" s="15">
        <f>+'[7]FOM Index'!$D$416</f>
        <v>2.6</v>
      </c>
      <c r="L66" s="2"/>
    </row>
    <row r="67" spans="1:15" x14ac:dyDescent="0.25">
      <c r="A67" s="44">
        <v>42216</v>
      </c>
      <c r="B67" s="2">
        <v>71860</v>
      </c>
      <c r="C67" s="2"/>
      <c r="D67" s="2">
        <v>200587.86</v>
      </c>
      <c r="F67" s="16">
        <f t="shared" si="2"/>
        <v>2.7913701642081823</v>
      </c>
      <c r="I67" s="15">
        <f>+'[7]FOM Index'!$D$417</f>
        <v>2.62</v>
      </c>
      <c r="L67" s="2"/>
    </row>
    <row r="68" spans="1:15" x14ac:dyDescent="0.25">
      <c r="A68" s="44">
        <v>42247</v>
      </c>
      <c r="B68" s="2">
        <v>31579</v>
      </c>
      <c r="C68" s="2"/>
      <c r="D68" s="2">
        <v>90587.21</v>
      </c>
      <c r="F68" s="16">
        <f>D68/B68</f>
        <v>2.868590202349663</v>
      </c>
      <c r="I68" s="15">
        <f>+'[7]FOM Index'!$D$418</f>
        <v>2.66</v>
      </c>
      <c r="L68" s="2"/>
    </row>
    <row r="69" spans="1:15" x14ac:dyDescent="0.25">
      <c r="A69" s="44">
        <v>42277</v>
      </c>
      <c r="B69" s="2">
        <v>7813</v>
      </c>
      <c r="D69" s="2">
        <v>12747.25</v>
      </c>
      <c r="F69" s="16">
        <f>D69/B69</f>
        <v>1.6315435812108026</v>
      </c>
      <c r="I69" s="15">
        <f>+'[7]FOM Index'!$D$419</f>
        <v>2.46</v>
      </c>
      <c r="L69" s="2"/>
    </row>
    <row r="70" spans="1:15" x14ac:dyDescent="0.25">
      <c r="A70" s="44">
        <v>42308</v>
      </c>
      <c r="B70" s="2">
        <v>9000</v>
      </c>
      <c r="D70" s="2">
        <v>22570</v>
      </c>
      <c r="F70" s="16">
        <f>D70/B70</f>
        <v>2.5077777777777777</v>
      </c>
      <c r="I70" s="15">
        <f>+'[7]FOM Index'!$D$420</f>
        <v>2.4300000000000002</v>
      </c>
      <c r="L70" s="2"/>
    </row>
    <row r="71" spans="1:15" x14ac:dyDescent="0.25">
      <c r="A71" s="44">
        <v>42338</v>
      </c>
      <c r="B71" s="2">
        <v>4791000</v>
      </c>
      <c r="D71" s="2">
        <v>10305220</v>
      </c>
      <c r="F71" s="16">
        <f>D71/B71</f>
        <v>2.150953871843039</v>
      </c>
      <c r="I71" s="15">
        <f>+'[7]FOM Index'!$D$421</f>
        <v>2.04</v>
      </c>
      <c r="L71" s="2"/>
    </row>
    <row r="72" spans="1:15" x14ac:dyDescent="0.25">
      <c r="A72" s="44">
        <v>42369</v>
      </c>
      <c r="B72" s="2">
        <v>12857274</v>
      </c>
      <c r="D72" s="2">
        <v>28713835.300000001</v>
      </c>
      <c r="F72" s="16">
        <f t="shared" ref="F72:F84" si="3">D72/B72</f>
        <v>2.23327552170079</v>
      </c>
      <c r="I72" s="15">
        <f>+'[7]FOM Index'!$D$422</f>
        <v>2.2200000000000002</v>
      </c>
      <c r="L72" s="2"/>
    </row>
    <row r="73" spans="1:15" x14ac:dyDescent="0.25">
      <c r="A73" s="44">
        <v>42400</v>
      </c>
      <c r="B73" s="2">
        <v>11825000</v>
      </c>
      <c r="D73" s="2">
        <v>27154602.549999993</v>
      </c>
      <c r="F73" s="16">
        <f t="shared" si="3"/>
        <v>2.2963723086680754</v>
      </c>
      <c r="I73" s="15">
        <f>+'[7]FOM Index'!$D$423</f>
        <v>2.2799999999999998</v>
      </c>
      <c r="L73" s="2"/>
    </row>
    <row r="74" spans="1:15" x14ac:dyDescent="0.25">
      <c r="A74" s="44">
        <v>42429</v>
      </c>
      <c r="B74" s="2">
        <v>8247819</v>
      </c>
      <c r="D74" s="2">
        <v>16132026.439999999</v>
      </c>
      <c r="F74" s="16">
        <f t="shared" si="3"/>
        <v>1.9559142168372026</v>
      </c>
      <c r="I74" s="15">
        <f>+'[7]FOM Index'!$D$424</f>
        <v>2.02</v>
      </c>
      <c r="J74" s="35"/>
      <c r="K74" s="22"/>
      <c r="L74" s="2"/>
      <c r="M74" s="23"/>
    </row>
    <row r="75" spans="1:15" x14ac:dyDescent="0.25">
      <c r="A75" s="44">
        <v>42460</v>
      </c>
      <c r="B75" s="2">
        <v>2101301</v>
      </c>
      <c r="D75" s="2">
        <v>3493558.43</v>
      </c>
      <c r="F75" s="16">
        <f t="shared" si="3"/>
        <v>1.662569251144886</v>
      </c>
      <c r="I75" s="15">
        <f>+'[7]FOM Index'!$D$425</f>
        <v>1.51</v>
      </c>
      <c r="J75" s="35"/>
      <c r="K75" s="24"/>
      <c r="L75" s="2"/>
    </row>
    <row r="76" spans="1:15" x14ac:dyDescent="0.25">
      <c r="A76" s="44">
        <v>42490</v>
      </c>
      <c r="B76" s="2">
        <v>578150</v>
      </c>
      <c r="D76" s="2">
        <v>992837.48</v>
      </c>
      <c r="F76" s="16">
        <f t="shared" si="3"/>
        <v>1.717266245783966</v>
      </c>
      <c r="I76" s="15">
        <f>+'[7]FOM Index'!$D426</f>
        <v>1.51</v>
      </c>
      <c r="L76" s="2"/>
    </row>
    <row r="77" spans="1:15" x14ac:dyDescent="0.25">
      <c r="A77" s="44">
        <v>42521</v>
      </c>
      <c r="B77" s="2">
        <v>765791</v>
      </c>
      <c r="D77" s="2">
        <v>1326764.99</v>
      </c>
      <c r="F77" s="16">
        <f t="shared" si="3"/>
        <v>1.7325418945900382</v>
      </c>
      <c r="I77" s="15">
        <f>+'[7]FOM Index'!$D427</f>
        <v>1.77</v>
      </c>
      <c r="L77" s="2"/>
    </row>
    <row r="78" spans="1:15" x14ac:dyDescent="0.25">
      <c r="A78" s="44">
        <v>42551</v>
      </c>
      <c r="B78" s="2">
        <v>-2484</v>
      </c>
      <c r="D78" s="2">
        <v>-5044.03</v>
      </c>
      <c r="F78" s="16">
        <f t="shared" si="3"/>
        <v>2.0306078904991947</v>
      </c>
      <c r="I78" s="15">
        <f>+'[7]FOM Index'!$D428</f>
        <v>1.78</v>
      </c>
      <c r="L78" s="13"/>
      <c r="M78" s="13"/>
      <c r="N78" s="25"/>
      <c r="O78" s="25"/>
    </row>
    <row r="79" spans="1:15" x14ac:dyDescent="0.25">
      <c r="A79" s="44">
        <v>42582</v>
      </c>
      <c r="B79" s="2">
        <v>604</v>
      </c>
      <c r="D79" s="2">
        <v>741.13</v>
      </c>
      <c r="F79" s="16">
        <f t="shared" si="3"/>
        <v>1.2270364238410596</v>
      </c>
      <c r="I79" s="15">
        <f>+'[7]FOM Index'!$D429</f>
        <v>2.52</v>
      </c>
    </row>
    <row r="80" spans="1:15" x14ac:dyDescent="0.25">
      <c r="A80" s="44">
        <v>42613</v>
      </c>
      <c r="B80" s="2">
        <v>295</v>
      </c>
      <c r="D80" s="2">
        <v>-1426.72</v>
      </c>
      <c r="F80" s="16">
        <f t="shared" si="3"/>
        <v>-4.8363389830508474</v>
      </c>
      <c r="I80" s="15">
        <f>+'[7]FOM Index'!$D430</f>
        <v>2.5099999999999998</v>
      </c>
    </row>
    <row r="81" spans="1:9" x14ac:dyDescent="0.25">
      <c r="A81" s="44">
        <v>42643</v>
      </c>
      <c r="B81" s="2">
        <v>731424</v>
      </c>
      <c r="C81" s="2"/>
      <c r="D81" s="2">
        <v>2028815.82</v>
      </c>
      <c r="F81" s="16">
        <f t="shared" si="3"/>
        <v>2.7737889650872818</v>
      </c>
      <c r="I81" s="15">
        <f>+'[7]FOM Index'!$D431</f>
        <v>2.62</v>
      </c>
    </row>
    <row r="82" spans="1:9" x14ac:dyDescent="0.25">
      <c r="A82" s="44">
        <v>42674</v>
      </c>
      <c r="B82" s="2">
        <v>760132</v>
      </c>
      <c r="C82" s="2"/>
      <c r="D82" s="2">
        <v>2033684.68</v>
      </c>
      <c r="F82" s="16">
        <f t="shared" si="3"/>
        <v>2.6754362137102503</v>
      </c>
      <c r="I82" s="15">
        <f>+'[7]FOM Index'!$D432</f>
        <v>2.7</v>
      </c>
    </row>
    <row r="83" spans="1:9" x14ac:dyDescent="0.25">
      <c r="A83" s="44">
        <v>42704</v>
      </c>
      <c r="B83" s="2">
        <v>5191000</v>
      </c>
      <c r="D83" s="2">
        <v>13000000</v>
      </c>
      <c r="F83" s="16">
        <f t="shared" si="3"/>
        <v>2.504334424966288</v>
      </c>
      <c r="I83" s="15">
        <f>+'[7]FOM Index'!$D433</f>
        <v>2.62</v>
      </c>
    </row>
    <row r="84" spans="1:9" x14ac:dyDescent="0.25">
      <c r="A84" s="44">
        <v>42735</v>
      </c>
      <c r="B84" s="2">
        <v>10328765</v>
      </c>
      <c r="D84" s="2">
        <v>35883997.299999997</v>
      </c>
      <c r="F84" s="16">
        <f t="shared" si="3"/>
        <v>3.4741808241353151</v>
      </c>
      <c r="I84" s="15">
        <f>+'[7]FOM Index'!$D434</f>
        <v>2.99</v>
      </c>
    </row>
    <row r="85" spans="1:9" x14ac:dyDescent="0.25">
      <c r="A85" s="44">
        <v>42766</v>
      </c>
      <c r="B85" s="2">
        <v>13634058</v>
      </c>
      <c r="D85" s="2">
        <v>46137595.950000003</v>
      </c>
      <c r="F85" s="16">
        <f>D85/B85</f>
        <v>3.3839958690215344</v>
      </c>
      <c r="I85" s="15">
        <f>+'[7]FOM Index'!$D435</f>
        <v>3.73</v>
      </c>
    </row>
    <row r="86" spans="1:9" x14ac:dyDescent="0.25">
      <c r="A86" s="44">
        <v>42794</v>
      </c>
      <c r="B86" s="2">
        <v>6913912</v>
      </c>
      <c r="D86" s="2">
        <v>19272593.330000002</v>
      </c>
      <c r="F86" s="16">
        <f>D86/B86</f>
        <v>2.787509203183379</v>
      </c>
      <c r="I86" s="15">
        <f>+'[7]FOM Index'!$D436</f>
        <v>3.11</v>
      </c>
    </row>
    <row r="87" spans="1:9" x14ac:dyDescent="0.25">
      <c r="A87" s="44">
        <v>42825</v>
      </c>
      <c r="B87" s="2">
        <v>2091618</v>
      </c>
      <c r="D87" s="2">
        <v>5129448.3899999997</v>
      </c>
      <c r="F87" s="16">
        <f t="shared" ref="F87:F118" si="4">D87/B87</f>
        <v>2.4523829829347421</v>
      </c>
      <c r="I87" s="15">
        <f>+'[7]FOM Index'!$D437</f>
        <v>2.29</v>
      </c>
    </row>
    <row r="88" spans="1:9" x14ac:dyDescent="0.25">
      <c r="A88" s="44">
        <v>42855</v>
      </c>
      <c r="B88" s="2">
        <v>2421083</v>
      </c>
      <c r="D88" s="2">
        <v>6596996.0800000001</v>
      </c>
      <c r="F88" s="16">
        <f t="shared" si="4"/>
        <v>2.7248120283360793</v>
      </c>
      <c r="I88" s="15">
        <f>+'[7]FOM Index'!$D438</f>
        <v>2.64</v>
      </c>
    </row>
    <row r="89" spans="1:9" x14ac:dyDescent="0.25">
      <c r="A89" s="44">
        <v>42886</v>
      </c>
      <c r="B89" s="2">
        <v>530910</v>
      </c>
      <c r="D89" s="2">
        <v>1476222.5</v>
      </c>
      <c r="F89" s="16">
        <f t="shared" si="4"/>
        <v>2.7805513175491137</v>
      </c>
      <c r="I89" s="15">
        <f>+'[7]FOM Index'!$D439</f>
        <v>2.62</v>
      </c>
    </row>
    <row r="90" spans="1:9" x14ac:dyDescent="0.25">
      <c r="A90" s="44">
        <v>42916</v>
      </c>
      <c r="B90" s="2">
        <v>134</v>
      </c>
      <c r="D90" s="2">
        <v>282</v>
      </c>
      <c r="F90" s="16">
        <f t="shared" si="4"/>
        <v>2.1044776119402986</v>
      </c>
      <c r="I90" s="15">
        <f>+'[7]FOM Index'!$D440</f>
        <v>2.79</v>
      </c>
    </row>
    <row r="91" spans="1:9" x14ac:dyDescent="0.25">
      <c r="A91" s="44">
        <v>42947</v>
      </c>
      <c r="B91" s="2">
        <v>0</v>
      </c>
      <c r="D91" s="2">
        <v>0</v>
      </c>
      <c r="F91" s="16">
        <v>0</v>
      </c>
      <c r="I91" s="15">
        <f>+'[7]FOM Index'!$D441</f>
        <v>2.63</v>
      </c>
    </row>
    <row r="92" spans="1:9" x14ac:dyDescent="0.25">
      <c r="A92" s="44">
        <v>42978</v>
      </c>
      <c r="B92" s="2">
        <v>0</v>
      </c>
      <c r="D92" s="2">
        <v>0</v>
      </c>
      <c r="F92" s="16">
        <v>0</v>
      </c>
      <c r="I92" s="15">
        <f>+'[7]FOM Index'!$D442</f>
        <v>2.59</v>
      </c>
    </row>
    <row r="93" spans="1:9" x14ac:dyDescent="0.25">
      <c r="A93" s="44">
        <v>43008</v>
      </c>
      <c r="B93" s="2">
        <v>634000</v>
      </c>
      <c r="D93" s="2">
        <v>1592000</v>
      </c>
      <c r="F93" s="16">
        <f t="shared" si="4"/>
        <v>2.5110410094637223</v>
      </c>
      <c r="I93" s="15">
        <f>+'[7]FOM Index'!$D443</f>
        <v>2.59</v>
      </c>
    </row>
    <row r="94" spans="1:9" x14ac:dyDescent="0.25">
      <c r="A94" s="44">
        <v>43039</v>
      </c>
      <c r="B94" s="2">
        <v>2241300</v>
      </c>
      <c r="D94" s="2">
        <v>5851557.5</v>
      </c>
      <c r="F94" s="16">
        <f t="shared" si="4"/>
        <v>2.6107872663186544</v>
      </c>
      <c r="I94" s="15">
        <f>+'[7]FOM Index'!$D444</f>
        <v>2.48</v>
      </c>
    </row>
    <row r="95" spans="1:9" x14ac:dyDescent="0.25">
      <c r="A95" s="44">
        <v>43069</v>
      </c>
      <c r="B95" s="2">
        <v>4350000</v>
      </c>
      <c r="D95" s="2">
        <v>12100000</v>
      </c>
      <c r="F95" s="16">
        <f t="shared" si="4"/>
        <v>2.7816091954022988</v>
      </c>
      <c r="I95" s="15">
        <f>+'[7]FOM Index'!$D445</f>
        <v>2.63</v>
      </c>
    </row>
    <row r="96" spans="1:9" x14ac:dyDescent="0.25">
      <c r="A96" s="44">
        <v>43100</v>
      </c>
      <c r="B96" s="2">
        <v>10402494</v>
      </c>
      <c r="D96" s="2">
        <v>27344673.520000003</v>
      </c>
      <c r="F96" s="16">
        <f t="shared" si="4"/>
        <v>2.6286651566441668</v>
      </c>
      <c r="I96" s="15">
        <f>+'[7]FOM Index'!$D446</f>
        <v>2.73</v>
      </c>
    </row>
    <row r="97" spans="1:11" x14ac:dyDescent="0.25">
      <c r="A97" s="44">
        <v>43131</v>
      </c>
      <c r="B97" s="43">
        <v>7432600</v>
      </c>
      <c r="D97" s="43">
        <v>21845831.5</v>
      </c>
      <c r="F97" s="16">
        <f t="shared" si="4"/>
        <v>2.9391910636923821</v>
      </c>
      <c r="I97" s="15">
        <f>+'[7]FOM Index'!$D447</f>
        <v>2.5</v>
      </c>
    </row>
    <row r="98" spans="1:11" x14ac:dyDescent="0.25">
      <c r="A98" s="44">
        <v>43159</v>
      </c>
      <c r="B98" s="43">
        <v>6728088.9989999998</v>
      </c>
      <c r="D98" s="43">
        <v>17934387.77</v>
      </c>
      <c r="F98" s="16">
        <f t="shared" si="4"/>
        <v>2.6655990687200481</v>
      </c>
      <c r="I98" s="15">
        <f>+'[7]FOM Index'!$D448</f>
        <v>2.8</v>
      </c>
    </row>
    <row r="99" spans="1:11" x14ac:dyDescent="0.25">
      <c r="A99" s="44">
        <v>43190</v>
      </c>
      <c r="B99" s="43">
        <v>3205400</v>
      </c>
      <c r="D99" s="43">
        <v>7403905.4900000002</v>
      </c>
      <c r="F99" s="16">
        <f t="shared" si="4"/>
        <v>2.3098226399201347</v>
      </c>
      <c r="I99" s="15">
        <f>+'[7]FOM Index'!$D449</f>
        <v>2.17</v>
      </c>
    </row>
    <row r="100" spans="1:11" x14ac:dyDescent="0.25">
      <c r="A100" s="44">
        <v>43220</v>
      </c>
      <c r="B100" s="43">
        <v>1435170.2599999998</v>
      </c>
      <c r="D100" s="43">
        <v>2984401.76</v>
      </c>
      <c r="F100" s="16">
        <f t="shared" si="4"/>
        <v>2.0794757550229619</v>
      </c>
      <c r="I100" s="15">
        <f>+'[7]FOM Index'!$D450</f>
        <v>1.85</v>
      </c>
      <c r="K100" s="3" t="s">
        <v>39</v>
      </c>
    </row>
    <row r="101" spans="1:11" x14ac:dyDescent="0.25">
      <c r="A101" s="44">
        <v>43251</v>
      </c>
      <c r="B101" s="43">
        <v>0</v>
      </c>
      <c r="D101" s="43">
        <v>0</v>
      </c>
      <c r="F101" s="16">
        <v>0</v>
      </c>
      <c r="I101" s="15">
        <f>+'[7]FOM Index'!$D451</f>
        <v>1.9</v>
      </c>
    </row>
    <row r="102" spans="1:11" x14ac:dyDescent="0.25">
      <c r="A102" s="45">
        <v>43281</v>
      </c>
      <c r="B102" s="43">
        <v>0</v>
      </c>
      <c r="D102" s="43">
        <v>0</v>
      </c>
      <c r="F102" s="16">
        <v>0</v>
      </c>
      <c r="I102" s="15">
        <f>+'[7]FOM Index'!$D452</f>
        <v>2.09</v>
      </c>
    </row>
    <row r="103" spans="1:11" x14ac:dyDescent="0.25">
      <c r="A103" s="45">
        <v>43312</v>
      </c>
      <c r="B103" s="2">
        <v>4725</v>
      </c>
      <c r="D103" s="2">
        <v>11988</v>
      </c>
      <c r="F103" s="16">
        <f t="shared" si="4"/>
        <v>2.5371428571428569</v>
      </c>
      <c r="I103" s="15">
        <f>+'[7]FOM Index'!$D453</f>
        <v>2.2400000000000002</v>
      </c>
    </row>
    <row r="104" spans="1:11" x14ac:dyDescent="0.25">
      <c r="A104" s="45">
        <v>43343</v>
      </c>
      <c r="B104" s="46">
        <v>0</v>
      </c>
      <c r="D104" s="46">
        <v>0</v>
      </c>
      <c r="F104" s="16">
        <v>0</v>
      </c>
      <c r="I104" s="15">
        <f>+'[7]FOM Index'!$D454</f>
        <v>2.41</v>
      </c>
    </row>
    <row r="105" spans="1:11" x14ac:dyDescent="0.25">
      <c r="A105" s="45">
        <v>43373</v>
      </c>
      <c r="B105" s="46">
        <v>18000</v>
      </c>
      <c r="D105" s="46">
        <v>42300</v>
      </c>
      <c r="F105" s="16">
        <f t="shared" si="4"/>
        <v>2.35</v>
      </c>
      <c r="I105" s="15">
        <f>+'[7]FOM Index'!$D455</f>
        <v>2.3199999999999998</v>
      </c>
    </row>
    <row r="106" spans="1:11" x14ac:dyDescent="0.25">
      <c r="A106" s="45">
        <v>43404</v>
      </c>
      <c r="B106" s="46">
        <v>1324751.915</v>
      </c>
      <c r="D106" s="46">
        <v>3575345.13</v>
      </c>
      <c r="F106" s="16">
        <f t="shared" si="4"/>
        <v>2.6988790048286133</v>
      </c>
      <c r="I106" s="15">
        <f>+'[7]FOM Index'!$D456</f>
        <v>2.3199999999999998</v>
      </c>
    </row>
    <row r="107" spans="1:11" x14ac:dyDescent="0.25">
      <c r="A107" s="45">
        <v>43434</v>
      </c>
      <c r="B107" s="46">
        <v>5935153.0839999998</v>
      </c>
      <c r="D107" s="46">
        <v>26732916.149999999</v>
      </c>
      <c r="F107" s="16">
        <f t="shared" si="4"/>
        <v>4.5041662399688827</v>
      </c>
      <c r="I107" s="15">
        <f>+'[7]FOM Index'!$D457</f>
        <v>3.23</v>
      </c>
    </row>
    <row r="108" spans="1:11" x14ac:dyDescent="0.25">
      <c r="A108" s="45">
        <v>43465</v>
      </c>
      <c r="B108" s="46">
        <v>10812116.604</v>
      </c>
      <c r="D108" s="46">
        <v>50992191.579999991</v>
      </c>
      <c r="F108" s="16">
        <f t="shared" si="4"/>
        <v>4.7162080698551803</v>
      </c>
      <c r="I108" s="15">
        <f>+'[7]FOM Index'!$D458</f>
        <v>5.7</v>
      </c>
    </row>
    <row r="109" spans="1:11" x14ac:dyDescent="0.25">
      <c r="A109" s="45">
        <v>43496</v>
      </c>
      <c r="B109" s="43">
        <v>11397417.393000001</v>
      </c>
      <c r="D109" s="43">
        <v>39685805.640000001</v>
      </c>
      <c r="F109" s="16">
        <f t="shared" si="4"/>
        <v>3.4819998488757635</v>
      </c>
      <c r="I109" s="15">
        <f>+'[7]FOM Index'!$D459</f>
        <v>4.22</v>
      </c>
    </row>
    <row r="110" spans="1:11" x14ac:dyDescent="0.25">
      <c r="A110" s="45">
        <v>43524</v>
      </c>
      <c r="B110" s="43">
        <v>9392843.4900000002</v>
      </c>
      <c r="D110" s="43">
        <v>59599435.560000002</v>
      </c>
      <c r="F110" s="16">
        <f t="shared" si="4"/>
        <v>6.3451962787894809</v>
      </c>
      <c r="I110" s="15">
        <f>+'[7]FOM Index'!$D460</f>
        <v>3.38</v>
      </c>
    </row>
    <row r="111" spans="1:11" x14ac:dyDescent="0.25">
      <c r="A111" s="45">
        <v>43555</v>
      </c>
      <c r="B111" s="43">
        <v>3205259.5089999996</v>
      </c>
      <c r="D111" s="43">
        <v>11693197.779999994</v>
      </c>
      <c r="F111" s="16">
        <f t="shared" si="4"/>
        <v>3.6481282551902088</v>
      </c>
      <c r="I111" s="15">
        <f>+'[7]FOM Index'!$D461</f>
        <v>3.77</v>
      </c>
    </row>
    <row r="112" spans="1:11" x14ac:dyDescent="0.25">
      <c r="A112" s="45">
        <v>43585</v>
      </c>
      <c r="B112" s="43">
        <v>1942848.9989999998</v>
      </c>
      <c r="D112" s="43">
        <v>4958803.32</v>
      </c>
      <c r="F112" s="16">
        <f t="shared" si="4"/>
        <v>2.5523359368393201</v>
      </c>
      <c r="I112" s="15">
        <f>+'[7]FOM Index'!$D462</f>
        <v>2.48</v>
      </c>
    </row>
    <row r="113" spans="1:9" x14ac:dyDescent="0.25">
      <c r="A113" s="45">
        <v>43616</v>
      </c>
      <c r="B113" s="43">
        <v>286400</v>
      </c>
      <c r="D113" s="43">
        <v>188548.75999999978</v>
      </c>
      <c r="F113" s="16">
        <f>D113/B113</f>
        <v>0.65834064245809976</v>
      </c>
      <c r="I113" s="15">
        <f>+'[7]FOM Index'!$D463</f>
        <v>1.88</v>
      </c>
    </row>
    <row r="114" spans="1:9" x14ac:dyDescent="0.25">
      <c r="A114" s="45">
        <v>43646</v>
      </c>
      <c r="B114" s="43">
        <v>-60000</v>
      </c>
      <c r="D114" s="43">
        <v>0</v>
      </c>
      <c r="F114" s="16">
        <f t="shared" si="4"/>
        <v>0</v>
      </c>
      <c r="I114" s="15">
        <f>+'[7]FOM Index'!$D464</f>
        <v>1.89</v>
      </c>
    </row>
    <row r="115" spans="1:9" x14ac:dyDescent="0.25">
      <c r="A115" s="45">
        <v>43677</v>
      </c>
      <c r="B115" s="43">
        <v>0</v>
      </c>
      <c r="D115" s="43">
        <v>0.05</v>
      </c>
      <c r="F115" s="16">
        <v>0</v>
      </c>
      <c r="I115" s="15">
        <f>+'[7]FOM Index'!$D465</f>
        <v>1.92</v>
      </c>
    </row>
    <row r="116" spans="1:9" x14ac:dyDescent="0.25">
      <c r="A116" s="45">
        <v>43708</v>
      </c>
      <c r="B116" s="2">
        <v>0</v>
      </c>
      <c r="D116" s="2">
        <v>0</v>
      </c>
      <c r="F116" s="16">
        <v>0</v>
      </c>
      <c r="I116" s="15">
        <f>+'[7]FOM Index'!$D466</f>
        <v>2.0099999999999998</v>
      </c>
    </row>
    <row r="117" spans="1:9" x14ac:dyDescent="0.25">
      <c r="A117" s="45">
        <v>43738</v>
      </c>
      <c r="B117" s="43">
        <v>660000</v>
      </c>
      <c r="C117" s="48"/>
      <c r="D117" s="43">
        <v>1284500</v>
      </c>
      <c r="F117" s="16">
        <f t="shared" si="4"/>
        <v>1.9462121212121213</v>
      </c>
      <c r="I117" s="15">
        <f>+'[7]FOM Index'!$D467</f>
        <v>1.81</v>
      </c>
    </row>
    <row r="118" spans="1:9" x14ac:dyDescent="0.25">
      <c r="A118" s="45">
        <v>43769</v>
      </c>
      <c r="B118" s="43">
        <v>6142341.9989999998</v>
      </c>
      <c r="C118" s="48"/>
      <c r="D118" s="43">
        <v>12962625.220000001</v>
      </c>
      <c r="F118" s="16">
        <f t="shared" si="4"/>
        <v>2.1103717803584323</v>
      </c>
      <c r="I118" s="15">
        <f>+'[7]FOM Index'!$D468</f>
        <v>2.0099999999999998</v>
      </c>
    </row>
    <row r="119" spans="1:9" x14ac:dyDescent="0.25">
      <c r="A119" s="45">
        <v>43799</v>
      </c>
      <c r="B119" s="43">
        <v>7765392.8580000009</v>
      </c>
      <c r="C119" s="48"/>
      <c r="D119" s="43">
        <v>21483954.079999998</v>
      </c>
      <c r="F119" s="16">
        <f>D119/B119</f>
        <v>2.7666280989077032</v>
      </c>
      <c r="I119" s="15">
        <f>+'[7]FOM Index'!$D469</f>
        <v>2.3199999999999998</v>
      </c>
    </row>
    <row r="120" spans="1:9" x14ac:dyDescent="0.25">
      <c r="A120" s="45">
        <v>43830</v>
      </c>
      <c r="B120" s="43">
        <v>8364060.1399999997</v>
      </c>
      <c r="C120" s="48"/>
      <c r="D120" s="43">
        <v>24418804.210000001</v>
      </c>
      <c r="F120" s="16">
        <f>D120/B120</f>
        <v>2.9194917063329489</v>
      </c>
      <c r="I120" s="15">
        <f>+'[7]FOM Index'!$D470</f>
        <v>3.44</v>
      </c>
    </row>
    <row r="121" spans="1:9" x14ac:dyDescent="0.25">
      <c r="A121" s="45">
        <v>43861</v>
      </c>
      <c r="B121" s="43">
        <v>10799350</v>
      </c>
      <c r="C121"/>
      <c r="D121" s="2">
        <v>26377137.539999999</v>
      </c>
      <c r="F121" s="16">
        <f t="shared" ref="F121:F125" si="5">D121/B121</f>
        <v>2.4424745507831491</v>
      </c>
      <c r="I121" s="15">
        <f>+'[7]FOM Index'!$D471</f>
        <v>3.16</v>
      </c>
    </row>
    <row r="122" spans="1:9" x14ac:dyDescent="0.25">
      <c r="A122" s="45">
        <v>43890</v>
      </c>
      <c r="B122" s="43">
        <v>9107487</v>
      </c>
      <c r="C122"/>
      <c r="D122" s="2">
        <v>15948006.050000001</v>
      </c>
      <c r="F122" s="16">
        <f t="shared" si="5"/>
        <v>1.7510874349861822</v>
      </c>
      <c r="I122" s="15">
        <f>+'[7]FOM Index'!$D472</f>
        <v>1.8</v>
      </c>
    </row>
    <row r="123" spans="1:9" x14ac:dyDescent="0.25">
      <c r="A123" s="45">
        <v>43921</v>
      </c>
      <c r="B123" s="46">
        <v>3022279</v>
      </c>
      <c r="C123"/>
      <c r="D123" s="46">
        <v>4766707.91</v>
      </c>
      <c r="F123" s="16">
        <f t="shared" si="5"/>
        <v>1.5771898987485935</v>
      </c>
      <c r="I123" s="15">
        <f>+'[7]FOM Index'!$D473</f>
        <v>1.56</v>
      </c>
    </row>
    <row r="124" spans="1:9" x14ac:dyDescent="0.25">
      <c r="A124" s="45">
        <v>43951</v>
      </c>
      <c r="B124" s="46">
        <v>2775500</v>
      </c>
      <c r="C124"/>
      <c r="D124" s="46">
        <v>3970965.0799999996</v>
      </c>
      <c r="F124" s="16">
        <f t="shared" si="5"/>
        <v>1.4307206197081606</v>
      </c>
      <c r="I124" s="15">
        <f>+'[7]FOM Index'!$D474</f>
        <v>1.29</v>
      </c>
    </row>
    <row r="125" spans="1:9" x14ac:dyDescent="0.25">
      <c r="A125" s="45">
        <v>43982</v>
      </c>
      <c r="B125" s="46">
        <v>1010800</v>
      </c>
      <c r="C125"/>
      <c r="D125" s="46">
        <v>1592303.02</v>
      </c>
      <c r="F125" s="16">
        <f t="shared" si="5"/>
        <v>1.575289889196676</v>
      </c>
      <c r="I125" s="15">
        <f>+'[7]FOM Index'!$D475</f>
        <v>1.59</v>
      </c>
    </row>
    <row r="126" spans="1:9" x14ac:dyDescent="0.25">
      <c r="B126"/>
      <c r="C126"/>
    </row>
  </sheetData>
  <pageMargins left="1.2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M170"/>
  <sheetViews>
    <sheetView topLeftCell="A151" workbookViewId="0">
      <selection activeCell="J167" sqref="J167"/>
    </sheetView>
  </sheetViews>
  <sheetFormatPr defaultRowHeight="15" x14ac:dyDescent="0.25"/>
  <cols>
    <col min="1" max="1" width="10.85546875" style="3" bestFit="1" customWidth="1"/>
    <col min="2" max="2" width="18.85546875" style="3" customWidth="1"/>
    <col min="3" max="3" width="12.7109375" style="3" customWidth="1"/>
    <col min="4" max="4" width="10.42578125" style="3" customWidth="1"/>
    <col min="5" max="5" width="18.42578125" style="3" bestFit="1" customWidth="1"/>
    <col min="6" max="6" width="9.140625" style="3" customWidth="1"/>
    <col min="7" max="7" width="14.7109375" style="3" customWidth="1"/>
    <col min="8" max="8" width="15.7109375" style="3" customWidth="1"/>
    <col min="9" max="10" width="16.85546875" style="3" customWidth="1"/>
    <col min="11" max="11" width="14.85546875" style="3" customWidth="1"/>
    <col min="12" max="12" width="16.5703125" style="3" customWidth="1"/>
    <col min="13" max="13" width="16.42578125" style="3" bestFit="1" customWidth="1"/>
    <col min="14" max="14" width="16.7109375" style="3" bestFit="1" customWidth="1"/>
    <col min="15" max="15" width="18.85546875" style="3" customWidth="1"/>
    <col min="16" max="16" width="10.85546875" style="3" customWidth="1"/>
    <col min="17" max="16384" width="9.140625" style="3"/>
  </cols>
  <sheetData>
    <row r="3" spans="1:12" x14ac:dyDescent="0.25">
      <c r="B3" s="10" t="s">
        <v>21</v>
      </c>
      <c r="C3" s="10" t="s">
        <v>21</v>
      </c>
    </row>
    <row r="4" spans="1:12" ht="23.25" x14ac:dyDescent="0.35">
      <c r="B4" s="10" t="s">
        <v>7</v>
      </c>
      <c r="C4" s="10" t="s">
        <v>7</v>
      </c>
      <c r="K4" s="36" t="s">
        <v>22</v>
      </c>
      <c r="L4" s="36"/>
    </row>
    <row r="5" spans="1:12" x14ac:dyDescent="0.25">
      <c r="B5" s="10" t="s">
        <v>23</v>
      </c>
      <c r="C5" s="10" t="s">
        <v>24</v>
      </c>
    </row>
    <row r="6" spans="1:12" x14ac:dyDescent="0.25">
      <c r="A6" s="3">
        <v>81</v>
      </c>
      <c r="B6" s="2">
        <f>'Co Prod'!B6</f>
        <v>19314840</v>
      </c>
      <c r="C6" s="2">
        <f>116853303/0.98-B6</f>
        <v>99923224.285714284</v>
      </c>
      <c r="D6" s="3" t="s">
        <v>25</v>
      </c>
    </row>
    <row r="7" spans="1:12" x14ac:dyDescent="0.25">
      <c r="A7" s="3">
        <v>82</v>
      </c>
      <c r="B7" s="2">
        <f>'Co Prod'!B7</f>
        <v>43246998.149999999</v>
      </c>
      <c r="C7" s="2">
        <f>124070111/0.98-B7</f>
        <v>83355155.931632668</v>
      </c>
      <c r="D7" s="3" t="s">
        <v>25</v>
      </c>
    </row>
    <row r="8" spans="1:12" x14ac:dyDescent="0.25">
      <c r="A8" s="3">
        <v>83</v>
      </c>
      <c r="B8" s="2">
        <f>'Co Prod'!B8</f>
        <v>34826991</v>
      </c>
      <c r="C8" s="2">
        <f>118467648/0.98-B8</f>
        <v>86058364.102040812</v>
      </c>
      <c r="D8" s="3" t="s">
        <v>25</v>
      </c>
    </row>
    <row r="9" spans="1:12" x14ac:dyDescent="0.25">
      <c r="A9" s="3">
        <v>84</v>
      </c>
      <c r="B9" s="2">
        <f>'Co Prod'!B9</f>
        <v>37820993.549999997</v>
      </c>
      <c r="C9" s="2">
        <v>81135632.299999997</v>
      </c>
    </row>
    <row r="10" spans="1:12" x14ac:dyDescent="0.25">
      <c r="A10" s="3">
        <v>85</v>
      </c>
      <c r="B10" s="2">
        <f>'Co Prod'!B10</f>
        <v>34069999.649999999</v>
      </c>
      <c r="C10" s="2">
        <v>79338914.219999999</v>
      </c>
    </row>
    <row r="11" spans="1:12" x14ac:dyDescent="0.25">
      <c r="A11" s="3">
        <v>86</v>
      </c>
      <c r="B11" s="2">
        <f>'Co Prod'!B11</f>
        <v>27368998.349999998</v>
      </c>
      <c r="C11" s="2">
        <v>74494419</v>
      </c>
    </row>
    <row r="12" spans="1:12" x14ac:dyDescent="0.25">
      <c r="A12" s="3">
        <v>87</v>
      </c>
      <c r="B12" s="2">
        <f>'Co Prod'!B12</f>
        <v>23591997.149999999</v>
      </c>
      <c r="C12" s="2">
        <v>66421173</v>
      </c>
    </row>
    <row r="13" spans="1:12" x14ac:dyDescent="0.25">
      <c r="A13" s="3">
        <v>88</v>
      </c>
      <c r="B13" s="2">
        <f>'Co Prod'!B13</f>
        <v>26008993.350000001</v>
      </c>
      <c r="C13" s="2">
        <v>64729329</v>
      </c>
    </row>
    <row r="14" spans="1:12" x14ac:dyDescent="0.25">
      <c r="A14" s="3">
        <v>89</v>
      </c>
      <c r="B14" s="2">
        <f>'Co Prod'!B14</f>
        <v>24293001.449999999</v>
      </c>
      <c r="C14" s="2">
        <v>56923090</v>
      </c>
    </row>
    <row r="15" spans="1:12" x14ac:dyDescent="0.25">
      <c r="A15" s="3">
        <v>90</v>
      </c>
      <c r="B15" s="2">
        <f>'Co Prod'!B15</f>
        <v>26213995.200000003</v>
      </c>
      <c r="C15" s="2">
        <v>51484195</v>
      </c>
    </row>
    <row r="16" spans="1:12" x14ac:dyDescent="0.25">
      <c r="A16" s="3">
        <v>91</v>
      </c>
      <c r="B16" s="2">
        <f>'Co Prod'!B16</f>
        <v>34580997.299999997</v>
      </c>
      <c r="C16" s="2">
        <v>47885156</v>
      </c>
    </row>
    <row r="17" spans="1:3" x14ac:dyDescent="0.25">
      <c r="A17" s="3">
        <v>92</v>
      </c>
      <c r="B17" s="2">
        <f>'Co Prod'!B17</f>
        <v>33882996.299999997</v>
      </c>
      <c r="C17" s="2">
        <v>65203726.939999998</v>
      </c>
    </row>
    <row r="18" spans="1:3" x14ac:dyDescent="0.25">
      <c r="A18" s="3">
        <v>93</v>
      </c>
      <c r="B18" s="2">
        <f>'Co Prod'!B18</f>
        <v>47120999.549999997</v>
      </c>
      <c r="C18" s="2">
        <v>45285386</v>
      </c>
    </row>
    <row r="19" spans="1:3" x14ac:dyDescent="0.25">
      <c r="A19" s="3">
        <v>94</v>
      </c>
      <c r="B19" s="2">
        <f>'Co Prod'!B19</f>
        <v>47276415</v>
      </c>
      <c r="C19" s="2">
        <v>39990856</v>
      </c>
    </row>
    <row r="20" spans="1:3" x14ac:dyDescent="0.25">
      <c r="A20" s="3">
        <v>95</v>
      </c>
      <c r="B20" s="2">
        <f>'Co Prod'!B20</f>
        <v>49990034.999999993</v>
      </c>
      <c r="C20" s="2">
        <v>30336637</v>
      </c>
    </row>
    <row r="21" spans="1:3" x14ac:dyDescent="0.25">
      <c r="A21" s="3">
        <v>96</v>
      </c>
      <c r="B21" s="2">
        <f>'Co Prod'!B21</f>
        <v>47625735</v>
      </c>
      <c r="C21" s="2">
        <v>37575715</v>
      </c>
    </row>
    <row r="22" spans="1:3" x14ac:dyDescent="0.25">
      <c r="A22" s="3">
        <v>97</v>
      </c>
      <c r="B22" s="2">
        <f>'Co Prod'!B22</f>
        <v>46503000</v>
      </c>
      <c r="C22" s="2">
        <v>53734600</v>
      </c>
    </row>
    <row r="23" spans="1:3" x14ac:dyDescent="0.25">
      <c r="A23" s="3">
        <v>98</v>
      </c>
      <c r="B23" s="2">
        <f>'Co Prod'!B23</f>
        <v>47764000</v>
      </c>
      <c r="C23" s="2">
        <v>52313902</v>
      </c>
    </row>
    <row r="24" spans="1:3" x14ac:dyDescent="0.25">
      <c r="A24" s="3">
        <v>99</v>
      </c>
      <c r="B24" s="2">
        <f>'Co Prod'!B24</f>
        <v>48895000</v>
      </c>
      <c r="C24" s="2">
        <v>46249773</v>
      </c>
    </row>
    <row r="25" spans="1:3" x14ac:dyDescent="0.25">
      <c r="A25" s="3" t="s">
        <v>26</v>
      </c>
      <c r="B25" s="2">
        <f>'Co Prod'!B25</f>
        <v>52781000</v>
      </c>
      <c r="C25" s="2">
        <v>46425578</v>
      </c>
    </row>
    <row r="26" spans="1:3" x14ac:dyDescent="0.25">
      <c r="A26" s="3" t="s">
        <v>27</v>
      </c>
      <c r="B26" s="2">
        <f>'Co Prod'!B26</f>
        <v>48475000</v>
      </c>
      <c r="C26" s="2">
        <v>52979036</v>
      </c>
    </row>
    <row r="27" spans="1:3" x14ac:dyDescent="0.25">
      <c r="A27" s="3" t="s">
        <v>28</v>
      </c>
      <c r="B27" s="2">
        <f>'Co Prod'!B27</f>
        <v>52970000</v>
      </c>
      <c r="C27" s="2">
        <v>56912695</v>
      </c>
    </row>
    <row r="28" spans="1:3" x14ac:dyDescent="0.25">
      <c r="A28" s="3" t="s">
        <v>29</v>
      </c>
      <c r="B28" s="2">
        <f>'Co Prod'!B28</f>
        <v>51885000</v>
      </c>
      <c r="C28" s="2">
        <v>45115003</v>
      </c>
    </row>
    <row r="29" spans="1:3" x14ac:dyDescent="0.25">
      <c r="A29" s="3" t="s">
        <v>30</v>
      </c>
      <c r="B29" s="2">
        <f>'Co Prod'!B29</f>
        <v>49694000</v>
      </c>
      <c r="C29" s="2">
        <v>63287064</v>
      </c>
    </row>
    <row r="30" spans="1:3" x14ac:dyDescent="0.25">
      <c r="A30" s="3" t="s">
        <v>31</v>
      </c>
      <c r="B30" s="2">
        <f>'Co Prod'!B30</f>
        <v>49481000</v>
      </c>
      <c r="C30" s="2">
        <v>61950995</v>
      </c>
    </row>
    <row r="31" spans="1:3" x14ac:dyDescent="0.25">
      <c r="A31" s="3" t="s">
        <v>32</v>
      </c>
      <c r="B31" s="2">
        <f>'Co Prod'!B31</f>
        <v>48701000</v>
      </c>
      <c r="C31" s="2">
        <v>63003039</v>
      </c>
    </row>
    <row r="32" spans="1:3" x14ac:dyDescent="0.25">
      <c r="A32" s="3" t="s">
        <v>33</v>
      </c>
      <c r="B32" s="2">
        <f>'Co Prod'!B32</f>
        <v>39670000</v>
      </c>
      <c r="C32" s="2">
        <v>74222918</v>
      </c>
    </row>
    <row r="33" spans="1:13" x14ac:dyDescent="0.25">
      <c r="A33" s="3" t="s">
        <v>34</v>
      </c>
      <c r="B33" s="2">
        <f>'Co Prod'!B33</f>
        <v>55576000</v>
      </c>
      <c r="C33" s="2">
        <v>62828533</v>
      </c>
    </row>
    <row r="34" spans="1:13" x14ac:dyDescent="0.25">
      <c r="A34" s="3" t="s">
        <v>35</v>
      </c>
      <c r="B34" s="2">
        <f>'Co Prod'!B34</f>
        <v>58432000</v>
      </c>
      <c r="C34" s="2">
        <v>57448633</v>
      </c>
    </row>
    <row r="35" spans="1:13" x14ac:dyDescent="0.25">
      <c r="A35" s="3" t="s">
        <v>36</v>
      </c>
      <c r="B35" s="2">
        <f>'Co Prod'!B35</f>
        <v>60422000</v>
      </c>
      <c r="C35" s="2">
        <v>56643058</v>
      </c>
    </row>
    <row r="36" spans="1:13" x14ac:dyDescent="0.25">
      <c r="A36" s="3" t="s">
        <v>37</v>
      </c>
      <c r="B36" s="2">
        <f>'Co Prod'!B36</f>
        <v>61306000</v>
      </c>
      <c r="C36" s="2">
        <f>'Purch Gas'!B36</f>
        <v>57100064</v>
      </c>
      <c r="D36" s="13"/>
    </row>
    <row r="37" spans="1:13" x14ac:dyDescent="0.25">
      <c r="A37" s="3" t="s">
        <v>38</v>
      </c>
      <c r="B37" s="2">
        <f>'Co Prod'!B37</f>
        <v>70015000</v>
      </c>
      <c r="C37" s="2">
        <f>'Purch Gas'!B37</f>
        <v>33372542</v>
      </c>
      <c r="D37" s="3" t="s">
        <v>39</v>
      </c>
    </row>
    <row r="38" spans="1:13" x14ac:dyDescent="0.25">
      <c r="A38" s="3" t="s">
        <v>40</v>
      </c>
      <c r="B38" s="2">
        <f>'Co Prod'!B38</f>
        <v>71916000</v>
      </c>
      <c r="C38" s="2">
        <f>'Purch Gas'!B38</f>
        <v>50085436</v>
      </c>
      <c r="E38" s="47"/>
      <c r="F38" s="47"/>
      <c r="G38" s="2"/>
      <c r="H38" s="2"/>
    </row>
    <row r="39" spans="1:13" x14ac:dyDescent="0.25">
      <c r="A39" s="3" t="s">
        <v>41</v>
      </c>
      <c r="B39" s="2">
        <f>SUM([8]Sheet1!$N$40:$N$51)</f>
        <v>79417359.135260388</v>
      </c>
      <c r="C39" s="2">
        <f>111000000/0.98-B39</f>
        <v>33847946.987188593</v>
      </c>
      <c r="D39" s="3" t="s">
        <v>42</v>
      </c>
      <c r="E39" s="47"/>
      <c r="F39" s="47"/>
      <c r="G39" s="2"/>
      <c r="H39" s="2"/>
    </row>
    <row r="40" spans="1:13" x14ac:dyDescent="0.25">
      <c r="A40" s="3" t="s">
        <v>43</v>
      </c>
      <c r="B40" s="2">
        <f>SUM([8]Sheet1!$N$52:$N$63)</f>
        <v>69703498</v>
      </c>
      <c r="C40" s="2">
        <f>111000000/0.98-B40</f>
        <v>43561808.122448981</v>
      </c>
      <c r="D40" s="3" t="s">
        <v>42</v>
      </c>
      <c r="E40" s="47"/>
      <c r="F40" s="47"/>
      <c r="G40" s="2"/>
      <c r="H40" s="2"/>
    </row>
    <row r="41" spans="1:13" x14ac:dyDescent="0.25">
      <c r="A41" s="3" t="s">
        <v>44</v>
      </c>
      <c r="B41" s="2">
        <f>SUM([8]Sheet1!$N$64:$N$75)</f>
        <v>69670858</v>
      </c>
      <c r="C41" s="2">
        <f>111635701-B41</f>
        <v>41964843</v>
      </c>
      <c r="D41" s="3" t="s">
        <v>42</v>
      </c>
      <c r="E41" s="47"/>
      <c r="F41" s="47"/>
      <c r="G41" s="2"/>
      <c r="H41" s="2"/>
    </row>
    <row r="42" spans="1:13" x14ac:dyDescent="0.25">
      <c r="A42" s="3" t="s">
        <v>116</v>
      </c>
      <c r="B42" s="2">
        <f>SUM([8]Sheet1!$N$76:$N$87)</f>
        <v>69476079.679999992</v>
      </c>
      <c r="C42" s="2">
        <f>111883575-B42</f>
        <v>42407495.320000008</v>
      </c>
      <c r="D42" s="3" t="s">
        <v>42</v>
      </c>
      <c r="E42" s="47"/>
      <c r="F42" s="47"/>
      <c r="G42" s="2"/>
      <c r="H42" s="13"/>
    </row>
    <row r="43" spans="1:13" x14ac:dyDescent="0.25">
      <c r="A43" s="3" t="s">
        <v>131</v>
      </c>
      <c r="B43" s="2">
        <f>SUM([8]Sheet1!$N$88:$N$99)</f>
        <v>73276451.420000002</v>
      </c>
      <c r="C43" s="2">
        <f>113298526-B43</f>
        <v>40022074.579999998</v>
      </c>
      <c r="D43" s="3" t="s">
        <v>42</v>
      </c>
      <c r="E43" s="47"/>
      <c r="F43" s="47"/>
      <c r="G43" s="2"/>
      <c r="H43" s="13"/>
    </row>
    <row r="44" spans="1:13" x14ac:dyDescent="0.25">
      <c r="G44" s="2"/>
      <c r="H44" s="13"/>
    </row>
    <row r="45" spans="1:13" x14ac:dyDescent="0.25">
      <c r="B45" s="13"/>
      <c r="C45" s="15"/>
      <c r="D45" s="15"/>
    </row>
    <row r="46" spans="1:13" x14ac:dyDescent="0.25">
      <c r="B46" s="13"/>
      <c r="C46" s="15"/>
      <c r="D46" s="15"/>
    </row>
    <row r="47" spans="1:13" x14ac:dyDescent="0.25">
      <c r="B47" s="13"/>
      <c r="C47" s="15"/>
      <c r="D47" s="15"/>
    </row>
    <row r="48" spans="1:13" ht="23.25" x14ac:dyDescent="0.35">
      <c r="B48" s="3" t="s">
        <v>60</v>
      </c>
      <c r="E48" s="3" t="s">
        <v>64</v>
      </c>
      <c r="M48" s="36"/>
    </row>
    <row r="49" spans="1:7" x14ac:dyDescent="0.25">
      <c r="B49" s="29" t="s">
        <v>17</v>
      </c>
      <c r="C49" s="29" t="s">
        <v>17</v>
      </c>
      <c r="E49" s="29" t="s">
        <v>17</v>
      </c>
      <c r="G49" s="10" t="s">
        <v>17</v>
      </c>
    </row>
    <row r="50" spans="1:7" x14ac:dyDescent="0.25">
      <c r="B50" s="10" t="s">
        <v>68</v>
      </c>
      <c r="C50" s="10" t="s">
        <v>76</v>
      </c>
      <c r="E50" s="10" t="s">
        <v>77</v>
      </c>
      <c r="G50" s="10" t="s">
        <v>75</v>
      </c>
    </row>
    <row r="51" spans="1:7" x14ac:dyDescent="0.25">
      <c r="A51" s="3">
        <v>81</v>
      </c>
      <c r="B51" s="9">
        <v>0.49440000000000001</v>
      </c>
      <c r="C51" s="9">
        <v>1.9</v>
      </c>
      <c r="E51" s="9">
        <f>'Co Prod'!K6</f>
        <v>0.50230020790020791</v>
      </c>
    </row>
    <row r="52" spans="1:7" x14ac:dyDescent="0.25">
      <c r="A52" s="3">
        <v>82</v>
      </c>
      <c r="B52" s="9">
        <v>0.58440000000000003</v>
      </c>
      <c r="C52" s="9">
        <v>1.9</v>
      </c>
      <c r="E52" s="9">
        <f>'Co Prod'!K7</f>
        <v>0.59585530145530141</v>
      </c>
    </row>
    <row r="53" spans="1:7" x14ac:dyDescent="0.25">
      <c r="A53" s="3">
        <v>83</v>
      </c>
      <c r="B53" s="11">
        <f>ROUND('Co Prod'!J8,2)</f>
        <v>1.61</v>
      </c>
      <c r="C53" s="9">
        <v>1.9</v>
      </c>
      <c r="E53" s="9">
        <f>'Co Prod'!K8</f>
        <v>1.665106626331208</v>
      </c>
    </row>
    <row r="54" spans="1:7" x14ac:dyDescent="0.25">
      <c r="A54" s="3">
        <v>84</v>
      </c>
      <c r="B54" s="11">
        <f>ROUND('Co Prod'!J9,2)</f>
        <v>1.59</v>
      </c>
      <c r="C54" s="12">
        <f>ROUND('Purch Gas'!F9,2)</f>
        <v>3.41</v>
      </c>
      <c r="E54" s="9">
        <f>'Co Prod'!K9</f>
        <v>1.6425008055406285</v>
      </c>
    </row>
    <row r="55" spans="1:7" x14ac:dyDescent="0.25">
      <c r="A55" s="3">
        <v>85</v>
      </c>
      <c r="B55" s="11">
        <f>ROUND('Co Prod'!J10,2)</f>
        <v>1.5</v>
      </c>
      <c r="C55" s="12">
        <f>ROUND('Purch Gas'!F10,2)</f>
        <v>3.66</v>
      </c>
      <c r="E55" s="9">
        <f>'Co Prod'!K10</f>
        <v>1.5432919386922774</v>
      </c>
    </row>
    <row r="56" spans="1:7" x14ac:dyDescent="0.25">
      <c r="A56" s="3">
        <v>86</v>
      </c>
      <c r="B56" s="11">
        <f>ROUND('Co Prod'!J11,2)</f>
        <v>1.99</v>
      </c>
      <c r="C56" s="12">
        <f>ROUND('Purch Gas'!F11,2)</f>
        <v>3.36</v>
      </c>
      <c r="E56" s="9">
        <f>'Co Prod'!K11</f>
        <v>2.058911696222069</v>
      </c>
    </row>
    <row r="57" spans="1:7" x14ac:dyDescent="0.25">
      <c r="A57" s="3">
        <v>87</v>
      </c>
      <c r="B57" s="11">
        <f>ROUND('Co Prod'!J12,2)</f>
        <v>2.02</v>
      </c>
      <c r="C57" s="12">
        <f>ROUND('Purch Gas'!F12,2)</f>
        <v>2.92</v>
      </c>
      <c r="E57" s="9">
        <f>'Co Prod'!K12</f>
        <v>2.0906357281447261</v>
      </c>
    </row>
    <row r="58" spans="1:7" x14ac:dyDescent="0.25">
      <c r="A58" s="3">
        <v>88</v>
      </c>
      <c r="B58" s="11">
        <f>ROUND('Co Prod'!J13,2)</f>
        <v>1.71</v>
      </c>
      <c r="C58" s="12">
        <f>ROUND('Purch Gas'!F13,2)</f>
        <v>2.69</v>
      </c>
      <c r="E58" s="9">
        <f>'Co Prod'!K13</f>
        <v>1.7642077932747395</v>
      </c>
    </row>
    <row r="59" spans="1:7" x14ac:dyDescent="0.25">
      <c r="A59" s="3">
        <v>89</v>
      </c>
      <c r="B59" s="11">
        <f>ROUND('Co Prod'!J14,2)</f>
        <v>1.59</v>
      </c>
      <c r="C59" s="12">
        <f>ROUND('Purch Gas'!F14,2)</f>
        <v>3.22</v>
      </c>
      <c r="E59" s="9">
        <f>'Co Prod'!K14</f>
        <v>1.6443986028404507</v>
      </c>
    </row>
    <row r="60" spans="1:7" x14ac:dyDescent="0.25">
      <c r="A60" s="3">
        <v>90</v>
      </c>
      <c r="B60" s="11">
        <f>ROUND('Co Prod'!J15,2)</f>
        <v>1.59</v>
      </c>
      <c r="C60" s="12">
        <f>ROUND('Purch Gas'!F15,2)</f>
        <v>3.61</v>
      </c>
      <c r="E60" s="9">
        <f>'Co Prod'!K15</f>
        <v>1.6417932217956843</v>
      </c>
    </row>
    <row r="61" spans="1:7" x14ac:dyDescent="0.25">
      <c r="A61" s="3">
        <v>91</v>
      </c>
      <c r="B61" s="11">
        <f>ROUND('Co Prod'!J16,2)</f>
        <v>1.63</v>
      </c>
      <c r="C61" s="12">
        <f>ROUND('Purch Gas'!F16,2)</f>
        <v>3.72</v>
      </c>
      <c r="E61" s="9">
        <f>'Co Prod'!K16</f>
        <v>1.6853432832949524</v>
      </c>
    </row>
    <row r="62" spans="1:7" x14ac:dyDescent="0.25">
      <c r="A62" s="3">
        <v>92</v>
      </c>
      <c r="B62" s="11">
        <f>ROUND('Co Prod'!J17,2)</f>
        <v>1.94</v>
      </c>
      <c r="C62" s="12">
        <f>ROUND('Purch Gas'!F17,2)</f>
        <v>2.31</v>
      </c>
      <c r="E62" s="9">
        <f>'Co Prod'!K17</f>
        <v>2.005496590072569</v>
      </c>
    </row>
    <row r="63" spans="1:7" x14ac:dyDescent="0.25">
      <c r="A63" s="3">
        <v>93</v>
      </c>
      <c r="B63" s="11">
        <f>ROUND('Co Prod'!J18,2)</f>
        <v>1.57</v>
      </c>
      <c r="C63" s="12">
        <f>ROUND('Purch Gas'!F18,2)</f>
        <v>2.8</v>
      </c>
      <c r="E63" s="9">
        <f>'Co Prod'!K18</f>
        <v>1.6226050480247503</v>
      </c>
    </row>
    <row r="64" spans="1:7" x14ac:dyDescent="0.25">
      <c r="A64" s="3">
        <v>94</v>
      </c>
      <c r="B64" s="11">
        <f>ROUND('Co Prod'!J19,2)</f>
        <v>1.85</v>
      </c>
      <c r="C64" s="12">
        <f>ROUND('Purch Gas'!F19,2)</f>
        <v>1.84</v>
      </c>
      <c r="E64" s="9">
        <f>'Co Prod'!K19</f>
        <v>1.92559037103468</v>
      </c>
    </row>
    <row r="65" spans="1:5" x14ac:dyDescent="0.25">
      <c r="A65" s="3">
        <v>95</v>
      </c>
      <c r="B65" s="11">
        <f>ROUND('Co Prod'!J20,2)</f>
        <v>1.74</v>
      </c>
      <c r="C65" s="12">
        <f>ROUND('Purch Gas'!F20,2)</f>
        <v>1.48</v>
      </c>
      <c r="E65" s="9">
        <f>'Co Prod'!K20</f>
        <v>1.8037232722768546</v>
      </c>
    </row>
    <row r="66" spans="1:5" x14ac:dyDescent="0.25">
      <c r="A66" s="3">
        <v>96</v>
      </c>
      <c r="B66" s="11">
        <f>ROUND('Co Prod'!J21,2)</f>
        <v>1.97</v>
      </c>
      <c r="C66" s="12">
        <f>ROUND('Purch Gas'!F21,2)</f>
        <v>1.79</v>
      </c>
      <c r="E66" s="9">
        <f>'Co Prod'!K21</f>
        <v>2.0515040516646796</v>
      </c>
    </row>
    <row r="67" spans="1:5" x14ac:dyDescent="0.25">
      <c r="A67" s="3">
        <v>97</v>
      </c>
      <c r="B67" s="11">
        <f>ROUND('Co Prod'!J22,2)</f>
        <v>1.72</v>
      </c>
      <c r="C67" s="12">
        <f>ROUND('Purch Gas'!F22,2)</f>
        <v>2.27</v>
      </c>
      <c r="E67" s="9">
        <f>'Co Prod'!K22</f>
        <v>1.787189195045785</v>
      </c>
    </row>
    <row r="68" spans="1:5" x14ac:dyDescent="0.25">
      <c r="A68" s="3">
        <v>98</v>
      </c>
      <c r="B68" s="11">
        <f>ROUND('Co Prod'!J23,2)</f>
        <v>1.73</v>
      </c>
      <c r="C68" s="12">
        <f>ROUND('Purch Gas'!F23,2)</f>
        <v>1.91</v>
      </c>
      <c r="E68" s="9">
        <f>'Co Prod'!K23</f>
        <v>1.7946958227658125</v>
      </c>
    </row>
    <row r="69" spans="1:5" x14ac:dyDescent="0.25">
      <c r="A69" s="3">
        <v>99</v>
      </c>
      <c r="B69" s="11">
        <f>ROUND('Co Prod'!J24,2)</f>
        <v>1.66</v>
      </c>
      <c r="C69" s="12">
        <f>ROUND('Purch Gas'!F24,2)</f>
        <v>2.0099999999999998</v>
      </c>
      <c r="E69" s="9">
        <f>'Co Prod'!K24</f>
        <v>1.7252489055953626</v>
      </c>
    </row>
    <row r="70" spans="1:5" x14ac:dyDescent="0.25">
      <c r="A70" s="3" t="s">
        <v>26</v>
      </c>
      <c r="B70" s="11">
        <f>ROUND('Co Prod'!J25,2)</f>
        <v>1.76</v>
      </c>
      <c r="C70" s="12">
        <f>ROUND('Purch Gas'!F25,2)</f>
        <v>3.96</v>
      </c>
      <c r="E70" s="9">
        <f>'Co Prod'!K25</f>
        <v>1.8334627429836885</v>
      </c>
    </row>
    <row r="71" spans="1:5" x14ac:dyDescent="0.25">
      <c r="A71" s="3" t="s">
        <v>27</v>
      </c>
      <c r="B71" s="11">
        <f>ROUND('Co Prod'!J26,2)</f>
        <v>2.36</v>
      </c>
      <c r="C71" s="12">
        <f>ROUND('Purch Gas'!F26,2)</f>
        <v>4.9000000000000004</v>
      </c>
      <c r="E71" s="9">
        <f>'Co Prod'!K26</f>
        <v>2.4483275239932283</v>
      </c>
    </row>
    <row r="72" spans="1:5" x14ac:dyDescent="0.25">
      <c r="A72" s="3" t="s">
        <v>28</v>
      </c>
      <c r="B72" s="11">
        <f>ROUND('Co Prod'!J27,2)</f>
        <v>2.12</v>
      </c>
      <c r="C72" s="12">
        <f>ROUND('Purch Gas'!F27,2)</f>
        <v>2.5299999999999998</v>
      </c>
      <c r="E72" s="9">
        <f>'Co Prod'!K27</f>
        <v>2.2039468453292321</v>
      </c>
    </row>
    <row r="73" spans="1:5" x14ac:dyDescent="0.25">
      <c r="A73" s="3" t="s">
        <v>29</v>
      </c>
      <c r="B73" s="11">
        <f>ROUND('Co Prod'!J28,2)</f>
        <v>2.54</v>
      </c>
      <c r="C73" s="12">
        <f>ROUND('Purch Gas'!F28,2)</f>
        <v>3.94</v>
      </c>
      <c r="E73" s="9">
        <f>'Co Prod'!K28</f>
        <v>2.6438777956687751</v>
      </c>
    </row>
    <row r="74" spans="1:5" x14ac:dyDescent="0.25">
      <c r="A74" s="3" t="s">
        <v>30</v>
      </c>
      <c r="B74" s="11">
        <f>ROUND('Co Prod'!J29,2)</f>
        <v>2.78</v>
      </c>
      <c r="C74" s="12">
        <f>ROUND('Purch Gas'!F29,2)</f>
        <v>5.31</v>
      </c>
      <c r="E74" s="9">
        <f>'Co Prod'!K29</f>
        <v>2.8913080026895579</v>
      </c>
    </row>
    <row r="75" spans="1:5" x14ac:dyDescent="0.25">
      <c r="A75" s="3" t="s">
        <v>31</v>
      </c>
      <c r="B75" s="11">
        <f>ROUND('Co Prod'!J30,2)</f>
        <v>3.13</v>
      </c>
      <c r="C75" s="12">
        <f>ROUND('Purch Gas'!F30,2)</f>
        <v>7.23</v>
      </c>
      <c r="E75" s="9">
        <f>'Co Prod'!K30</f>
        <v>3.2513512475714124</v>
      </c>
    </row>
    <row r="76" spans="1:5" x14ac:dyDescent="0.25">
      <c r="A76" s="3" t="s">
        <v>32</v>
      </c>
      <c r="B76" s="11">
        <f>ROUND('Co Prod'!J31,2)</f>
        <v>3.65</v>
      </c>
      <c r="C76" s="12">
        <f>ROUND('Purch Gas'!F31,2)</f>
        <v>6.82</v>
      </c>
      <c r="E76" s="9">
        <f>'Co Prod'!K31</f>
        <v>3.7915196134450362</v>
      </c>
    </row>
    <row r="77" spans="1:5" x14ac:dyDescent="0.25">
      <c r="A77" s="3" t="s">
        <v>33</v>
      </c>
      <c r="B77" s="11">
        <f>ROUND('Co Prod'!J32,2)</f>
        <v>4.38</v>
      </c>
      <c r="C77" s="12">
        <f>ROUND('Purch Gas'!F32,2)</f>
        <v>5.05</v>
      </c>
      <c r="E77" s="9">
        <f>'Co Prod'!K32</f>
        <v>4.5510160893378684</v>
      </c>
    </row>
    <row r="78" spans="1:5" x14ac:dyDescent="0.25">
      <c r="A78" s="3" t="s">
        <v>34</v>
      </c>
      <c r="B78" s="11">
        <f>ROUND('Co Prod'!J33,2)</f>
        <v>4.46</v>
      </c>
      <c r="C78" s="12">
        <f>ROUND('Purch Gas'!F33,2)</f>
        <v>6.31</v>
      </c>
      <c r="E78" s="9">
        <f>'Co Prod'!K33</f>
        <v>4.6316103912845303</v>
      </c>
    </row>
    <row r="79" spans="1:5" x14ac:dyDescent="0.25">
      <c r="A79" s="3" t="s">
        <v>35</v>
      </c>
      <c r="B79" s="11">
        <f>ROUND('Co Prod'!J34,2)</f>
        <v>4.42</v>
      </c>
      <c r="C79" s="12">
        <f>ROUND('Purch Gas'!F34,2)</f>
        <v>3.92</v>
      </c>
      <c r="E79" s="9">
        <f>'Co Prod'!K34</f>
        <v>4.5921954682863957</v>
      </c>
    </row>
    <row r="80" spans="1:5" x14ac:dyDescent="0.25">
      <c r="A80" s="3" t="s">
        <v>36</v>
      </c>
      <c r="B80" s="11">
        <f>ROUND('Co Prod'!J35,2)</f>
        <v>4.5599999999999996</v>
      </c>
      <c r="C80" s="12">
        <f>ROUND('Purch Gas'!F35,2)</f>
        <v>4.33</v>
      </c>
      <c r="E80" s="9">
        <f>'Co Prod'!K35</f>
        <v>4.7395489831360056</v>
      </c>
    </row>
    <row r="81" spans="1:12" x14ac:dyDescent="0.25">
      <c r="A81" s="3" t="s">
        <v>37</v>
      </c>
      <c r="B81" s="11">
        <f>ROUND('Co Prod'!J36,2)</f>
        <v>4.74</v>
      </c>
      <c r="C81" s="12">
        <f>ROUND('Purch Gas'!F36,2)</f>
        <v>3.87</v>
      </c>
      <c r="E81" s="9">
        <f>'Co Prod'!K36</f>
        <v>4.6582413226111985</v>
      </c>
    </row>
    <row r="82" spans="1:12" x14ac:dyDescent="0.25">
      <c r="A82" s="3" t="s">
        <v>38</v>
      </c>
      <c r="B82" s="11">
        <f>ROUND('Co Prod'!J37,2)</f>
        <v>4.2699999999999996</v>
      </c>
      <c r="C82" s="12">
        <f>ROUND('Purch Gas'!F37,2)</f>
        <v>3.12</v>
      </c>
      <c r="E82" s="9">
        <f>'Co Prod'!K37</f>
        <v>4.2530192932048845</v>
      </c>
    </row>
    <row r="83" spans="1:12" x14ac:dyDescent="0.25">
      <c r="A83" s="3" t="s">
        <v>40</v>
      </c>
      <c r="B83" s="11">
        <f>ROUND('Co Prod'!J38,2)</f>
        <v>4.6100000000000003</v>
      </c>
      <c r="C83" s="12">
        <f>ROUND('Purch Gas'!F38,2)</f>
        <v>3.73</v>
      </c>
      <c r="E83" s="9">
        <f>'Co Prod'!K38</f>
        <v>4.6411103901724013</v>
      </c>
    </row>
    <row r="84" spans="1:12" x14ac:dyDescent="0.25">
      <c r="A84" s="3" t="s">
        <v>41</v>
      </c>
      <c r="B84" s="11">
        <f>ROUND('Co Prod'!J39,2)</f>
        <v>5.04</v>
      </c>
      <c r="C84" s="12">
        <f>ROUND('Purch Gas'!F39,2)</f>
        <v>4.7699999999999996</v>
      </c>
      <c r="E84" s="9">
        <f>'Co Prod'!K39</f>
        <v>5.1841745280774658</v>
      </c>
    </row>
    <row r="85" spans="1:12" x14ac:dyDescent="0.25">
      <c r="A85" s="19" t="s">
        <v>43</v>
      </c>
      <c r="B85" s="11">
        <f>ROUND('Co Prod'!J40,2)</f>
        <v>5.0999999999999996</v>
      </c>
      <c r="C85" s="12">
        <f>ROUND('Purch Gas'!F40,2)</f>
        <v>2.5099999999999998</v>
      </c>
      <c r="E85" s="9">
        <f>'Co Prod'!K40</f>
        <v>5.1507389472245348</v>
      </c>
    </row>
    <row r="86" spans="1:12" x14ac:dyDescent="0.25">
      <c r="A86" s="19" t="s">
        <v>44</v>
      </c>
      <c r="B86" s="11">
        <f>ROUND('Co Prod'!J41,2)</f>
        <v>0</v>
      </c>
      <c r="C86" s="12">
        <f>ROUND('Purch Gas'!F41,2)</f>
        <v>2.52</v>
      </c>
      <c r="E86" s="9">
        <f>'Co Prod'!K41</f>
        <v>4.923098884523661</v>
      </c>
      <c r="G86" s="9">
        <f>+'Purch Gas'!I41</f>
        <v>2.2326087316655929</v>
      </c>
    </row>
    <row r="87" spans="1:12" x14ac:dyDescent="0.25">
      <c r="A87" s="19" t="s">
        <v>116</v>
      </c>
      <c r="B87" s="11">
        <f>ROUND('Co Prod'!J42,2)</f>
        <v>0</v>
      </c>
      <c r="C87" s="12">
        <f>ROUND('Purch Gas'!F42,2)</f>
        <v>2.9</v>
      </c>
      <c r="E87" s="9">
        <f>'Co Prod'!K42</f>
        <v>4.8935051740123443</v>
      </c>
      <c r="G87" s="9">
        <f>+'Purch Gas'!I42</f>
        <v>2.7251760473211455</v>
      </c>
    </row>
    <row r="88" spans="1:12" x14ac:dyDescent="0.25">
      <c r="A88" s="19" t="s">
        <v>131</v>
      </c>
      <c r="B88" s="11">
        <f>ROUND('Co Prod'!J43,2)</f>
        <v>0</v>
      </c>
      <c r="C88" s="12">
        <f>ROUND('Purch Gas'!F43,2)</f>
        <v>3.56</v>
      </c>
      <c r="E88" s="9">
        <f>'Co Prod'!K43</f>
        <v>3.9401245416090624</v>
      </c>
      <c r="G88" s="9">
        <f>+'Purch Gas'!I43</f>
        <v>2.6386401272066737</v>
      </c>
    </row>
    <row r="89" spans="1:12" x14ac:dyDescent="0.25">
      <c r="A89" s="19" t="s">
        <v>145</v>
      </c>
      <c r="B89" s="11">
        <f>ROUND('Co Prod'!J44,2)</f>
        <v>0</v>
      </c>
      <c r="C89" s="12">
        <f>ROUND('Purch Gas'!F44,2)</f>
        <v>3.09</v>
      </c>
      <c r="E89" s="9">
        <f>'Co Prod'!K44</f>
        <v>3.8767868119999509</v>
      </c>
      <c r="G89" s="9">
        <f>+'Purch Gas'!I44</f>
        <v>2.5990924886696782</v>
      </c>
    </row>
    <row r="90" spans="1:12" x14ac:dyDescent="0.25">
      <c r="A90" s="19" t="s">
        <v>144</v>
      </c>
      <c r="B90" s="11">
        <f>ROUND('Co Prod'!J45,2)</f>
        <v>0</v>
      </c>
      <c r="C90" s="12">
        <f>ROUND('Purch Gas'!F45,2)</f>
        <v>1.97</v>
      </c>
      <c r="E90" s="9">
        <f>'Co Prod'!K45</f>
        <v>4.0085320525219492</v>
      </c>
      <c r="G90" s="9">
        <f>+'Purch Gas'!I45</f>
        <v>1.8926964463553297</v>
      </c>
    </row>
    <row r="91" spans="1:12" x14ac:dyDescent="0.25">
      <c r="A91" s="19"/>
      <c r="B91" s="11"/>
      <c r="C91" s="12"/>
      <c r="E91" s="9"/>
      <c r="G91" s="21"/>
    </row>
    <row r="92" spans="1:12" x14ac:dyDescent="0.25">
      <c r="G92" s="3" t="s">
        <v>60</v>
      </c>
      <c r="H92" s="3" t="s">
        <v>64</v>
      </c>
      <c r="I92" s="37" t="s">
        <v>60</v>
      </c>
      <c r="J92" s="3" t="s">
        <v>64</v>
      </c>
    </row>
    <row r="93" spans="1:12" ht="60" x14ac:dyDescent="0.25">
      <c r="B93" s="10" t="s">
        <v>62</v>
      </c>
      <c r="C93" s="3" t="s">
        <v>63</v>
      </c>
      <c r="D93" s="38" t="s">
        <v>75</v>
      </c>
      <c r="E93" s="38" t="s">
        <v>65</v>
      </c>
      <c r="G93" s="38" t="s">
        <v>66</v>
      </c>
      <c r="H93" s="38" t="s">
        <v>96</v>
      </c>
      <c r="I93" s="39" t="s">
        <v>67</v>
      </c>
      <c r="J93" s="38" t="s">
        <v>97</v>
      </c>
      <c r="K93" s="38"/>
      <c r="L93" s="38"/>
    </row>
    <row r="94" spans="1:12" x14ac:dyDescent="0.25">
      <c r="A94" s="3" t="s">
        <v>47</v>
      </c>
      <c r="B94" s="40">
        <v>4.6100000000000003</v>
      </c>
      <c r="C94" s="16">
        <f>'Purch Gas'!F49</f>
        <v>4.4540116205525679</v>
      </c>
      <c r="E94" s="40">
        <f>'[9]Feb 2014'!$O$42</f>
        <v>4.7869944111949003</v>
      </c>
      <c r="G94" s="40">
        <v>4.6100000000000003</v>
      </c>
      <c r="H94" s="40"/>
      <c r="I94" s="41"/>
      <c r="J94" s="40"/>
    </row>
    <row r="95" spans="1:12" x14ac:dyDescent="0.25">
      <c r="A95" s="3" t="s">
        <v>48</v>
      </c>
      <c r="B95" s="40">
        <v>4.6050886235694932</v>
      </c>
      <c r="C95" s="16">
        <f>'Purch Gas'!F50</f>
        <v>7.5642422638697493</v>
      </c>
      <c r="E95" s="40">
        <f>'[9]Feb 2014'!$O$42</f>
        <v>4.7869944111949003</v>
      </c>
      <c r="G95" s="40">
        <v>4.6100000000000003</v>
      </c>
      <c r="H95" s="40"/>
      <c r="I95" s="41"/>
      <c r="J95" s="40"/>
    </row>
    <row r="96" spans="1:12" x14ac:dyDescent="0.25">
      <c r="A96" s="3" t="s">
        <v>49</v>
      </c>
      <c r="B96" s="40">
        <v>4.6318469855621709</v>
      </c>
      <c r="C96" s="16">
        <f>'Purch Gas'!F51</f>
        <v>5.1880559405381561</v>
      </c>
      <c r="E96" s="40">
        <f>'[9]Mar 2014'!$O$14</f>
        <v>4.8148239226666192</v>
      </c>
      <c r="G96" s="40">
        <v>4.63</v>
      </c>
      <c r="H96" s="40"/>
      <c r="I96" s="41"/>
      <c r="J96" s="40"/>
    </row>
    <row r="97" spans="1:10" x14ac:dyDescent="0.25">
      <c r="A97" s="3" t="s">
        <v>50</v>
      </c>
      <c r="B97" s="40">
        <v>4.6330086054338091</v>
      </c>
      <c r="C97" s="16">
        <f>'Purch Gas'!F52</f>
        <v>4.4093144696459312</v>
      </c>
      <c r="E97" s="40">
        <f>'[9]April 2014'!$O$14</f>
        <v>4.816015418519024</v>
      </c>
      <c r="G97" s="40">
        <v>4.63</v>
      </c>
      <c r="H97" s="40"/>
      <c r="I97" s="41"/>
      <c r="J97" s="40"/>
    </row>
    <row r="98" spans="1:10" x14ac:dyDescent="0.25">
      <c r="A98" s="3" t="s">
        <v>51</v>
      </c>
      <c r="B98" s="40">
        <v>4.6675412736153721</v>
      </c>
      <c r="C98" s="16">
        <f>'Purch Gas'!F53</f>
        <v>4.620385632653063</v>
      </c>
      <c r="E98" s="40">
        <f>'[9]May 2014'!$O$14</f>
        <v>4.8519121803554288</v>
      </c>
      <c r="G98" s="40">
        <v>4.67</v>
      </c>
      <c r="H98" s="40"/>
      <c r="I98" s="41"/>
      <c r="J98" s="40"/>
    </row>
    <row r="99" spans="1:10" x14ac:dyDescent="0.25">
      <c r="A99" s="3" t="s">
        <v>52</v>
      </c>
      <c r="B99" s="15">
        <v>4.7016486779768014</v>
      </c>
      <c r="C99" s="16">
        <f>'Purch Gas'!F54</f>
        <v>3.1778537148806714</v>
      </c>
      <c r="E99" s="42">
        <f>'[9]June 2014'!$O$14</f>
        <v>4.8873668808995934</v>
      </c>
      <c r="G99" s="40">
        <f>'[9]June 2014'!$O$71</f>
        <v>4.8215236462796316</v>
      </c>
      <c r="H99" s="40">
        <f>'[9]June 2014'!$O$72</f>
        <v>5.0119788422865197</v>
      </c>
      <c r="I99" s="41">
        <f>'[9]June 2014'!$O$101</f>
        <v>5.9064972159292513</v>
      </c>
      <c r="J99" s="40">
        <f>'[9]June 2014'!$O$102</f>
        <v>6.1398099957684522</v>
      </c>
    </row>
    <row r="100" spans="1:10" x14ac:dyDescent="0.25">
      <c r="A100" s="3" t="s">
        <v>53</v>
      </c>
      <c r="B100" s="15">
        <v>4.7010600350820582</v>
      </c>
      <c r="C100" s="16">
        <f>'Purch Gas'!F55</f>
        <v>4.0414824178349811</v>
      </c>
      <c r="E100" s="15">
        <f>'[9]July 2014'!$O$14</f>
        <v>4.8867567932245937</v>
      </c>
      <c r="G100" s="40">
        <f>'[9]July 2014'!$O$71</f>
        <v>4.9008146867547806</v>
      </c>
      <c r="H100" s="40">
        <f>'[9]July 2014'!$O$72</f>
        <v>5.0944019612835554</v>
      </c>
      <c r="I100" s="41">
        <f>'[9]July 2014'!$O$101</f>
        <v>6.1583961981676936</v>
      </c>
      <c r="J100" s="40">
        <f>'[9]July 2014'!$O$102</f>
        <v>6.4016592496545668</v>
      </c>
    </row>
    <row r="101" spans="1:10" x14ac:dyDescent="0.25">
      <c r="A101" s="3" t="s">
        <v>54</v>
      </c>
      <c r="B101" s="15">
        <v>4.6793226079431784</v>
      </c>
      <c r="C101" s="16">
        <f>'Purch Gas'!F56</f>
        <v>3.8152277201732514</v>
      </c>
      <c r="E101" s="15">
        <f>'[9]Aug 2014'!$O$14</f>
        <v>4.8641607151176496</v>
      </c>
      <c r="G101" s="40">
        <f>'[9]Aug 2014'!$O$71</f>
        <v>4.8873260723708603</v>
      </c>
      <c r="H101" s="40">
        <f>'[9]Aug 2014'!$O$72</f>
        <v>5.0803805326100422</v>
      </c>
      <c r="I101" s="41">
        <f>'[9]Aug 2014'!$O$101</f>
        <v>6.1716251264938711</v>
      </c>
      <c r="J101" s="40">
        <f>'[9]Aug 2014'!$O$102</f>
        <v>6.4154107344011138</v>
      </c>
    </row>
    <row r="102" spans="1:10" x14ac:dyDescent="0.25">
      <c r="A102" s="3" t="s">
        <v>55</v>
      </c>
      <c r="B102" s="15">
        <v>4.7</v>
      </c>
      <c r="C102" s="16">
        <f>'Purch Gas'!F57</f>
        <v>3.8803672876205577</v>
      </c>
      <c r="E102" s="15">
        <f>'[9]Sep 2014'!$O$14</f>
        <v>4.8886956749664217</v>
      </c>
      <c r="G102" s="40">
        <f>'[9]Sep 2014'!$O$71</f>
        <v>4.9163149946054974</v>
      </c>
      <c r="H102" s="40">
        <f>'[9]Sep 2014'!$O$72</f>
        <v>5.1105145474069618</v>
      </c>
      <c r="I102" s="41">
        <f>'[9]Sep 2014'!$O$101</f>
        <v>6.0798458533793021</v>
      </c>
      <c r="J102" s="40">
        <f>'[9]Sep 2014'!$O$102</f>
        <v>6.320006084593869</v>
      </c>
    </row>
    <row r="103" spans="1:10" x14ac:dyDescent="0.25">
      <c r="A103" s="3" t="s">
        <v>56</v>
      </c>
      <c r="B103" s="15">
        <v>4.75</v>
      </c>
      <c r="C103" s="16">
        <f>'Purch Gas'!F58</f>
        <v>3.2753248571095299</v>
      </c>
      <c r="E103" s="15">
        <f>'[9]Oct 2014'!$O$14</f>
        <v>4.934453141227733</v>
      </c>
      <c r="G103" s="15">
        <f>'[9]Oct 2014'!$O$71</f>
        <v>4.9529240193889432</v>
      </c>
      <c r="H103" s="40">
        <f>'[9]Oct 2014'!$O$72</f>
        <v>5.1485696667244731</v>
      </c>
      <c r="I103" s="41">
        <f>'[9]Oct 2014'!$O$101</f>
        <v>6.1873895413297184</v>
      </c>
      <c r="J103" s="40">
        <f>'[9]Oct 2014'!$O$102</f>
        <v>6.4317978600101027</v>
      </c>
    </row>
    <row r="104" spans="1:10" x14ac:dyDescent="0.25">
      <c r="A104" s="3" t="s">
        <v>57</v>
      </c>
      <c r="B104" s="15">
        <v>4.76</v>
      </c>
      <c r="C104" s="16">
        <f>'Purch Gas'!F59</f>
        <v>3.8927810891216348</v>
      </c>
      <c r="E104" s="15">
        <f>'[9]Nov 2014'!$O$14</f>
        <v>4.943571214512902</v>
      </c>
      <c r="G104" s="40">
        <f>'[9]Nov 2014'!$O$71</f>
        <v>4.9345310759540659</v>
      </c>
      <c r="H104" s="40">
        <f>'[9]Nov 2014'!$O$72</f>
        <v>5.129450182904435</v>
      </c>
      <c r="I104" s="41">
        <f>'[9]Nov 2014'!$O$101</f>
        <v>6.1767047608336592</v>
      </c>
      <c r="J104" s="40">
        <f>'[9]Nov 2014'!$O$102</f>
        <v>6.4206910195776086</v>
      </c>
    </row>
    <row r="105" spans="1:10" x14ac:dyDescent="0.25">
      <c r="A105" s="3" t="s">
        <v>58</v>
      </c>
      <c r="B105" s="15">
        <v>5.04</v>
      </c>
      <c r="C105" s="16">
        <f>'Purch Gas'!F60</f>
        <v>3.7862184488110757</v>
      </c>
      <c r="E105" s="15">
        <f>'[9]Dec 2014'!$O$14</f>
        <v>5.2412760550939597</v>
      </c>
      <c r="G105" s="40">
        <f>'[9]Dec 2014'!$O$69</f>
        <v>4.9682189677546349</v>
      </c>
      <c r="H105" s="40">
        <f>'[9]Dec 2014'!$O$70</f>
        <v>5.1644687814497257</v>
      </c>
      <c r="I105" s="41">
        <f>'[9]Dec 2014'!$O$99</f>
        <v>6.2656298817243101</v>
      </c>
      <c r="J105" s="40">
        <f>'[9]Dec 2014'!$O$100</f>
        <v>6.5131287751811966</v>
      </c>
    </row>
    <row r="106" spans="1:10" x14ac:dyDescent="0.25">
      <c r="A106" s="3" t="s">
        <v>47</v>
      </c>
      <c r="B106" s="15">
        <f>'[1]Jan 2015'!$O$13</f>
        <v>5.1371806357431291</v>
      </c>
      <c r="C106" s="16">
        <f>'Purch Gas'!F61</f>
        <v>2.862590478671275</v>
      </c>
      <c r="E106" s="15">
        <f>'[1]Jan 2015'!$O$39</f>
        <v>5.2624738477935544</v>
      </c>
      <c r="G106" s="15">
        <f>'[1]Jan 2015'!$O$66</f>
        <v>5.061307005148814</v>
      </c>
      <c r="H106" s="15">
        <f>'[1]Jan 2015'!$O$67</f>
        <v>5.1616395227519769</v>
      </c>
      <c r="I106" s="15">
        <f>'[1]Jan 2015'!$O$96</f>
        <v>6.2932125679050168</v>
      </c>
      <c r="J106" s="15">
        <f>'[1]Jan 2015'!$O$97</f>
        <v>6.8841901034138964</v>
      </c>
    </row>
    <row r="107" spans="1:10" x14ac:dyDescent="0.25">
      <c r="A107" s="3" t="s">
        <v>72</v>
      </c>
      <c r="B107" s="15">
        <f>'[1]Feb 2015'!$O$13</f>
        <v>5.2265190163887292</v>
      </c>
      <c r="C107" s="16">
        <f>'Purch Gas'!F62</f>
        <v>3.0701957385172909</v>
      </c>
      <c r="E107" s="15">
        <f>'[1]Feb 2015'!$O$39</f>
        <v>5.3395810191252346</v>
      </c>
      <c r="G107" s="15">
        <f>'[1]Feb 2015'!$O$66</f>
        <v>5.1631543053667404</v>
      </c>
      <c r="H107" s="15">
        <f>'[1]Feb 2015'!$O$67</f>
        <v>5.2487094010588384</v>
      </c>
      <c r="I107" s="15">
        <f>'[1]Feb 2015'!$O$96</f>
        <v>6.1013463159622487</v>
      </c>
      <c r="J107" s="15">
        <f>'[1]Feb 2015'!$O$97</f>
        <v>6.6820681844811354</v>
      </c>
    </row>
    <row r="108" spans="1:10" x14ac:dyDescent="0.25">
      <c r="A108" s="19" t="s">
        <v>79</v>
      </c>
      <c r="B108" s="15">
        <f>'[1]Mar 2015'!$O$13</f>
        <v>5.2221927561189272</v>
      </c>
      <c r="C108" s="16">
        <f>'Purch Gas'!F63</f>
        <v>2.7570826673569697</v>
      </c>
      <c r="E108" s="15">
        <f>'[1]Mar 2015'!$O$39</f>
        <v>5.3113656274763761</v>
      </c>
      <c r="G108" s="15">
        <f>'[1]Mar 2015'!$O$66</f>
        <v>5.1540947571108333</v>
      </c>
      <c r="H108" s="15">
        <f>'[1]Mar 2015'!$O$67</f>
        <v>5.2116056170523546</v>
      </c>
      <c r="I108" s="15">
        <f>'[1]Mar 2015'!$O$96</f>
        <v>6.1463963664624259</v>
      </c>
      <c r="J108" s="15">
        <f>'[1]Mar 2015'!$O$97</f>
        <v>6.7957091547676383</v>
      </c>
    </row>
    <row r="109" spans="1:10" x14ac:dyDescent="0.25">
      <c r="A109" s="19" t="s">
        <v>91</v>
      </c>
      <c r="B109" s="15">
        <f>'[1]Apr 2015'!$O$13</f>
        <v>5.22115382558896</v>
      </c>
      <c r="C109" s="16">
        <f>'Purch Gas'!F64</f>
        <v>2.428204423947391</v>
      </c>
      <c r="E109" s="15">
        <f>'[1]Apr 2015'!$O$39</f>
        <v>5.2991114529179546</v>
      </c>
      <c r="G109" s="15">
        <f>'[1]Apr 2015'!$O$66</f>
        <v>5.149198931364463</v>
      </c>
      <c r="H109" s="15">
        <f>'[1]Apr 2015'!$O$67</f>
        <v>5.1947361284113862</v>
      </c>
      <c r="I109" s="15">
        <f>'[1]Apr 2015'!$O$96</f>
        <v>6.1809853278979761</v>
      </c>
      <c r="J109" s="15">
        <f>'[1]Apr 2015'!$O$97</f>
        <v>6.868277325701472</v>
      </c>
    </row>
    <row r="110" spans="1:10" x14ac:dyDescent="0.25">
      <c r="A110" s="19" t="s">
        <v>80</v>
      </c>
      <c r="B110" s="15">
        <f>'[1]May 2015'!$O$13</f>
        <v>5.1980316504789998</v>
      </c>
      <c r="C110" s="16">
        <f>'Purch Gas'!F65</f>
        <v>2.3768030951735484</v>
      </c>
      <c r="E110" s="15">
        <f>'[1]May 2015'!$O$39</f>
        <v>5.2667016506059516</v>
      </c>
      <c r="G110" s="15">
        <f>'[1]May 2015'!$O$66</f>
        <v>5.1233573566142185</v>
      </c>
      <c r="H110" s="15">
        <f>'[1]May 2015'!$O$67</f>
        <v>5.1565015996872052</v>
      </c>
      <c r="I110" s="15">
        <f>'[1]May 2015'!$O$96</f>
        <v>6.2010662246623047</v>
      </c>
      <c r="J110" s="15">
        <f>'[1]May 2015'!$O$97</f>
        <v>6.9518192718375094</v>
      </c>
    </row>
    <row r="111" spans="1:10" x14ac:dyDescent="0.25">
      <c r="A111" s="19" t="s">
        <v>81</v>
      </c>
      <c r="B111" s="15">
        <f>'[1]Jun 2015'!$O$13</f>
        <v>5.1153435128473204</v>
      </c>
      <c r="C111" s="16">
        <f>'Purch Gas'!F66</f>
        <v>2.3819888231932347</v>
      </c>
      <c r="E111" s="15">
        <f>'[1]Jun 2015'!$O$39</f>
        <v>5.1179797336629429</v>
      </c>
      <c r="G111" s="15">
        <f>'[1]Jun 2015'!$O$66</f>
        <v>5.0103875879148445</v>
      </c>
      <c r="H111" s="15">
        <f>'[1]Jun 2015'!$O$67</f>
        <v>4.9830061455756933</v>
      </c>
      <c r="I111" s="15">
        <f>'[1]Jun 2015'!$O$96</f>
        <v>6.7155543663691475</v>
      </c>
      <c r="J111" s="15">
        <f>'[1]Jun 2015'!$O$97</f>
        <v>7.4404664147533932</v>
      </c>
    </row>
    <row r="112" spans="1:10" x14ac:dyDescent="0.25">
      <c r="A112" s="19" t="s">
        <v>82</v>
      </c>
      <c r="B112" s="15">
        <f>'[1]July 2015'!$O$13</f>
        <v>5.0559654878257225</v>
      </c>
      <c r="C112" s="16">
        <f>'Purch Gas'!F67</f>
        <v>2.7913701642081823</v>
      </c>
      <c r="E112" s="15">
        <f>'[1]July 2015'!$O$39</f>
        <v>5.0411931686324394</v>
      </c>
      <c r="G112" s="15">
        <f>'[1]July 2015'!$O$66</f>
        <v>4.956236974505658</v>
      </c>
      <c r="H112" s="15">
        <f>'[1]July 2015'!$O$67</f>
        <v>4.9118099179051411</v>
      </c>
      <c r="I112" s="15">
        <f>'[1]July 2015'!$O$96</f>
        <v>6.5427045921771745</v>
      </c>
      <c r="J112" s="15">
        <f>'[1]July 2015'!$O$97</f>
        <v>7.2284763846002944</v>
      </c>
    </row>
    <row r="113" spans="1:10" x14ac:dyDescent="0.25">
      <c r="A113" s="19" t="s">
        <v>83</v>
      </c>
      <c r="B113" s="15">
        <f>'[1]Aug 2015'!$O$13</f>
        <v>5.0798849201220992</v>
      </c>
      <c r="C113" s="16">
        <f>'Purch Gas'!F68</f>
        <v>2.868590202349663</v>
      </c>
      <c r="E113" s="15">
        <f>'[1]Aug 2015'!$O$39</f>
        <v>5.0376845327660682</v>
      </c>
      <c r="G113" s="15">
        <f>'[1]Aug 2015'!$O$66</f>
        <v>4.9845310935723477</v>
      </c>
      <c r="H113" s="15">
        <f>'[1]Aug 2015'!$O$67</f>
        <v>4.9098134765723405</v>
      </c>
      <c r="I113" s="15">
        <f>'[1]Aug 2015'!$O$96</f>
        <v>6.4899857783935238</v>
      </c>
      <c r="J113" s="15">
        <f>'[1]Aug 2015'!$O$97</f>
        <v>7.212463452534938</v>
      </c>
    </row>
    <row r="114" spans="1:10" x14ac:dyDescent="0.25">
      <c r="A114" s="19" t="s">
        <v>84</v>
      </c>
      <c r="B114" s="15">
        <f>'[1]Sep 2015'!$O$13</f>
        <v>5.1164337168978573</v>
      </c>
      <c r="C114" s="16">
        <f>'Purch Gas'!F69</f>
        <v>1.6315435812108026</v>
      </c>
      <c r="E114" s="15">
        <f>'[1]Sep 2015'!$O$39</f>
        <v>5.0451392080987558</v>
      </c>
      <c r="G114" s="15">
        <f>'[1]Sep 2015'!$O$66</f>
        <v>5.0213447811664009</v>
      </c>
      <c r="H114" s="15">
        <f>'[1]Sep 2015'!$O$67</f>
        <v>4.9198622628723001</v>
      </c>
      <c r="I114" s="15">
        <f>'[1]Sep 2015'!$O$96</f>
        <v>6.5341511807421817</v>
      </c>
      <c r="J114" s="15">
        <f>'[1]Sep 2015'!$O$97</f>
        <v>7.1628020335173694</v>
      </c>
    </row>
    <row r="115" spans="1:10" x14ac:dyDescent="0.25">
      <c r="A115" s="19" t="s">
        <v>85</v>
      </c>
      <c r="B115" s="15">
        <f>'[1]Oct 2015'!$O$13</f>
        <v>5.2196863374901126</v>
      </c>
      <c r="C115" s="16">
        <f>'Purch Gas'!F70</f>
        <v>2.5077777777777777</v>
      </c>
      <c r="E115" s="15">
        <f>'[1]Oct 2015'!$O$39</f>
        <v>5.0988046506886855</v>
      </c>
      <c r="G115" s="15">
        <f>'[1]Oct 2015'!$O$66</f>
        <v>5.135249776223775</v>
      </c>
      <c r="H115" s="15">
        <f>'[1]Oct 2015'!$O$67</f>
        <v>4.9836493114668379</v>
      </c>
      <c r="I115" s="15">
        <f>'[1]Oct 2015'!$O$96</f>
        <v>6.5008892940410368</v>
      </c>
      <c r="J115" s="15">
        <f>'[1]Oct 2015'!$O$97</f>
        <v>7.0333252266704616</v>
      </c>
    </row>
    <row r="116" spans="1:10" x14ac:dyDescent="0.25">
      <c r="A116" s="19" t="s">
        <v>86</v>
      </c>
      <c r="B116" s="15">
        <f>'[1]Nov 2015'!$O$13</f>
        <v>5.256547316923359</v>
      </c>
      <c r="C116" s="16">
        <f>'Purch Gas'!F71</f>
        <v>2.150953871843039</v>
      </c>
      <c r="E116" s="15">
        <f>'[1]Nov 2015'!$O$39</f>
        <v>5.1297251737343057</v>
      </c>
      <c r="G116" s="15">
        <f>'[1]Nov 2015'!$O$66</f>
        <v>5.1713532073975106</v>
      </c>
      <c r="H116" s="15">
        <f>'[1]Nov 2015'!$O$67</f>
        <v>5.0135318665854811</v>
      </c>
      <c r="I116" s="15">
        <f>'[1]Nov 2015'!$O$96</f>
        <v>6.5295453422814322</v>
      </c>
      <c r="J116" s="15">
        <f>'[1]Nov 2015'!$O$97</f>
        <v>7.0543041365889092</v>
      </c>
    </row>
    <row r="117" spans="1:10" x14ac:dyDescent="0.25">
      <c r="A117" s="19" t="s">
        <v>87</v>
      </c>
      <c r="B117" s="15">
        <f>'[1]Dec 2015'!$O$13</f>
        <v>5.244695007644812</v>
      </c>
      <c r="C117" s="16">
        <f>'Purch Gas'!F72</f>
        <v>2.23327552170079</v>
      </c>
      <c r="E117" s="15">
        <f>'[1]Dec 2015'!$O$39</f>
        <v>5.1507389472245348</v>
      </c>
      <c r="G117" s="15">
        <f>+'[2]Dec 2015'!$O$68</f>
        <v>0</v>
      </c>
      <c r="H117" s="15">
        <f>+'[2]Dec 2015'!$O$69</f>
        <v>0</v>
      </c>
      <c r="I117" s="15">
        <f>+'[2]Dec 2015'!$O$98</f>
        <v>0</v>
      </c>
      <c r="J117" s="15">
        <f>+'[2]Dec 2015'!$O$99</f>
        <v>0</v>
      </c>
    </row>
    <row r="118" spans="1:10" x14ac:dyDescent="0.25">
      <c r="A118" s="19" t="s">
        <v>88</v>
      </c>
      <c r="B118" s="15">
        <f>'[2]Jan 2016'!$O$13</f>
        <v>5.2064570898669311</v>
      </c>
      <c r="C118" s="16"/>
      <c r="D118" s="15">
        <f>+'Purch Gas'!I73</f>
        <v>2.2799999999999998</v>
      </c>
      <c r="E118" s="15">
        <f>'[2]Jan 2016'!$O$39</f>
        <v>5.1088698253101779</v>
      </c>
      <c r="G118" s="15">
        <f>+'[2]Jan 2016'!$O$68</f>
        <v>4.979812272294236</v>
      </c>
      <c r="H118" s="15">
        <f>+'[2]Jan 2016'!$O$69</f>
        <v>5.0087007671095467</v>
      </c>
      <c r="I118" s="15">
        <f>+'[2]Jan 2016'!$O$98</f>
        <v>6.0343605238782665</v>
      </c>
      <c r="J118" s="15">
        <f>+'[2]Jan 2016'!$O$99</f>
        <v>6.5377105563182329</v>
      </c>
    </row>
    <row r="119" spans="1:10" x14ac:dyDescent="0.25">
      <c r="A119" s="19" t="s">
        <v>89</v>
      </c>
      <c r="B119" s="15">
        <f>'[2]Feb 2016'!$O$13</f>
        <v>5.1576967467490134</v>
      </c>
      <c r="C119" s="16"/>
      <c r="D119" s="15">
        <f>+'Purch Gas'!I74</f>
        <v>2.02</v>
      </c>
      <c r="E119" s="15">
        <f>'[2]Feb 2016'!$O$39</f>
        <v>5.0630045220431894</v>
      </c>
      <c r="G119" s="15">
        <f>+'[2]Feb 2016'!$O$68</f>
        <v>4.9538277788922906</v>
      </c>
      <c r="H119" s="15">
        <f>+'[2]Feb 2016'!$O$69</f>
        <v>4.9733403254235338</v>
      </c>
      <c r="I119" s="15">
        <f>+'[2]Feb 2016'!$O$98</f>
        <v>5.7238709260561151</v>
      </c>
      <c r="J119" s="15">
        <f>+'[2]Feb 2016'!$O$99</f>
        <v>6.2121701410715389</v>
      </c>
    </row>
    <row r="120" spans="1:10" x14ac:dyDescent="0.25">
      <c r="A120" s="20" t="s">
        <v>92</v>
      </c>
      <c r="B120" s="15">
        <f>'[2]Mar 2016'!$O$13</f>
        <v>4.7530703783385286</v>
      </c>
      <c r="C120" s="16"/>
      <c r="D120" s="15">
        <f>+'Purch Gas'!I75</f>
        <v>1.51</v>
      </c>
      <c r="E120" s="15">
        <f>'[2]Mar 2016'!$O$39</f>
        <v>5.0738958065994142</v>
      </c>
      <c r="G120" s="15">
        <f>+'[2]Mar 2016'!$O$68</f>
        <v>4.9950109827009825</v>
      </c>
      <c r="H120" s="15">
        <f>+'[2]Mar 2016'!$O$69</f>
        <v>5.0034069432176125</v>
      </c>
      <c r="I120" s="15">
        <f>+'[2]Mar 2016'!$O$98</f>
        <v>5.4228136205606177</v>
      </c>
      <c r="J120" s="15">
        <f>+'[2]Mar 2016'!$O$99</f>
        <v>5.8844514402014454</v>
      </c>
    </row>
    <row r="121" spans="1:10" x14ac:dyDescent="0.25">
      <c r="A121" s="19" t="s">
        <v>93</v>
      </c>
      <c r="B121" s="15">
        <f>'[2]Apr 2016'!$O$13</f>
        <v>4.3326309840566495</v>
      </c>
      <c r="C121" s="16"/>
      <c r="D121" s="15">
        <f>+'Purch Gas'!I76</f>
        <v>1.51</v>
      </c>
      <c r="E121" s="15">
        <f>'[2]Apr 2016'!$O$39</f>
        <v>5.0450007310654357</v>
      </c>
      <c r="G121" s="15">
        <f>+'[2]Apr 2016'!$O$68</f>
        <v>4.9991759406702885</v>
      </c>
      <c r="H121" s="15">
        <f>+'[2]Apr 2016'!$O$69</f>
        <v>4.9895654006637491</v>
      </c>
      <c r="I121" s="15">
        <f>+'[2]Apr 2016'!$O$98</f>
        <v>5.2028354472811129</v>
      </c>
      <c r="J121" s="15">
        <f>+'[2]Apr 2016'!$O$99</f>
        <v>5.626679788025668</v>
      </c>
    </row>
    <row r="122" spans="1:10" x14ac:dyDescent="0.25">
      <c r="A122" s="19" t="s">
        <v>94</v>
      </c>
      <c r="B122" s="15">
        <f>'[2]May 2016'!$O$13</f>
        <v>3.8077023251173623</v>
      </c>
      <c r="C122" s="16"/>
      <c r="D122" s="15">
        <f>+'Purch Gas'!I77</f>
        <v>1.77</v>
      </c>
      <c r="E122" s="15">
        <f>'[2]May 2016'!$O$39</f>
        <v>5.0561003002841725</v>
      </c>
      <c r="G122" s="15">
        <f>+'[2]May 2016'!$O$68</f>
        <v>4.995024713952013</v>
      </c>
      <c r="H122" s="15">
        <f>+'[2]May 2016'!$O$69</f>
        <v>5.02195521571526</v>
      </c>
      <c r="I122" s="15">
        <f>+'[2]May 2016'!$O$98</f>
        <v>5.0098145731989918</v>
      </c>
      <c r="J122" s="15">
        <f>+'[2]May 2016'!$O$99</f>
        <v>5.3828084398978566</v>
      </c>
    </row>
    <row r="123" spans="1:10" x14ac:dyDescent="0.25">
      <c r="A123" s="19" t="s">
        <v>95</v>
      </c>
      <c r="B123" s="15">
        <f>'[2]June 2016'!$O$13</f>
        <v>3.7896722607737816</v>
      </c>
      <c r="C123" s="16"/>
      <c r="D123" s="15">
        <f>+'Purch Gas'!I78</f>
        <v>1.78</v>
      </c>
      <c r="E123" s="15">
        <f>'[2]June 2016'!$O$39</f>
        <v>5.1553882388883778</v>
      </c>
      <c r="G123" s="15">
        <f>+'[2]June 2016'!$O$68</f>
        <v>5.5561215811810749</v>
      </c>
      <c r="H123" s="15">
        <f>+'[2]June 2016'!$O$69</f>
        <v>5.1456063315754736</v>
      </c>
      <c r="I123" s="15">
        <f>+'[2]June 2016'!$O$98</f>
        <v>5.4859883323880574</v>
      </c>
      <c r="J123" s="15">
        <f>+'[2]June 2016'!$O$99</f>
        <v>5.2411850322926403</v>
      </c>
    </row>
    <row r="124" spans="1:10" x14ac:dyDescent="0.25">
      <c r="A124" s="19" t="s">
        <v>98</v>
      </c>
      <c r="B124" s="15"/>
      <c r="C124" s="16"/>
      <c r="D124" s="15">
        <f>+'Purch Gas'!I79</f>
        <v>2.52</v>
      </c>
      <c r="E124" s="15">
        <f>'[2]July 2016'!$O$39</f>
        <v>5.1818778468553912</v>
      </c>
      <c r="G124" s="15"/>
      <c r="H124" s="15">
        <f>+'[2]July 2016'!$O$69</f>
        <v>5.1924802535743328</v>
      </c>
      <c r="I124" s="15"/>
      <c r="J124" s="15">
        <f>+'[2]July 2016'!$O$99</f>
        <v>5.0962055939607458</v>
      </c>
    </row>
    <row r="125" spans="1:10" x14ac:dyDescent="0.25">
      <c r="A125" s="19" t="s">
        <v>99</v>
      </c>
      <c r="B125" s="15"/>
      <c r="C125" s="16"/>
      <c r="D125" s="15">
        <f>+'Purch Gas'!I80</f>
        <v>2.5099999999999998</v>
      </c>
      <c r="E125" s="15">
        <f>'[2]Aug 2016'!$O$39</f>
        <v>5.1910007601887544</v>
      </c>
      <c r="G125" s="15"/>
      <c r="H125" s="15">
        <f>+'[2]Aug 2016'!$O$69</f>
        <v>5.2127065831784387</v>
      </c>
      <c r="I125" s="15"/>
      <c r="J125" s="15">
        <f>+'[2]Aug 2016'!$O$99</f>
        <v>5.0266442907858364</v>
      </c>
    </row>
    <row r="126" spans="1:10" x14ac:dyDescent="0.25">
      <c r="A126" s="19" t="s">
        <v>100</v>
      </c>
      <c r="B126" s="15"/>
      <c r="C126" s="16"/>
      <c r="D126" s="15">
        <f>+'Purch Gas'!I81</f>
        <v>2.62</v>
      </c>
      <c r="E126" s="15">
        <f>'[2]Sep 2016'!$O$39</f>
        <v>5.1851113856901421</v>
      </c>
      <c r="G126" s="15"/>
      <c r="H126" s="15">
        <f>+'[2]Sep 2016'!$O$69</f>
        <v>5.2133412515589423</v>
      </c>
      <c r="I126" s="15"/>
      <c r="J126" s="15">
        <f>+'[2]Sep 2016'!$O$99</f>
        <v>4.9821994896532953</v>
      </c>
    </row>
    <row r="127" spans="1:10" x14ac:dyDescent="0.25">
      <c r="A127" s="19" t="s">
        <v>101</v>
      </c>
      <c r="B127" s="15"/>
      <c r="D127" s="15">
        <f>+'Purch Gas'!I82</f>
        <v>2.7</v>
      </c>
      <c r="E127" s="15">
        <f>'[2]Oct 2016'!$O$39</f>
        <v>5.0641323869681942</v>
      </c>
      <c r="G127" s="15"/>
      <c r="H127" s="15">
        <f>+'[2]Oct 2016'!$O$69</f>
        <v>5.0887746719819207</v>
      </c>
      <c r="I127" s="15"/>
      <c r="J127" s="15">
        <f>+'[2]Oct 2016'!$O$99</f>
        <v>4.8948163082139917</v>
      </c>
    </row>
    <row r="128" spans="1:10" x14ac:dyDescent="0.25">
      <c r="A128" s="19" t="s">
        <v>102</v>
      </c>
      <c r="B128" s="15"/>
      <c r="D128" s="15">
        <f>+'Purch Gas'!I83</f>
        <v>2.62</v>
      </c>
      <c r="E128" s="15">
        <f>'[2]Nov 2016'!$O$40</f>
        <v>4.9063635371005603</v>
      </c>
      <c r="G128" s="15"/>
      <c r="H128" s="15">
        <f>+'[2]Nov 2016'!$O$71</f>
        <v>4.9292742725017131</v>
      </c>
      <c r="I128" s="15"/>
      <c r="J128" s="15">
        <f>+'[2]Nov 2016'!$O$101</f>
        <v>4.7592139738808648</v>
      </c>
    </row>
    <row r="129" spans="1:10" x14ac:dyDescent="0.25">
      <c r="A129" s="19" t="s">
        <v>103</v>
      </c>
      <c r="B129" s="15"/>
      <c r="D129" s="15">
        <f>+'Purch Gas'!I84</f>
        <v>2.99</v>
      </c>
      <c r="E129" s="15">
        <f>'[10]Dec 2016'!$O$40</f>
        <v>4.9230988845236601</v>
      </c>
      <c r="G129" s="15"/>
      <c r="H129" s="15">
        <f>+'[10]Dec 2016'!$O$71</f>
        <v>4.9657704301776926</v>
      </c>
      <c r="I129" s="15"/>
      <c r="J129" s="15">
        <f>+'[10]Dec 2016'!$O$101</f>
        <v>4.6620518417867443</v>
      </c>
    </row>
    <row r="130" spans="1:10" x14ac:dyDescent="0.25">
      <c r="A130" s="19" t="s">
        <v>104</v>
      </c>
      <c r="D130" s="15">
        <f>+'Purch Gas'!I85</f>
        <v>3.73</v>
      </c>
      <c r="E130" s="15">
        <f>'[3]Jan 2017'!$O$40</f>
        <v>4.9692444799203832</v>
      </c>
      <c r="G130" s="15"/>
      <c r="H130" s="15">
        <f>+'[3]Jan 2017'!$O$71</f>
        <v>5.0131504770334354</v>
      </c>
      <c r="I130" s="15"/>
      <c r="J130" s="15">
        <f>+'[3]Jan 2017'!$O$101</f>
        <v>4.7006997018413941</v>
      </c>
    </row>
    <row r="131" spans="1:10" x14ac:dyDescent="0.25">
      <c r="A131" s="19" t="s">
        <v>105</v>
      </c>
      <c r="D131" s="15">
        <f>+'Purch Gas'!I86</f>
        <v>3.11</v>
      </c>
      <c r="E131" s="15">
        <f>'[3]Feb 2017'!$O$40</f>
        <v>4.8410981679157024</v>
      </c>
      <c r="H131" s="15">
        <f>+'[3]Feb 2017'!$O$71</f>
        <v>4.869872782513287</v>
      </c>
      <c r="J131" s="15">
        <f>+'[3]Feb 2017'!$O$101</f>
        <v>4.6647829634619775</v>
      </c>
    </row>
    <row r="132" spans="1:10" x14ac:dyDescent="0.25">
      <c r="A132" s="20" t="s">
        <v>106</v>
      </c>
      <c r="D132" s="15">
        <f>+'Purch Gas'!I87</f>
        <v>2.29</v>
      </c>
      <c r="E132" s="15">
        <f>'[3]Mar 2017'!$O$40</f>
        <v>5.0815762477336959</v>
      </c>
      <c r="H132" s="15">
        <f>+'[3]Mar 2017'!$O$71</f>
        <v>5.1441297443460003</v>
      </c>
      <c r="J132" s="15">
        <f>+'[3]Mar 2017'!$O$101</f>
        <v>4.6980335497734389</v>
      </c>
    </row>
    <row r="133" spans="1:10" x14ac:dyDescent="0.25">
      <c r="A133" s="20" t="s">
        <v>107</v>
      </c>
      <c r="D133" s="15">
        <f>+'Purch Gas'!I88</f>
        <v>2.64</v>
      </c>
      <c r="E133" s="15">
        <f>'[3]Apr 2017'!$O$40</f>
        <v>5.0862012987508489</v>
      </c>
      <c r="H133" s="15">
        <f>+'[3]Apr 2017'!$O$71</f>
        <v>5.1488451152079939</v>
      </c>
      <c r="J133" s="15">
        <f>+'[3]Apr 2017'!$O$101</f>
        <v>4.7048535089035397</v>
      </c>
    </row>
    <row r="134" spans="1:10" x14ac:dyDescent="0.25">
      <c r="A134" s="19" t="s">
        <v>108</v>
      </c>
      <c r="D134" s="15">
        <f>+'Purch Gas'!I89</f>
        <v>2.62</v>
      </c>
      <c r="E134" s="15">
        <f>'[3]May 2017'!$O$40</f>
        <v>5.0947857116607507</v>
      </c>
      <c r="H134" s="15">
        <f>+'[3]May 2017'!$O$71</f>
        <v>5.1556404126856288</v>
      </c>
      <c r="J134" s="15">
        <f>+'[3]May 2017'!$O$101</f>
        <v>4.7247050401567074</v>
      </c>
    </row>
    <row r="135" spans="1:10" x14ac:dyDescent="0.25">
      <c r="A135" s="20" t="s">
        <v>109</v>
      </c>
      <c r="D135" s="15">
        <f>+'Purch Gas'!I90</f>
        <v>2.79</v>
      </c>
      <c r="E135" s="15">
        <f>'[3]Jun 2017'!$O$40</f>
        <v>5.159100927911787</v>
      </c>
      <c r="H135" s="15">
        <f>+'[3]Jun 2017'!$O$71</f>
        <v>5.2263749947577915</v>
      </c>
      <c r="J135" s="15">
        <f>+'[3]Jun 2017'!$O$101</f>
        <v>4.7506499873267218</v>
      </c>
    </row>
    <row r="136" spans="1:10" x14ac:dyDescent="0.25">
      <c r="A136" s="19" t="s">
        <v>110</v>
      </c>
      <c r="D136" s="15">
        <f>+'Purch Gas'!I91</f>
        <v>2.63</v>
      </c>
      <c r="E136" s="15">
        <f>'[3]Jul 2017'!$O$40</f>
        <v>5.2109707686282301</v>
      </c>
      <c r="H136" s="15">
        <f>+'[3]Jul 2017'!$O$71</f>
        <v>5.2926041974866234</v>
      </c>
      <c r="J136" s="15">
        <f>+'[3]Jul 2017'!$O$101</f>
        <v>4.7212165431386444</v>
      </c>
    </row>
    <row r="137" spans="1:10" x14ac:dyDescent="0.25">
      <c r="A137" s="20" t="s">
        <v>111</v>
      </c>
      <c r="D137" s="15">
        <f>+'Purch Gas'!I92</f>
        <v>2.59</v>
      </c>
      <c r="E137" s="15">
        <f>'[3]Aug 2017'!$O$40</f>
        <v>5.1505524353854675</v>
      </c>
      <c r="H137" s="15">
        <f>+'[3]Aug 2017'!$O$71</f>
        <v>5.2376314806144784</v>
      </c>
      <c r="J137" s="15">
        <f>+'[3]Aug 2017'!$O$101</f>
        <v>4.6345051016453596</v>
      </c>
    </row>
    <row r="138" spans="1:10" x14ac:dyDescent="0.25">
      <c r="A138" s="19" t="s">
        <v>112</v>
      </c>
      <c r="D138" s="15">
        <f>+'Purch Gas'!I93</f>
        <v>2.59</v>
      </c>
      <c r="E138" s="15">
        <f>'[3]Sep 2017'!$O$40</f>
        <v>5.0979584492351222</v>
      </c>
      <c r="H138" s="15">
        <f>+'[3]Sep 2017'!$O$71</f>
        <v>5.1940075248642152</v>
      </c>
      <c r="J138" s="15">
        <f>+'[3]Sep 2017'!$O$101</f>
        <v>4.5397342762970814</v>
      </c>
    </row>
    <row r="139" spans="1:10" x14ac:dyDescent="0.25">
      <c r="A139" s="19" t="s">
        <v>113</v>
      </c>
      <c r="D139" s="15">
        <f>+'Purch Gas'!I94</f>
        <v>2.48</v>
      </c>
      <c r="E139" s="15">
        <f>'[3]Oct 2017'!$O$40</f>
        <v>5.0950761717880741</v>
      </c>
      <c r="H139" s="15">
        <f>+'[3]Oct 2017'!$O$71</f>
        <v>5.2031168739027649</v>
      </c>
      <c r="J139" s="15">
        <f>+'[3]Oct 2017'!$O$101</f>
        <v>4.4762772746419435</v>
      </c>
    </row>
    <row r="140" spans="1:10" x14ac:dyDescent="0.25">
      <c r="A140" s="19" t="s">
        <v>114</v>
      </c>
      <c r="D140" s="15">
        <f>+'Purch Gas'!I95</f>
        <v>2.63</v>
      </c>
      <c r="E140" s="15">
        <f>'[3]Nov 2017'!$O$40</f>
        <v>4.9737666963187124</v>
      </c>
      <c r="H140" s="15">
        <f>+'[3]Nov 2017'!$O$71</f>
        <v>5.0770600095309568</v>
      </c>
      <c r="J140" s="15">
        <f>+'[3]Nov 2017'!$O$101</f>
        <v>4.3988779958170099</v>
      </c>
    </row>
    <row r="141" spans="1:10" x14ac:dyDescent="0.25">
      <c r="A141" s="19" t="s">
        <v>115</v>
      </c>
      <c r="D141" s="15">
        <f>+'Purch Gas'!I96</f>
        <v>2.73</v>
      </c>
      <c r="E141" s="15">
        <f>'[3]Dec 2017'!$O$40</f>
        <v>4.8935051740123443</v>
      </c>
      <c r="H141" s="15">
        <f>+'[3]Dec 2017'!$O$71</f>
        <v>5.0188690468482795</v>
      </c>
      <c r="J141" s="15">
        <f>+'[3]Dec 2017'!$O$101</f>
        <v>4.2382195149682698</v>
      </c>
    </row>
    <row r="142" spans="1:10" x14ac:dyDescent="0.25">
      <c r="A142" s="19" t="s">
        <v>117</v>
      </c>
      <c r="D142" s="15">
        <f>+'Purch Gas'!I97</f>
        <v>2.5</v>
      </c>
      <c r="E142" s="15">
        <f>'[4]Jan 2018'!$O$40</f>
        <v>4.7868600180087277</v>
      </c>
      <c r="H142" s="15">
        <f>+'[4]Jan 2018'!$O$71</f>
        <v>4.9381879405898168</v>
      </c>
      <c r="J142" s="15">
        <f>+'[4]Jan 2018'!$O$101</f>
        <v>4.0406217023190774</v>
      </c>
    </row>
    <row r="143" spans="1:10" x14ac:dyDescent="0.25">
      <c r="A143" s="19" t="s">
        <v>118</v>
      </c>
      <c r="D143" s="15">
        <f>+'Purch Gas'!I98</f>
        <v>2.8</v>
      </c>
      <c r="E143" s="15">
        <f>'[4]Feb 2018'!$O$40</f>
        <v>4.8247880690958196</v>
      </c>
      <c r="H143" s="15">
        <f>+'[4]Feb 2018'!$O$71</f>
        <v>5.0146928742589738</v>
      </c>
      <c r="J143" s="15">
        <f>+'[4]Feb 2018'!$O$101</f>
        <v>3.9363811816445446</v>
      </c>
    </row>
    <row r="144" spans="1:10" x14ac:dyDescent="0.25">
      <c r="A144" s="19" t="s">
        <v>119</v>
      </c>
      <c r="D144" s="15">
        <f>+'Purch Gas'!I99</f>
        <v>2.17</v>
      </c>
      <c r="E144" s="15">
        <f>'[4]Mar 2018'!$P$40</f>
        <v>4.6754651569450791</v>
      </c>
      <c r="H144" s="15">
        <f>+'[4]Mar 2018'!$P$71</f>
        <v>4.8832721287563947</v>
      </c>
      <c r="J144" s="15">
        <f>+'[4]Mar 2018'!$P$101</f>
        <v>3.7604673166645792</v>
      </c>
    </row>
    <row r="145" spans="1:10" x14ac:dyDescent="0.25">
      <c r="A145" s="19" t="s">
        <v>120</v>
      </c>
      <c r="D145" s="15">
        <f>+'Purch Gas'!I100</f>
        <v>1.85</v>
      </c>
      <c r="E145" s="15">
        <f>'[4]Apr 2018'!$P$40</f>
        <v>4.5773771148318998</v>
      </c>
      <c r="H145" s="15">
        <f>+'[4]Apr 2018'!$P$71</f>
        <v>4.8013782453727245</v>
      </c>
      <c r="J145" s="15">
        <f>+'[4]Apr 2018'!$P$101</f>
        <v>3.6386469358680849</v>
      </c>
    </row>
    <row r="146" spans="1:10" x14ac:dyDescent="0.25">
      <c r="A146" s="19" t="s">
        <v>121</v>
      </c>
      <c r="D146" s="15">
        <f>+'Purch Gas'!I101</f>
        <v>1.9</v>
      </c>
      <c r="E146" s="15">
        <f>'[4]May 2018'!$P$40</f>
        <v>4.5109983336195896</v>
      </c>
      <c r="H146" s="15">
        <f>+'[4]May 2018'!$P$75</f>
        <v>4.7497183186952601</v>
      </c>
      <c r="J146" s="15">
        <f>+'[4]May 2018'!$P$105</f>
        <v>3.5479234394655887</v>
      </c>
    </row>
    <row r="147" spans="1:10" x14ac:dyDescent="0.25">
      <c r="A147" s="19" t="s">
        <v>122</v>
      </c>
      <c r="D147" s="15">
        <f>+'Purch Gas'!I102</f>
        <v>2.09</v>
      </c>
      <c r="E147" s="15">
        <f>'[4]Jun 2018'!$P$40</f>
        <v>4.3720829382293713</v>
      </c>
      <c r="H147" s="15">
        <f>+'[4]Jun 2018'!$P$75</f>
        <v>4.6162875857522856</v>
      </c>
      <c r="J147" s="15">
        <f>+'[4]Jun 2018'!$P$105</f>
        <v>3.4246925510512214</v>
      </c>
    </row>
    <row r="148" spans="1:10" x14ac:dyDescent="0.25">
      <c r="A148" s="19" t="s">
        <v>123</v>
      </c>
      <c r="D148" s="15">
        <f>+'Purch Gas'!I103</f>
        <v>2.2400000000000002</v>
      </c>
      <c r="E148" s="15">
        <f>'[4]Jul 2018'!$P$40</f>
        <v>4.2616224851180613</v>
      </c>
      <c r="H148" s="15">
        <f>+'[4]Jul 2018'!$P$75</f>
        <v>4.5092486322626906</v>
      </c>
      <c r="J148" s="15">
        <f>+'[4]Jul 2018'!$P$105</f>
        <v>3.3383239767115263</v>
      </c>
    </row>
    <row r="149" spans="1:10" x14ac:dyDescent="0.25">
      <c r="A149" s="20" t="s">
        <v>124</v>
      </c>
      <c r="D149" s="15">
        <f>+'Purch Gas'!I104</f>
        <v>2.41</v>
      </c>
      <c r="E149" s="15">
        <f>'[4]Aug 2018'!$P$40</f>
        <v>4.2077847660971672</v>
      </c>
      <c r="H149" s="15">
        <f>+'[4]Aug 2018'!$P$75</f>
        <v>4.4717810215742499</v>
      </c>
      <c r="J149" s="15">
        <f>+'[4]Aug 2018'!$P$105</f>
        <v>3.2607632050372128</v>
      </c>
    </row>
    <row r="150" spans="1:10" x14ac:dyDescent="0.25">
      <c r="A150" s="19" t="s">
        <v>125</v>
      </c>
      <c r="D150" s="15">
        <f>+'Purch Gas'!I105</f>
        <v>2.3199999999999998</v>
      </c>
      <c r="E150" s="15">
        <f>'[4]Sep 2018'!$P$40</f>
        <v>4.1763756736958033</v>
      </c>
      <c r="H150" s="15">
        <f>+'[4]Sep 2018'!$P$75</f>
        <v>4.4527098550043469</v>
      </c>
      <c r="J150" s="15">
        <f>+'[4]Sep 2018'!$P$105</f>
        <v>3.2187495764644773</v>
      </c>
    </row>
    <row r="151" spans="1:10" x14ac:dyDescent="0.25">
      <c r="A151" s="20" t="s">
        <v>126</v>
      </c>
      <c r="D151" s="15">
        <f>+'Purch Gas'!I106</f>
        <v>2.3199999999999998</v>
      </c>
      <c r="E151" s="15">
        <f>'[4]Oct 2018'!$P$40</f>
        <v>4.145611093561139</v>
      </c>
      <c r="H151" s="15">
        <f>+'[4]Oct 2018'!$P$75</f>
        <v>4.4373729029063709</v>
      </c>
      <c r="J151" s="15">
        <f>+'[4]Oct 2018'!$P$105</f>
        <v>3.1652403255275998</v>
      </c>
    </row>
    <row r="152" spans="1:10" x14ac:dyDescent="0.25">
      <c r="A152" s="19" t="s">
        <v>127</v>
      </c>
      <c r="D152" s="15">
        <f>+'Purch Gas'!I107</f>
        <v>3.23</v>
      </c>
      <c r="E152" s="15">
        <f>'[4]Nov 2018'!$P$40</f>
        <v>4.0779561559201465</v>
      </c>
      <c r="H152" s="15">
        <f>+'[4]Nov 2018'!$P$75</f>
        <v>4.3669734465262158</v>
      </c>
      <c r="J152" s="15">
        <f>+'[4]Nov 2018'!$P$105</f>
        <v>3.1206840435825876</v>
      </c>
    </row>
    <row r="153" spans="1:10" x14ac:dyDescent="0.25">
      <c r="A153" s="20" t="s">
        <v>128</v>
      </c>
      <c r="D153" s="15">
        <f>+'Purch Gas'!I108</f>
        <v>5.7</v>
      </c>
      <c r="E153" s="15">
        <f>'[4]Dec 2018'!$P$40</f>
        <v>3.9401245416090616</v>
      </c>
      <c r="H153" s="15">
        <f>+'[4]Dec 2018'!$P$75</f>
        <v>4.2021065479288886</v>
      </c>
      <c r="J153" s="15">
        <f>+'[4]Dec 2018'!$P$106</f>
        <v>3.0733084743179124</v>
      </c>
    </row>
    <row r="154" spans="1:10" x14ac:dyDescent="0.25">
      <c r="A154" s="20" t="s">
        <v>129</v>
      </c>
      <c r="D154" s="15">
        <f>+'Purch Gas'!I109</f>
        <v>4.22</v>
      </c>
      <c r="E154" s="15">
        <f>'[5]Jan 2019'!$P$40</f>
        <v>3.9522085234635198</v>
      </c>
      <c r="H154" s="15">
        <f>+'[5]Jan 2019'!$P$75</f>
        <v>4.2015352995279409</v>
      </c>
      <c r="J154" s="15">
        <f>+'[5]Jan 2019'!$P$106</f>
        <v>3.1257469151736741</v>
      </c>
    </row>
    <row r="155" spans="1:10" x14ac:dyDescent="0.25">
      <c r="A155" s="20" t="s">
        <v>130</v>
      </c>
      <c r="D155" s="15">
        <f>+'Purch Gas'!I110</f>
        <v>3.38</v>
      </c>
      <c r="E155" s="15">
        <f>'[5]Feb 2019'!$P$40</f>
        <v>3.9727825161595378</v>
      </c>
      <c r="H155" s="15">
        <f>+'[5]Feb 2019'!$P$75</f>
        <v>4.2111002173785526</v>
      </c>
      <c r="J155" s="15">
        <f>+'[5]Feb 2019'!$P$106</f>
        <v>3.1797246340449803</v>
      </c>
    </row>
    <row r="156" spans="1:10" x14ac:dyDescent="0.25">
      <c r="A156" s="20" t="s">
        <v>132</v>
      </c>
      <c r="D156" s="15">
        <f>+'Purch Gas'!I111</f>
        <v>3.77</v>
      </c>
      <c r="E156" s="15">
        <f>'[5]Mar 2019'!$P$40</f>
        <v>3.9511191894171054</v>
      </c>
      <c r="H156" s="15">
        <f>+'[5]Mar 2019'!$P$75</f>
        <v>4.1789390467954979</v>
      </c>
      <c r="J156" s="15">
        <f>+'[5]Mar 2019'!$P$106</f>
        <v>3.1909558344032134</v>
      </c>
    </row>
    <row r="157" spans="1:10" x14ac:dyDescent="0.25">
      <c r="A157" s="20" t="s">
        <v>133</v>
      </c>
      <c r="D157" s="15">
        <f>+'Purch Gas'!I112</f>
        <v>2.48</v>
      </c>
      <c r="E157" s="15">
        <f>'[5]Apr 2019'!$P$40</f>
        <v>3.9571121398602624</v>
      </c>
      <c r="H157" s="15">
        <f>+'[5]Apr 2019'!$P$75</f>
        <v>4.1882885951702047</v>
      </c>
      <c r="J157" s="15">
        <f>+'[5]Apr 2019'!$P$106</f>
        <v>3.1828521461463386</v>
      </c>
    </row>
    <row r="158" spans="1:10" x14ac:dyDescent="0.25">
      <c r="A158" s="20" t="s">
        <v>134</v>
      </c>
      <c r="D158" s="15">
        <f>+'Purch Gas'!I113</f>
        <v>1.88</v>
      </c>
      <c r="E158" s="15">
        <f>'[5]May 2019'!$P$40</f>
        <v>3.8980127953085666</v>
      </c>
      <c r="H158" s="15">
        <f>+'[5]May 2019'!$P$75</f>
        <v>4.1172870080658512</v>
      </c>
      <c r="J158" s="15">
        <f>+'[5]May 2019'!$P$106</f>
        <v>3.1610554940743603</v>
      </c>
    </row>
    <row r="159" spans="1:10" x14ac:dyDescent="0.25">
      <c r="A159" s="20" t="s">
        <v>135</v>
      </c>
      <c r="D159" s="15">
        <f>+'Purch Gas'!I114</f>
        <v>1.89</v>
      </c>
      <c r="E159" s="15">
        <f>'[5]Jun 2019'!$P$40</f>
        <v>3.8964293167649036</v>
      </c>
      <c r="H159" s="15">
        <f>+'[5]Jun 2019'!$P$75</f>
        <v>4.1028359678496029</v>
      </c>
      <c r="J159" s="15">
        <f>+'[5]Jun 2019'!$P$106</f>
        <v>3.2009472084596728</v>
      </c>
    </row>
    <row r="160" spans="1:10" x14ac:dyDescent="0.25">
      <c r="A160" s="20" t="s">
        <v>136</v>
      </c>
      <c r="D160" s="15">
        <f>+'Purch Gas'!I115</f>
        <v>1.92</v>
      </c>
      <c r="E160" s="15">
        <f>'[5]Jul 2019'!$P$40</f>
        <v>3.8868251164491552</v>
      </c>
      <c r="H160" s="15">
        <f>+'[5]Jul 2019'!$P$75</f>
        <v>4.0955920844402627</v>
      </c>
      <c r="J160" s="15">
        <f>+'[5]Jul 2019'!$P$106</f>
        <v>3.1867012734081839</v>
      </c>
    </row>
    <row r="161" spans="1:10" x14ac:dyDescent="0.25">
      <c r="A161" s="20" t="s">
        <v>137</v>
      </c>
      <c r="D161" s="15">
        <f>+'Purch Gas'!I116</f>
        <v>2.0099999999999998</v>
      </c>
      <c r="E161" s="15">
        <f>'[5]Aug 2019'!$P$40</f>
        <v>3.8440504169623875</v>
      </c>
      <c r="H161" s="15">
        <f>+'[5]Aug 2019'!$P$75</f>
        <v>4.0331346496888045</v>
      </c>
      <c r="J161" s="15">
        <f>+'[5]Aug 2019'!$P$106</f>
        <v>3.1939829929313035</v>
      </c>
    </row>
    <row r="162" spans="1:10" x14ac:dyDescent="0.25">
      <c r="A162" s="20" t="s">
        <v>138</v>
      </c>
      <c r="D162" s="15">
        <f>+'Purch Gas'!I117</f>
        <v>1.81</v>
      </c>
      <c r="E162" s="15">
        <f>'[5]Sep 2019'!$P$40</f>
        <v>3.8135060725915033</v>
      </c>
      <c r="H162" s="15">
        <f>+'[5]Sep 2019'!$P$75</f>
        <v>3.9951341302271715</v>
      </c>
      <c r="J162" s="15">
        <f>+'[5]Sep 2019'!$P$106</f>
        <v>3.1842623316224641</v>
      </c>
    </row>
    <row r="163" spans="1:10" x14ac:dyDescent="0.25">
      <c r="A163" s="20" t="s">
        <v>139</v>
      </c>
      <c r="D163" s="15">
        <f>+'Purch Gas'!I118</f>
        <v>2.0099999999999998</v>
      </c>
      <c r="E163" s="15">
        <f>'[5]Oct 2019'!$P$40</f>
        <v>3.7887514708638497</v>
      </c>
      <c r="H163" s="15">
        <f>+'[5]Oct 2019'!$P$75</f>
        <v>3.9582165098114244</v>
      </c>
      <c r="J163" s="15">
        <f>+'[5]Oct 2019'!$P$106</f>
        <v>3.197492070735604</v>
      </c>
    </row>
    <row r="164" spans="1:10" x14ac:dyDescent="0.25">
      <c r="A164" s="20" t="s">
        <v>140</v>
      </c>
      <c r="D164" s="15">
        <f>+'Purch Gas'!I119</f>
        <v>2.3199999999999998</v>
      </c>
      <c r="E164" s="15">
        <f>'[5]Nov 2019'!$P$40</f>
        <v>3.7871815632564543</v>
      </c>
      <c r="H164" s="15">
        <f>+'[5]Nov 2019'!$P$75</f>
        <v>3.9566574923919093</v>
      </c>
      <c r="J164" s="15">
        <f>+'[5]Nov 2019'!$P$106</f>
        <v>3.1950272015168193</v>
      </c>
    </row>
    <row r="165" spans="1:10" x14ac:dyDescent="0.25">
      <c r="A165" s="20" t="s">
        <v>141</v>
      </c>
      <c r="D165" s="15">
        <f>+'Purch Gas'!I120</f>
        <v>3.44</v>
      </c>
      <c r="E165" s="15">
        <f>'[5]Dec 2019'!$P$40</f>
        <v>3.87678681199995</v>
      </c>
      <c r="H165" s="15">
        <f>+'[5]Dec 2019'!$P$75</f>
        <v>4.0568725878690204</v>
      </c>
      <c r="J165" s="15">
        <f>+'[5]Dec 2019'!$P$106</f>
        <v>3.2407144577593483</v>
      </c>
    </row>
    <row r="166" spans="1:10" x14ac:dyDescent="0.25">
      <c r="A166" s="20" t="s">
        <v>142</v>
      </c>
      <c r="D166" s="15">
        <f>+'Purch Gas'!I121</f>
        <v>3.16</v>
      </c>
      <c r="E166" s="15">
        <f>'[6]Jan 2020'!$P$40</f>
        <v>3.833158852804349</v>
      </c>
      <c r="H166" s="15">
        <f>+'[6]Jan 2020'!$P$75</f>
        <v>4.0032016689945014</v>
      </c>
      <c r="J166" s="15">
        <f>+'[6]Jan 2020'!$P$106</f>
        <v>3.2270057450163763</v>
      </c>
    </row>
    <row r="167" spans="1:10" x14ac:dyDescent="0.25">
      <c r="A167" s="20" t="s">
        <v>143</v>
      </c>
      <c r="D167" s="15">
        <f>+'Purch Gas'!I122</f>
        <v>1.8</v>
      </c>
      <c r="E167" s="15">
        <f>'[6]Feb 2020'!$P$40</f>
        <v>3.7855742738289395</v>
      </c>
      <c r="H167" s="15">
        <f>+'[6]Feb 2020'!$P$75</f>
        <v>3.9536920587129498</v>
      </c>
      <c r="J167" s="15">
        <f>+'[6]Feb 2020'!$P$106</f>
        <v>3.1786880189078799</v>
      </c>
    </row>
    <row r="168" spans="1:10" x14ac:dyDescent="0.25">
      <c r="A168" s="20" t="s">
        <v>146</v>
      </c>
      <c r="D168" s="15">
        <f>+'Purch Gas'!I123</f>
        <v>1.56</v>
      </c>
      <c r="E168" s="15">
        <f>'[6]Mar 2020'!$P$40</f>
        <v>3.8466495359834267</v>
      </c>
      <c r="H168" s="15">
        <f>+'[6]Mar 2020'!$P$75</f>
        <v>4.0308490244541071</v>
      </c>
      <c r="J168" s="15">
        <f>+'[6]Mar 2020'!$P$106</f>
        <v>3.1692667444289575</v>
      </c>
    </row>
    <row r="169" spans="1:10" x14ac:dyDescent="0.25">
      <c r="A169" s="20" t="s">
        <v>147</v>
      </c>
      <c r="D169" s="15">
        <f>+'Purch Gas'!I124</f>
        <v>1.29</v>
      </c>
      <c r="E169" s="15">
        <f>'[6]Apr 2020'!$P$40</f>
        <v>3.8229347890495418</v>
      </c>
      <c r="H169" s="15">
        <f>+'[6]Apr 2020'!$P$75</f>
        <v>3.99409256846327</v>
      </c>
      <c r="J169" s="15">
        <f>+'[6]Apr 2020'!$P$106</f>
        <v>3.1853495366653628</v>
      </c>
    </row>
    <row r="170" spans="1:10" x14ac:dyDescent="0.25">
      <c r="A170" s="20" t="s">
        <v>148</v>
      </c>
      <c r="D170" s="15">
        <f>+'Purch Gas'!I125</f>
        <v>1.59</v>
      </c>
      <c r="E170" s="15">
        <f>'[6]May 2020'!$P$40</f>
        <v>3.8611799133552096</v>
      </c>
      <c r="H170" s="15">
        <f>+'[6]May 2020'!$P$75</f>
        <v>4.0373757914429786</v>
      </c>
      <c r="J170" s="15">
        <f>+'[6]May 2020'!$P$106</f>
        <v>3.2019193913605353</v>
      </c>
    </row>
  </sheetData>
  <phoneticPr fontId="12" type="noConversion"/>
  <pageMargins left="0" right="0" top="0.75" bottom="0.25" header="0.3" footer="0.3"/>
  <pageSetup scale="50" fitToHeight="3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:AM55"/>
  <sheetViews>
    <sheetView topLeftCell="A33" zoomScale="80" zoomScaleNormal="80" workbookViewId="0"/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4"/>
    </row>
    <row r="31" spans="39:39" x14ac:dyDescent="0.25">
      <c r="AM31" s="14"/>
    </row>
    <row r="40" ht="132" customHeight="1" x14ac:dyDescent="0.25"/>
    <row r="52" spans="2:36" ht="22.5" customHeight="1" x14ac:dyDescent="0.25"/>
    <row r="53" spans="2:36" x14ac:dyDescent="0.25">
      <c r="B53" t="s">
        <v>90</v>
      </c>
    </row>
    <row r="54" spans="2:36" x14ac:dyDescent="0.25">
      <c r="B54" s="49" t="s">
        <v>78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</row>
    <row r="55" spans="2:36" x14ac:dyDescent="0.2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</row>
  </sheetData>
  <mergeCells count="1">
    <mergeCell ref="B54:AJ55"/>
  </mergeCells>
  <pageMargins left="0" right="0" top="0.75" bottom="0.75" header="0.3" footer="0.3"/>
  <pageSetup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:AM56"/>
  <sheetViews>
    <sheetView topLeftCell="A39" zoomScale="80" zoomScaleNormal="80" workbookViewId="0">
      <selection activeCell="R56" sqref="R56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4"/>
    </row>
    <row r="31" spans="39:39" x14ac:dyDescent="0.25">
      <c r="AM31" s="14"/>
    </row>
    <row r="40" ht="132" customHeight="1" x14ac:dyDescent="0.25"/>
    <row r="53" spans="2:36" ht="26.25" customHeight="1" x14ac:dyDescent="0.25"/>
    <row r="55" spans="2:36" x14ac:dyDescent="0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2:36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</sheetData>
  <pageMargins left="0" right="0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 Prod</vt:lpstr>
      <vt:lpstr>Purch Gas</vt:lpstr>
      <vt:lpstr>Summary</vt:lpstr>
      <vt:lpstr>Ex 10.1 pg1</vt:lpstr>
      <vt:lpstr>Ex 10.1 pg2</vt:lpstr>
      <vt:lpstr>'Co Prod'!Print_Area</vt:lpstr>
      <vt:lpstr>'Ex 10.1 pg1'!Print_Area</vt:lpstr>
      <vt:lpstr>'Ex 10.1 pg2'!Print_Area</vt:lpstr>
      <vt:lpstr>'Purch Gas'!Print_Area</vt:lpstr>
      <vt:lpstr>'Co Prod'!Print_Titles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Fred Nass</cp:lastModifiedBy>
  <cp:lastPrinted>2019-08-19T21:14:38Z</cp:lastPrinted>
  <dcterms:created xsi:type="dcterms:W3CDTF">2014-02-11T20:59:32Z</dcterms:created>
  <dcterms:modified xsi:type="dcterms:W3CDTF">2020-08-31T20:38:34Z</dcterms:modified>
</cp:coreProperties>
</file>