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hisWorkbook" defaultThemeVersion="124226"/>
  <bookViews>
    <workbookView xWindow="0" yWindow="0" windowWidth="28800" windowHeight="12435" tabRatio="911"/>
  </bookViews>
  <sheets>
    <sheet name="Exhibit 1.01 COS" sheetId="8" r:id="rId1"/>
    <sheet name="Exhibit 1.02 STEP Rates" sheetId="11" r:id="rId2"/>
    <sheet name="Exhibit 1.03 Typical Bill" sheetId="10" r:id="rId3"/>
  </sheets>
  <definedNames>
    <definedName name="_xlnm.Print_Area" localSheetId="0">'Exhibit 1.01 COS'!$B$1:$N$21</definedName>
    <definedName name="_xlnm.Print_Area" localSheetId="1">'Exhibit 1.02 STEP Rates'!$A$1:$O$70</definedName>
    <definedName name="_xlnm.Print_Area" localSheetId="2">'Exhibit 1.03 Typical Bill'!$A$1:$J$26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7" i="8" l="1"/>
  <c r="D39" i="10"/>
  <c r="C39" i="10"/>
  <c r="D36" i="10"/>
  <c r="C36" i="10"/>
  <c r="I26" i="10"/>
  <c r="I24" i="10"/>
  <c r="G24" i="10"/>
  <c r="E24" i="10"/>
  <c r="D24" i="10"/>
  <c r="A24" i="10"/>
  <c r="I21" i="10"/>
  <c r="G21" i="10"/>
  <c r="E21" i="10"/>
  <c r="A21" i="10"/>
  <c r="I20" i="10"/>
  <c r="G20" i="10"/>
  <c r="E20" i="10"/>
  <c r="A20" i="10"/>
  <c r="I19" i="10"/>
  <c r="G19" i="10"/>
  <c r="E19" i="10"/>
  <c r="A19" i="10"/>
  <c r="I18" i="10"/>
  <c r="G18" i="10"/>
  <c r="E18" i="10"/>
  <c r="A18" i="10"/>
  <c r="I17" i="10"/>
  <c r="G17" i="10"/>
  <c r="E17" i="10"/>
  <c r="A17" i="10"/>
  <c r="I16" i="10"/>
  <c r="G16" i="10"/>
  <c r="E16" i="10"/>
  <c r="A16" i="10"/>
  <c r="I15" i="10"/>
  <c r="G15" i="10"/>
  <c r="E15" i="10"/>
  <c r="A15" i="10"/>
  <c r="I14" i="10"/>
  <c r="G14" i="10"/>
  <c r="E14" i="10"/>
  <c r="A14" i="10"/>
  <c r="I13" i="10"/>
  <c r="G13" i="10"/>
  <c r="E13" i="10"/>
  <c r="A13" i="10"/>
  <c r="I12" i="10"/>
  <c r="G12" i="10"/>
  <c r="E12" i="10"/>
  <c r="A12" i="10"/>
  <c r="I11" i="10"/>
  <c r="G11" i="10"/>
  <c r="E11" i="10"/>
  <c r="A11" i="10"/>
  <c r="I10" i="10"/>
  <c r="G10" i="10"/>
  <c r="E10" i="10"/>
  <c r="K70" i="11"/>
  <c r="A70" i="11"/>
  <c r="I68" i="11"/>
  <c r="G68" i="11"/>
  <c r="A68" i="11"/>
  <c r="T67" i="11"/>
  <c r="O67" i="11"/>
  <c r="M67" i="11"/>
  <c r="L67" i="11"/>
  <c r="K67" i="11"/>
  <c r="I67" i="11"/>
  <c r="A67" i="11"/>
  <c r="T61" i="11"/>
  <c r="R61" i="11"/>
  <c r="L61" i="11"/>
  <c r="K61" i="11"/>
  <c r="I61" i="11"/>
  <c r="G61" i="11"/>
  <c r="A61" i="11"/>
  <c r="T60" i="11"/>
  <c r="O60" i="11"/>
  <c r="M60" i="11"/>
  <c r="L60" i="11"/>
  <c r="K60" i="11"/>
  <c r="I60" i="11"/>
  <c r="H60" i="11"/>
  <c r="A60" i="11"/>
  <c r="T59" i="11"/>
  <c r="O59" i="11"/>
  <c r="M59" i="11"/>
  <c r="L59" i="11"/>
  <c r="K59" i="11"/>
  <c r="I59" i="11"/>
  <c r="A59" i="11"/>
  <c r="T58" i="11"/>
  <c r="O58" i="11"/>
  <c r="M58" i="11"/>
  <c r="L58" i="11"/>
  <c r="K58" i="11"/>
  <c r="I58" i="11"/>
  <c r="A58" i="11"/>
  <c r="T57" i="11"/>
  <c r="O57" i="11"/>
  <c r="M57" i="11"/>
  <c r="L57" i="11"/>
  <c r="K57" i="11"/>
  <c r="I57" i="11"/>
  <c r="A57" i="11"/>
  <c r="T56" i="11"/>
  <c r="O56" i="11"/>
  <c r="M56" i="11"/>
  <c r="L56" i="11"/>
  <c r="K56" i="11"/>
  <c r="I56" i="11"/>
  <c r="A56" i="11"/>
  <c r="T50" i="11"/>
  <c r="R50" i="11"/>
  <c r="M50" i="11"/>
  <c r="L50" i="11"/>
  <c r="K50" i="11"/>
  <c r="I50" i="11"/>
  <c r="G50" i="11"/>
  <c r="A50" i="11"/>
  <c r="T49" i="11"/>
  <c r="O49" i="11"/>
  <c r="M49" i="11"/>
  <c r="L49" i="11"/>
  <c r="K49" i="11"/>
  <c r="I49" i="11"/>
  <c r="A49" i="11"/>
  <c r="T48" i="11"/>
  <c r="O48" i="11"/>
  <c r="M48" i="11"/>
  <c r="L48" i="11"/>
  <c r="K48" i="11"/>
  <c r="I48" i="11"/>
  <c r="A48" i="11"/>
  <c r="T47" i="11"/>
  <c r="O47" i="11"/>
  <c r="M47" i="11"/>
  <c r="L47" i="11"/>
  <c r="K47" i="11"/>
  <c r="I47" i="11"/>
  <c r="A47" i="11"/>
  <c r="T46" i="11"/>
  <c r="O46" i="11"/>
  <c r="M46" i="11"/>
  <c r="L46" i="11"/>
  <c r="K46" i="11"/>
  <c r="I46" i="11"/>
  <c r="A46" i="11"/>
  <c r="T45" i="11"/>
  <c r="O45" i="11"/>
  <c r="M45" i="11"/>
  <c r="L45" i="11"/>
  <c r="K45" i="11"/>
  <c r="I45" i="11"/>
  <c r="A45" i="11"/>
  <c r="L39" i="11"/>
  <c r="K39" i="11"/>
  <c r="I39" i="11"/>
  <c r="G39" i="11"/>
  <c r="A39" i="11"/>
  <c r="X38" i="11"/>
  <c r="T38" i="11"/>
  <c r="R38" i="11"/>
  <c r="O38" i="11"/>
  <c r="M38" i="11"/>
  <c r="L38" i="11"/>
  <c r="K38" i="11"/>
  <c r="I38" i="11"/>
  <c r="A38" i="11"/>
  <c r="X37" i="11"/>
  <c r="T37" i="11"/>
  <c r="R37" i="11"/>
  <c r="O37" i="11"/>
  <c r="M37" i="11"/>
  <c r="L37" i="11"/>
  <c r="K37" i="11"/>
  <c r="I37" i="11"/>
  <c r="A37" i="11"/>
  <c r="X36" i="11"/>
  <c r="T36" i="11"/>
  <c r="R36" i="11"/>
  <c r="O36" i="11"/>
  <c r="M36" i="11"/>
  <c r="L36" i="11"/>
  <c r="K36" i="11"/>
  <c r="I36" i="11"/>
  <c r="A36" i="11"/>
  <c r="L30" i="11"/>
  <c r="K30" i="11"/>
  <c r="I30" i="11"/>
  <c r="G30" i="11"/>
  <c r="A30" i="11"/>
  <c r="X29" i="11"/>
  <c r="T29" i="11"/>
  <c r="O29" i="11"/>
  <c r="M29" i="11"/>
  <c r="L29" i="11"/>
  <c r="K29" i="11"/>
  <c r="I29" i="11"/>
  <c r="E29" i="11"/>
  <c r="D29" i="11"/>
  <c r="A29" i="11"/>
  <c r="X28" i="11"/>
  <c r="T28" i="11"/>
  <c r="O28" i="11"/>
  <c r="M28" i="11"/>
  <c r="L28" i="11"/>
  <c r="K28" i="11"/>
  <c r="I28" i="11"/>
  <c r="E28" i="11"/>
  <c r="D28" i="11"/>
  <c r="A28" i="11"/>
  <c r="X27" i="11"/>
  <c r="T27" i="11"/>
  <c r="O27" i="11"/>
  <c r="M27" i="11"/>
  <c r="L27" i="11"/>
  <c r="K27" i="11"/>
  <c r="I27" i="11"/>
  <c r="E27" i="11"/>
  <c r="D27" i="11"/>
  <c r="A27" i="11"/>
  <c r="X25" i="11"/>
  <c r="T25" i="11"/>
  <c r="O25" i="11"/>
  <c r="M25" i="11"/>
  <c r="L25" i="11"/>
  <c r="K25" i="11"/>
  <c r="I25" i="11"/>
  <c r="A25" i="11"/>
  <c r="X24" i="11"/>
  <c r="T24" i="11"/>
  <c r="O24" i="11"/>
  <c r="M24" i="11"/>
  <c r="L24" i="11"/>
  <c r="K24" i="11"/>
  <c r="I24" i="11"/>
  <c r="A24" i="11"/>
  <c r="X23" i="11"/>
  <c r="T23" i="11"/>
  <c r="O23" i="11"/>
  <c r="M23" i="11"/>
  <c r="L23" i="11"/>
  <c r="K23" i="11"/>
  <c r="I23" i="11"/>
  <c r="A23" i="11"/>
  <c r="X17" i="11"/>
  <c r="T17" i="11"/>
  <c r="O17" i="11"/>
  <c r="M17" i="11"/>
  <c r="L17" i="11"/>
  <c r="K17" i="11"/>
  <c r="I17" i="11"/>
  <c r="A17" i="11"/>
  <c r="L12" i="11"/>
  <c r="K12" i="11"/>
  <c r="I12" i="11"/>
  <c r="G12" i="11"/>
  <c r="A12" i="11"/>
  <c r="X11" i="11"/>
  <c r="T11" i="11"/>
  <c r="O11" i="11"/>
  <c r="M11" i="11"/>
  <c r="L11" i="11"/>
  <c r="K11" i="11"/>
  <c r="I11" i="11"/>
  <c r="E11" i="11"/>
  <c r="D11" i="11"/>
  <c r="A11" i="11"/>
  <c r="X10" i="11"/>
  <c r="T10" i="11"/>
  <c r="O10" i="11"/>
  <c r="M10" i="11"/>
  <c r="L10" i="11"/>
  <c r="K10" i="11"/>
  <c r="I10" i="11"/>
  <c r="E10" i="11"/>
  <c r="D10" i="11"/>
  <c r="A10" i="11"/>
  <c r="X8" i="11"/>
  <c r="T8" i="11"/>
  <c r="O8" i="11"/>
  <c r="M8" i="11"/>
  <c r="L8" i="11"/>
  <c r="K8" i="11"/>
  <c r="I8" i="11"/>
  <c r="A8" i="11"/>
  <c r="X7" i="11"/>
  <c r="T7" i="11"/>
  <c r="O7" i="11"/>
  <c r="M7" i="11"/>
  <c r="L7" i="11"/>
  <c r="K7" i="11"/>
  <c r="I7" i="11"/>
  <c r="I17" i="8"/>
  <c r="E17" i="8"/>
  <c r="M15" i="8"/>
  <c r="K15" i="8"/>
  <c r="I15" i="8"/>
  <c r="M14" i="8"/>
  <c r="K14" i="8"/>
  <c r="I14" i="8"/>
  <c r="M13" i="8"/>
  <c r="K13" i="8"/>
  <c r="I13" i="8"/>
  <c r="M12" i="8"/>
  <c r="K12" i="8"/>
  <c r="I12" i="8"/>
  <c r="M11" i="8"/>
  <c r="K11" i="8"/>
  <c r="I11" i="8"/>
  <c r="M10" i="8"/>
  <c r="K10" i="8"/>
  <c r="I10" i="8"/>
  <c r="M9" i="8"/>
  <c r="K9" i="8"/>
  <c r="I9" i="8"/>
  <c r="G9" i="8"/>
</calcChain>
</file>

<file path=xl/sharedStrings.xml><?xml version="1.0" encoding="utf-8"?>
<sst xmlns="http://schemas.openxmlformats.org/spreadsheetml/2006/main" count="246" uniqueCount="109">
  <si>
    <t>Total</t>
  </si>
  <si>
    <t>Revenue</t>
  </si>
  <si>
    <t>1/</t>
  </si>
  <si>
    <t>2/</t>
  </si>
  <si>
    <t>Cost of Service Allocation</t>
  </si>
  <si>
    <t>A</t>
  </si>
  <si>
    <t>B</t>
  </si>
  <si>
    <t>C</t>
  </si>
  <si>
    <t>Commission Ordered</t>
  </si>
  <si>
    <t xml:space="preserve">Percent </t>
  </si>
  <si>
    <t>Revenue Requirement</t>
  </si>
  <si>
    <t>of Total</t>
  </si>
  <si>
    <t>GS</t>
  </si>
  <si>
    <t>FS</t>
  </si>
  <si>
    <t>NGV</t>
  </si>
  <si>
    <t>IS</t>
  </si>
  <si>
    <t>MT</t>
  </si>
  <si>
    <t>Totals</t>
  </si>
  <si>
    <t xml:space="preserve">D </t>
  </si>
  <si>
    <t>E</t>
  </si>
  <si>
    <t>F</t>
  </si>
  <si>
    <t>G</t>
  </si>
  <si>
    <t>H</t>
  </si>
  <si>
    <t>I</t>
  </si>
  <si>
    <t>J</t>
  </si>
  <si>
    <t>K</t>
  </si>
  <si>
    <t>Utah GS</t>
  </si>
  <si>
    <t>Current Rates</t>
  </si>
  <si>
    <t>(I - J)</t>
  </si>
  <si>
    <t xml:space="preserve">Percentage </t>
  </si>
  <si>
    <t>Difference</t>
  </si>
  <si>
    <t>Volumetric Rates</t>
  </si>
  <si>
    <t>Dth</t>
  </si>
  <si>
    <t>Revenues</t>
  </si>
  <si>
    <t>Increase</t>
  </si>
  <si>
    <t>Rate</t>
  </si>
  <si>
    <t>Winter</t>
  </si>
  <si>
    <t>Block 1</t>
  </si>
  <si>
    <t>First</t>
  </si>
  <si>
    <t>Block 2</t>
  </si>
  <si>
    <t>Next</t>
  </si>
  <si>
    <t>Summer</t>
  </si>
  <si>
    <t>Total Volumetric Charges</t>
  </si>
  <si>
    <t>Utah NGV</t>
  </si>
  <si>
    <t>All Usage</t>
  </si>
  <si>
    <t>All Over</t>
  </si>
  <si>
    <t>Utah FS</t>
  </si>
  <si>
    <t>Block 3</t>
  </si>
  <si>
    <t>Total Winter</t>
  </si>
  <si>
    <t>Utah IS</t>
  </si>
  <si>
    <t>Block 4</t>
  </si>
  <si>
    <t xml:space="preserve">Annual Demand Charges per Dth of </t>
  </si>
  <si>
    <t>Contract Firm Transportation</t>
  </si>
  <si>
    <t>Utah MT</t>
  </si>
  <si>
    <t>EFFECT ON GS TYPICAL CUSTOMER</t>
  </si>
  <si>
    <t>80 DTHS -  ANNUAL CONSUMPTION</t>
  </si>
  <si>
    <t>(A)</t>
  </si>
  <si>
    <t>(B)</t>
  </si>
  <si>
    <t xml:space="preserve">(C)   </t>
  </si>
  <si>
    <t xml:space="preserve">    (D)</t>
  </si>
  <si>
    <t xml:space="preserve">   (E)</t>
  </si>
  <si>
    <t xml:space="preserve">    (F)</t>
  </si>
  <si>
    <t xml:space="preserve">   Billed at Current</t>
  </si>
  <si>
    <t xml:space="preserve">   Billed at</t>
  </si>
  <si>
    <t>Usage</t>
  </si>
  <si>
    <t xml:space="preserve">   Rate Effective</t>
  </si>
  <si>
    <t xml:space="preserve">   Proposed</t>
  </si>
  <si>
    <t>Schedule</t>
  </si>
  <si>
    <t>Month</t>
  </si>
  <si>
    <t>In Dth</t>
  </si>
  <si>
    <t xml:space="preserve">   Rate</t>
  </si>
  <si>
    <t>Change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</si>
  <si>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</si>
  <si>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</si>
  <si>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</si>
  <si>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</si>
  <si>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</si>
  <si>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</si>
  <si>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</si>
  <si>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</si>
  <si>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</si>
  <si>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</si>
  <si>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</si>
  <si>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</si>
  <si>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 </t>
  </si>
  <si>
    <t>Percent Change:</t>
  </si>
  <si>
    <t>%</t>
  </si>
  <si>
    <t>BSF</t>
  </si>
  <si>
    <t>1st Block</t>
  </si>
  <si>
    <t>Proposed</t>
  </si>
  <si>
    <t>Current</t>
  </si>
  <si>
    <t>Tariff Updater</t>
  </si>
  <si>
    <t>Current Total DNG</t>
  </si>
  <si>
    <t>New Total DNG</t>
  </si>
  <si>
    <t>Current TOTAL</t>
  </si>
  <si>
    <t>NEW TOTAL</t>
  </si>
  <si>
    <t>Over</t>
  </si>
  <si>
    <t>Base Rate</t>
  </si>
  <si>
    <t xml:space="preserve">Base DNG Rates </t>
  </si>
  <si>
    <t>Utah TBF</t>
  </si>
  <si>
    <t>Utah TSF &amp; TSI</t>
  </si>
  <si>
    <t>TSF &amp; TSI</t>
  </si>
  <si>
    <t>TBF</t>
  </si>
  <si>
    <t>STEP</t>
  </si>
  <si>
    <t>Surcharge</t>
  </si>
  <si>
    <t>STEP Surcharge Calculation</t>
  </si>
  <si>
    <t>D</t>
  </si>
  <si>
    <t>COS Step 2</t>
  </si>
  <si>
    <t>1/ Per Docket 19-057-02, Report and Order, Table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</si>
</sst>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_(* #,##0_);_(* \(#,##0\);_(* &quot;-&quot;??_);_(@_)"/>
    <numFmt numFmtId="166" formatCode="_(&quot;$&quot;* #,##0_);_(&quot;$&quot;* \(#,##0\);_(&quot;$&quot;* &quot;-&quot;??_);_(@_)"/>
    <numFmt numFmtId="167" formatCode="#,##0.00000_);\(#,##0.00000\)"/>
    <numFmt numFmtId="168" formatCode="0.0000000_)"/>
    <numFmt numFmtId="169" formatCode="#,##0.00000"/>
    <numFmt numFmtId="170" formatCode="&quot;$&quot;#,##0.00000_);\(&quot;$&quot;#,##0.00000\)"/>
    <numFmt numFmtId="171" formatCode="#,##0.0"/>
    <numFmt numFmtId="172" formatCode="#,##0.0_);\(#,##0.0\)"/>
    <numFmt numFmtId="173" formatCode="0.00_);\(0.00\)"/>
    <numFmt numFmtId="174" formatCode="[$-409]d\-mmm\-yy;@"/>
    <numFmt numFmtId="175" formatCode="0.00000"/>
    <numFmt numFmtId="176" formatCode="_(* #,##0.00000_);_(* \(#,##0.00000\);_(* &quot;-&quot;??_);_(@_)"/>
  </numFmts>
  <fonts count="19">
    <font>
      <sz val="10"/>
      <name val="MS Sans Serif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LinePrinter"/>
      <family val="2"/>
    </font>
    <font>
      <b/>
      <sz val="10"/>
      <color indexed="12"/>
      <name val="Arial"/>
      <family val="2"/>
    </font>
    <font>
      <sz val="10"/>
      <name val="Arial Unicode MS"/>
      <family val="2"/>
    </font>
    <font>
      <sz val="12"/>
      <name val="Times New Roman"/>
      <family val="1"/>
    </font>
    <font>
      <sz val="10"/>
      <name val="Arial Narrow"/>
      <family val="2"/>
    </font>
    <font>
      <sz val="12"/>
      <name val="Arial"/>
      <family val="2"/>
    </font>
    <font>
      <sz val="12"/>
      <name val="MS Sans Serif"/>
      <family val="2"/>
    </font>
    <font>
      <sz val="12"/>
      <color theme="1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mediumGray">
        <fgColor indexed="22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33">
    <xf numFmtId="164" fontId="0" fillId="0" borderId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NumberFormat="0" applyFont="0" applyFill="0" applyBorder="0" applyProtection="0"/>
    <xf numFmtId="15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164" fontId="3" fillId="0" borderId="1">
      <alignment horizontal="center"/>
    </xf>
    <xf numFmtId="3" fontId="18" fillId="0" borderId="0" applyFont="0" applyFill="0" applyBorder="0" applyAlignment="0" applyProtection="0"/>
    <xf numFmtId="0" fontId="18" fillId="2" borderId="0" applyNumberFormat="0" applyFont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Protection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2" fillId="0" borderId="0"/>
    <xf numFmtId="43" fontId="4" fillId="0" borderId="0" applyFont="0" applyFill="0" applyBorder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Protection="0"/>
    <xf numFmtId="43" fontId="4" fillId="0" borderId="0" applyFont="0" applyFill="0" applyBorder="0" applyProtection="0"/>
    <xf numFmtId="44" fontId="2" fillId="0" borderId="0" applyFont="0" applyFill="0" applyBorder="0" applyAlignment="0" applyProtection="0"/>
    <xf numFmtId="0" fontId="13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4" fillId="0" borderId="0"/>
    <xf numFmtId="0" fontId="18" fillId="0" borderId="0"/>
    <xf numFmtId="0" fontId="4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 applyNumberFormat="0" applyFont="0" applyFill="0" applyBorder="0" applyProtection="0"/>
    <xf numFmtId="0" fontId="18" fillId="0" borderId="0" applyNumberFormat="0" applyFont="0" applyFill="0" applyBorder="0" applyProtection="0"/>
    <xf numFmtId="0" fontId="18" fillId="0" borderId="0" applyNumberFormat="0" applyFont="0" applyFill="0" applyBorder="0" applyProtection="0"/>
    <xf numFmtId="0" fontId="18" fillId="0" borderId="0" applyNumberFormat="0" applyFont="0" applyFill="0" applyBorder="0" applyProtection="0"/>
    <xf numFmtId="0" fontId="18" fillId="0" borderId="0" applyNumberFormat="0" applyFont="0" applyFill="0" applyBorder="0" applyProtection="0"/>
    <xf numFmtId="0" fontId="18" fillId="0" borderId="0" applyNumberFormat="0" applyFont="0" applyFill="0" applyBorder="0" applyProtection="0"/>
    <xf numFmtId="0" fontId="18" fillId="0" borderId="0" applyNumberFormat="0" applyFont="0" applyFill="0" applyBorder="0" applyProtection="0"/>
    <xf numFmtId="0" fontId="18" fillId="0" borderId="0" applyNumberFormat="0" applyFont="0" applyFill="0" applyBorder="0" applyProtection="0"/>
    <xf numFmtId="0" fontId="18" fillId="0" borderId="0" applyNumberFormat="0" applyFont="0" applyFill="0" applyBorder="0" applyProtection="0"/>
    <xf numFmtId="0" fontId="18" fillId="0" borderId="0" applyNumberFormat="0" applyFont="0" applyFill="0" applyBorder="0" applyProtection="0"/>
    <xf numFmtId="0" fontId="18" fillId="0" borderId="0" applyNumberFormat="0" applyFont="0" applyFill="0" applyBorder="0" applyProtection="0"/>
    <xf numFmtId="0" fontId="18" fillId="0" borderId="0" applyNumberFormat="0" applyFont="0" applyFill="0" applyBorder="0" applyProtection="0"/>
    <xf numFmtId="15" fontId="18" fillId="0" borderId="0" applyFont="0" applyFill="0" applyBorder="0" applyAlignment="0" applyProtection="0"/>
    <xf numFmtId="15" fontId="18" fillId="0" borderId="0" applyFont="0" applyFill="0" applyBorder="0" applyAlignment="0" applyProtection="0"/>
    <xf numFmtId="15" fontId="18" fillId="0" borderId="0" applyFont="0" applyFill="0" applyBorder="0" applyAlignment="0" applyProtection="0"/>
    <xf numFmtId="15" fontId="18" fillId="0" borderId="0" applyFont="0" applyFill="0" applyBorder="0" applyAlignment="0" applyProtection="0"/>
    <xf numFmtId="15" fontId="18" fillId="0" borderId="0" applyFont="0" applyFill="0" applyBorder="0" applyAlignment="0" applyProtection="0"/>
    <xf numFmtId="15" fontId="18" fillId="0" borderId="0" applyFont="0" applyFill="0" applyBorder="0" applyAlignment="0" applyProtection="0"/>
    <xf numFmtId="15" fontId="18" fillId="0" borderId="0" applyFont="0" applyFill="0" applyBorder="0" applyAlignment="0" applyProtection="0"/>
    <xf numFmtId="15" fontId="18" fillId="0" borderId="0" applyFont="0" applyFill="0" applyBorder="0" applyAlignment="0" applyProtection="0"/>
    <xf numFmtId="15" fontId="18" fillId="0" borderId="0" applyFont="0" applyFill="0" applyBorder="0" applyAlignment="0" applyProtection="0"/>
    <xf numFmtId="15" fontId="18" fillId="0" borderId="0" applyFont="0" applyFill="0" applyBorder="0" applyAlignment="0" applyProtection="0"/>
    <xf numFmtId="15" fontId="18" fillId="0" borderId="0" applyFont="0" applyFill="0" applyBorder="0" applyAlignment="0" applyProtection="0"/>
    <xf numFmtId="15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0" fontId="3" fillId="0" borderId="1">
      <alignment horizontal="center"/>
    </xf>
    <xf numFmtId="0" fontId="3" fillId="0" borderId="1">
      <alignment horizontal="center"/>
    </xf>
    <xf numFmtId="0" fontId="3" fillId="0" borderId="1">
      <alignment horizontal="center"/>
    </xf>
    <xf numFmtId="0" fontId="3" fillId="0" borderId="1">
      <alignment horizontal="center"/>
    </xf>
    <xf numFmtId="0" fontId="3" fillId="0" borderId="1">
      <alignment horizontal="center"/>
    </xf>
    <xf numFmtId="0" fontId="3" fillId="0" borderId="1">
      <alignment horizontal="center"/>
    </xf>
    <xf numFmtId="0" fontId="3" fillId="0" borderId="1">
      <alignment horizontal="center"/>
    </xf>
    <xf numFmtId="0" fontId="3" fillId="0" borderId="1">
      <alignment horizontal="center"/>
    </xf>
    <xf numFmtId="0" fontId="3" fillId="0" borderId="1">
      <alignment horizontal="center"/>
    </xf>
    <xf numFmtId="0" fontId="3" fillId="0" borderId="1">
      <alignment horizontal="center"/>
    </xf>
    <xf numFmtId="0" fontId="3" fillId="0" borderId="1">
      <alignment horizontal="center"/>
    </xf>
    <xf numFmtId="0" fontId="3" fillId="0" borderId="1">
      <alignment horizontal="center"/>
    </xf>
    <xf numFmtId="0" fontId="3" fillId="0" borderId="1">
      <alignment horizontal="center"/>
    </xf>
    <xf numFmtId="0" fontId="3" fillId="0" borderId="1">
      <alignment horizontal="center"/>
    </xf>
    <xf numFmtId="0" fontId="3" fillId="0" borderId="1">
      <alignment horizontal="center"/>
    </xf>
    <xf numFmtId="0" fontId="3" fillId="0" borderId="1">
      <alignment horizontal="center"/>
    </xf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18" fillId="2" borderId="0" applyNumberFormat="0" applyFont="0" applyBorder="0" applyAlignment="0" applyProtection="0"/>
    <xf numFmtId="0" fontId="18" fillId="2" borderId="0" applyNumberFormat="0" applyFont="0" applyBorder="0" applyAlignment="0" applyProtection="0"/>
    <xf numFmtId="0" fontId="18" fillId="2" borderId="0" applyNumberFormat="0" applyFont="0" applyBorder="0" applyAlignment="0" applyProtection="0"/>
    <xf numFmtId="0" fontId="18" fillId="2" borderId="0" applyNumberFormat="0" applyFont="0" applyBorder="0" applyAlignment="0" applyProtection="0"/>
    <xf numFmtId="0" fontId="18" fillId="2" borderId="0" applyNumberFormat="0" applyFont="0" applyBorder="0" applyAlignment="0" applyProtection="0"/>
    <xf numFmtId="0" fontId="18" fillId="2" borderId="0" applyNumberFormat="0" applyFont="0" applyBorder="0" applyAlignment="0" applyProtection="0"/>
    <xf numFmtId="0" fontId="18" fillId="2" borderId="0" applyNumberFormat="0" applyFont="0" applyBorder="0" applyAlignment="0" applyProtection="0"/>
    <xf numFmtId="0" fontId="18" fillId="2" borderId="0" applyNumberFormat="0" applyFont="0" applyBorder="0" applyAlignment="0" applyProtection="0"/>
    <xf numFmtId="0" fontId="18" fillId="2" borderId="0" applyNumberFormat="0" applyFont="0" applyBorder="0" applyAlignment="0" applyProtection="0"/>
    <xf numFmtId="0" fontId="18" fillId="2" borderId="0" applyNumberFormat="0" applyFont="0" applyBorder="0" applyAlignment="0" applyProtection="0"/>
    <xf numFmtId="0" fontId="18" fillId="2" borderId="0" applyNumberFormat="0" applyFon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4" fillId="0" borderId="0"/>
  </cellStyleXfs>
  <cellXfs count="178">
    <xf numFmtId="164" fontId="0" fillId="0" borderId="0" xfId="0"/>
    <xf numFmtId="164" fontId="0" fillId="0" borderId="0" xfId="0" applyFill="1"/>
    <xf numFmtId="43" fontId="0" fillId="0" borderId="0" xfId="2" applyFont="1"/>
    <xf numFmtId="0" fontId="4" fillId="0" borderId="0" xfId="9"/>
    <xf numFmtId="5" fontId="4" fillId="0" borderId="0" xfId="9" applyNumberFormat="1" applyFont="1"/>
    <xf numFmtId="0" fontId="4" fillId="0" borderId="0" xfId="9" applyFont="1"/>
    <xf numFmtId="0" fontId="4" fillId="0" borderId="0" xfId="9" applyFont="1" applyAlignment="1">
      <alignment horizontal="center"/>
    </xf>
    <xf numFmtId="0" fontId="4" fillId="0" borderId="0" xfId="9" applyFont="1" applyBorder="1" applyAlignment="1">
      <alignment horizontal="center"/>
    </xf>
    <xf numFmtId="166" fontId="1" fillId="0" borderId="0" xfId="10" applyNumberFormat="1" applyFont="1" applyBorder="1"/>
    <xf numFmtId="165" fontId="1" fillId="0" borderId="0" xfId="11" applyNumberFormat="1" applyFont="1" applyBorder="1"/>
    <xf numFmtId="166" fontId="1" fillId="0" borderId="0" xfId="10" applyNumberFormat="1" applyFont="1"/>
    <xf numFmtId="0" fontId="5" fillId="0" borderId="0" xfId="12" applyFont="1" applyFill="1" applyAlignment="1">
      <alignment horizontal="center"/>
    </xf>
    <xf numFmtId="0" fontId="4" fillId="0" borderId="0" xfId="12" applyFont="1" applyFill="1" applyAlignment="1"/>
    <xf numFmtId="3" fontId="4" fillId="0" borderId="0" xfId="12" applyNumberFormat="1" applyFont="1" applyFill="1" applyAlignment="1">
      <alignment horizontal="center"/>
    </xf>
    <xf numFmtId="0" fontId="4" fillId="0" borderId="0" xfId="12" applyFont="1" applyFill="1" applyBorder="1" applyAlignment="1"/>
    <xf numFmtId="0" fontId="5" fillId="0" borderId="0" xfId="12" applyFont="1" applyFill="1" applyBorder="1" applyAlignment="1">
      <alignment horizontal="center"/>
    </xf>
    <xf numFmtId="0" fontId="5" fillId="0" borderId="0" xfId="12" quotePrefix="1" applyFont="1" applyFill="1" applyBorder="1" applyAlignment="1" applyProtection="1">
      <alignment horizontal="left"/>
    </xf>
    <xf numFmtId="0" fontId="4" fillId="0" borderId="0" xfId="12" applyFont="1" applyFill="1" applyBorder="1" applyAlignment="1" applyProtection="1"/>
    <xf numFmtId="3" fontId="4" fillId="0" borderId="0" xfId="12" applyNumberFormat="1" applyFont="1" applyFill="1" applyBorder="1" applyAlignment="1" applyProtection="1">
      <alignment horizontal="center"/>
    </xf>
    <xf numFmtId="0" fontId="5" fillId="0" borderId="0" xfId="12" applyFont="1" applyFill="1" applyAlignment="1" applyProtection="1">
      <alignment horizontal="center"/>
    </xf>
    <xf numFmtId="0" fontId="5" fillId="0" borderId="0" xfId="12" applyFont="1" applyFill="1" applyAlignment="1" applyProtection="1"/>
    <xf numFmtId="0" fontId="5" fillId="0" borderId="1" xfId="12" applyFont="1" applyFill="1" applyBorder="1" applyAlignment="1"/>
    <xf numFmtId="0" fontId="5" fillId="0" borderId="1" xfId="12" applyFont="1" applyFill="1" applyBorder="1" applyAlignment="1" applyProtection="1"/>
    <xf numFmtId="3" fontId="5" fillId="0" borderId="1" xfId="12" applyNumberFormat="1" applyFont="1" applyFill="1" applyBorder="1" applyAlignment="1" applyProtection="1">
      <alignment horizontal="center"/>
    </xf>
    <xf numFmtId="3" fontId="5" fillId="0" borderId="0" xfId="12" applyNumberFormat="1" applyFont="1" applyFill="1" applyBorder="1" applyAlignment="1" applyProtection="1">
      <alignment horizontal="center"/>
    </xf>
    <xf numFmtId="0" fontId="5" fillId="0" borderId="1" xfId="12" applyFont="1" applyFill="1" applyBorder="1" applyAlignment="1" applyProtection="1">
      <alignment horizontal="center"/>
    </xf>
    <xf numFmtId="0" fontId="5" fillId="0" borderId="1" xfId="12" quotePrefix="1" applyFont="1" applyFill="1" applyBorder="1" applyAlignment="1" applyProtection="1">
      <alignment horizontal="center"/>
    </xf>
    <xf numFmtId="0" fontId="7" fillId="0" borderId="0" xfId="12" quotePrefix="1" applyFont="1" applyFill="1" applyBorder="1" applyAlignment="1" applyProtection="1">
      <alignment horizontal="left"/>
    </xf>
    <xf numFmtId="37" fontId="7" fillId="0" borderId="0" xfId="12" quotePrefix="1" applyNumberFormat="1" applyFont="1" applyFill="1" applyBorder="1" applyAlignment="1" applyProtection="1">
      <alignment horizontal="center"/>
    </xf>
    <xf numFmtId="37" fontId="7" fillId="0" borderId="0" xfId="12" applyNumberFormat="1" applyFont="1" applyFill="1" applyAlignment="1"/>
    <xf numFmtId="167" fontId="7" fillId="0" borderId="0" xfId="12" applyNumberFormat="1" applyFont="1" applyFill="1" applyAlignment="1"/>
    <xf numFmtId="37" fontId="7" fillId="0" borderId="0" xfId="12" applyNumberFormat="1" applyFont="1" applyFill="1" applyAlignment="1" applyProtection="1"/>
    <xf numFmtId="4" fontId="4" fillId="0" borderId="0" xfId="12" applyNumberFormat="1" applyFont="1" applyFill="1" applyBorder="1" applyAlignment="1" applyProtection="1"/>
    <xf numFmtId="10" fontId="7" fillId="0" borderId="0" xfId="13" applyNumberFormat="1" applyFont="1" applyFill="1" applyAlignment="1"/>
    <xf numFmtId="167" fontId="7" fillId="0" borderId="0" xfId="12" applyNumberFormat="1" applyFont="1" applyFill="1" applyAlignment="1" applyProtection="1"/>
    <xf numFmtId="168" fontId="4" fillId="0" borderId="0" xfId="12" applyNumberFormat="1" applyFont="1" applyFill="1" applyBorder="1" applyAlignment="1" applyProtection="1"/>
    <xf numFmtId="0" fontId="7" fillId="0" borderId="0" xfId="12" applyFont="1" applyFill="1" applyAlignment="1"/>
    <xf numFmtId="3" fontId="7" fillId="0" borderId="0" xfId="12" quotePrefix="1" applyNumberFormat="1" applyFont="1" applyFill="1" applyBorder="1" applyAlignment="1" applyProtection="1">
      <alignment horizontal="center"/>
    </xf>
    <xf numFmtId="0" fontId="7" fillId="0" borderId="0" xfId="12" applyFont="1" applyFill="1" applyBorder="1" applyAlignment="1" applyProtection="1"/>
    <xf numFmtId="0" fontId="8" fillId="0" borderId="0" xfId="12" quotePrefix="1" applyFont="1" applyFill="1" applyBorder="1" applyAlignment="1" applyProtection="1">
      <alignment horizontal="left"/>
    </xf>
    <xf numFmtId="0" fontId="4" fillId="0" borderId="0" xfId="12" quotePrefix="1" applyFont="1" applyFill="1" applyBorder="1" applyAlignment="1" applyProtection="1">
      <alignment horizontal="left"/>
    </xf>
    <xf numFmtId="3" fontId="4" fillId="0" borderId="0" xfId="12" quotePrefix="1" applyNumberFormat="1" applyFont="1" applyFill="1" applyBorder="1" applyAlignment="1" applyProtection="1">
      <alignment horizontal="center"/>
    </xf>
    <xf numFmtId="37" fontId="4" fillId="0" borderId="0" xfId="12" applyNumberFormat="1" applyFont="1" applyFill="1" applyAlignment="1"/>
    <xf numFmtId="170" fontId="4" fillId="0" borderId="0" xfId="12" applyNumberFormat="1" applyFont="1" applyFill="1" applyAlignment="1"/>
    <xf numFmtId="37" fontId="4" fillId="0" borderId="0" xfId="12" applyNumberFormat="1" applyFont="1" applyFill="1" applyAlignment="1" applyProtection="1"/>
    <xf numFmtId="0" fontId="4" fillId="0" borderId="1" xfId="12" applyFont="1" applyFill="1" applyBorder="1" applyAlignment="1" applyProtection="1"/>
    <xf numFmtId="3" fontId="4" fillId="0" borderId="1" xfId="12" applyNumberFormat="1" applyFont="1" applyFill="1" applyBorder="1" applyAlignment="1" applyProtection="1">
      <alignment horizontal="center"/>
    </xf>
    <xf numFmtId="37" fontId="4" fillId="0" borderId="1" xfId="12" applyNumberFormat="1" applyFont="1" applyFill="1" applyBorder="1" applyAlignment="1" applyProtection="1"/>
    <xf numFmtId="37" fontId="4" fillId="0" borderId="0" xfId="12" applyNumberFormat="1" applyFont="1" applyFill="1" applyBorder="1" applyAlignment="1" applyProtection="1"/>
    <xf numFmtId="0" fontId="7" fillId="0" borderId="0" xfId="12" applyFont="1" applyFill="1" applyBorder="1" applyAlignment="1" applyProtection="1">
      <alignment horizontal="left"/>
    </xf>
    <xf numFmtId="10" fontId="7" fillId="0" borderId="2" xfId="13" applyNumberFormat="1" applyFont="1" applyFill="1" applyBorder="1" applyAlignment="1"/>
    <xf numFmtId="10" fontId="7" fillId="0" borderId="0" xfId="13" applyNumberFormat="1" applyFont="1" applyFill="1" applyBorder="1" applyAlignment="1"/>
    <xf numFmtId="37" fontId="7" fillId="0" borderId="2" xfId="12" applyNumberFormat="1" applyFont="1" applyFill="1" applyBorder="1" applyAlignment="1"/>
    <xf numFmtId="170" fontId="7" fillId="0" borderId="2" xfId="12" applyNumberFormat="1" applyFont="1" applyFill="1" applyBorder="1" applyAlignment="1"/>
    <xf numFmtId="37" fontId="7" fillId="0" borderId="0" xfId="12" applyNumberFormat="1" applyFont="1" applyFill="1" applyBorder="1" applyAlignment="1"/>
    <xf numFmtId="170" fontId="7" fillId="0" borderId="0" xfId="12" applyNumberFormat="1" applyFont="1" applyFill="1" applyBorder="1" applyAlignment="1"/>
    <xf numFmtId="37" fontId="7" fillId="0" borderId="0" xfId="12" applyNumberFormat="1" applyFont="1" applyFill="1" applyAlignment="1">
      <alignment horizontal="center"/>
    </xf>
    <xf numFmtId="37" fontId="7" fillId="0" borderId="0" xfId="12" applyNumberFormat="1" applyFont="1" applyFill="1" applyBorder="1" applyAlignment="1">
      <alignment horizontal="center"/>
    </xf>
    <xf numFmtId="0" fontId="9" fillId="0" borderId="1" xfId="12" applyFont="1" applyFill="1" applyBorder="1" applyAlignment="1" applyProtection="1"/>
    <xf numFmtId="0" fontId="4" fillId="0" borderId="1" xfId="12" quotePrefix="1" applyFont="1" applyFill="1" applyBorder="1" applyAlignment="1" applyProtection="1">
      <alignment horizontal="left"/>
    </xf>
    <xf numFmtId="3" fontId="4" fillId="0" borderId="1" xfId="12" quotePrefix="1" applyNumberFormat="1" applyFont="1" applyFill="1" applyBorder="1" applyAlignment="1" applyProtection="1">
      <alignment horizontal="center"/>
    </xf>
    <xf numFmtId="37" fontId="4" fillId="0" borderId="1" xfId="12" applyNumberFormat="1" applyFont="1" applyFill="1" applyBorder="1" applyAlignment="1"/>
    <xf numFmtId="170" fontId="4" fillId="0" borderId="1" xfId="12" applyNumberFormat="1" applyFont="1" applyFill="1" applyBorder="1" applyAlignment="1"/>
    <xf numFmtId="0" fontId="9" fillId="0" borderId="0" xfId="12" applyFont="1" applyFill="1" applyBorder="1" applyAlignment="1" applyProtection="1"/>
    <xf numFmtId="37" fontId="4" fillId="0" borderId="0" xfId="12" applyNumberFormat="1" applyFont="1" applyFill="1" applyBorder="1" applyAlignment="1"/>
    <xf numFmtId="170" fontId="4" fillId="0" borderId="0" xfId="12" applyNumberFormat="1" applyFont="1" applyFill="1" applyBorder="1" applyAlignment="1"/>
    <xf numFmtId="3" fontId="9" fillId="0" borderId="0" xfId="12" applyNumberFormat="1" applyFont="1" applyFill="1" applyBorder="1" applyAlignment="1" applyProtection="1">
      <alignment horizontal="center"/>
    </xf>
    <xf numFmtId="10" fontId="4" fillId="0" borderId="0" xfId="13" applyNumberFormat="1" applyFont="1" applyFill="1" applyBorder="1" applyAlignment="1" applyProtection="1"/>
    <xf numFmtId="167" fontId="7" fillId="0" borderId="0" xfId="12" applyNumberFormat="1" applyFont="1" applyFill="1" applyBorder="1" applyAlignment="1"/>
    <xf numFmtId="0" fontId="4" fillId="0" borderId="0" xfId="12" applyFont="1" applyFill="1" applyBorder="1" applyAlignment="1">
      <alignment horizontal="left"/>
    </xf>
    <xf numFmtId="37" fontId="7" fillId="0" borderId="3" xfId="12" applyNumberFormat="1" applyFont="1" applyFill="1" applyBorder="1" applyAlignment="1"/>
    <xf numFmtId="10" fontId="4" fillId="0" borderId="3" xfId="13" applyNumberFormat="1" applyFont="1" applyFill="1" applyBorder="1" applyAlignment="1" applyProtection="1"/>
    <xf numFmtId="167" fontId="7" fillId="0" borderId="3" xfId="12" applyNumberFormat="1" applyFont="1" applyFill="1" applyBorder="1" applyAlignment="1"/>
    <xf numFmtId="7" fontId="4" fillId="0" borderId="0" xfId="12" applyNumberFormat="1" applyFont="1" applyFill="1" applyBorder="1" applyAlignment="1" applyProtection="1"/>
    <xf numFmtId="0" fontId="7" fillId="0" borderId="1" xfId="12" applyFont="1" applyFill="1" applyBorder="1" applyAlignment="1" applyProtection="1"/>
    <xf numFmtId="3" fontId="9" fillId="0" borderId="1" xfId="12" applyNumberFormat="1" applyFont="1" applyFill="1" applyBorder="1" applyAlignment="1" applyProtection="1">
      <alignment horizontal="center"/>
    </xf>
    <xf numFmtId="37" fontId="7" fillId="0" borderId="1" xfId="12" applyNumberFormat="1" applyFont="1" applyFill="1" applyBorder="1" applyAlignment="1"/>
    <xf numFmtId="7" fontId="4" fillId="0" borderId="1" xfId="12" applyNumberFormat="1" applyFont="1" applyFill="1" applyBorder="1" applyAlignment="1" applyProtection="1"/>
    <xf numFmtId="0" fontId="4" fillId="0" borderId="0" xfId="12" applyFont="1" applyFill="1" applyAlignment="1">
      <alignment horizontal="right"/>
    </xf>
    <xf numFmtId="5" fontId="5" fillId="0" borderId="4" xfId="12" applyNumberFormat="1" applyFont="1" applyFill="1" applyBorder="1" applyAlignment="1"/>
    <xf numFmtId="0" fontId="4" fillId="0" borderId="0" xfId="14" applyFont="1" applyFill="1" applyProtection="1"/>
    <xf numFmtId="0" fontId="5" fillId="0" borderId="0" xfId="14" applyFont="1" applyFill="1" applyAlignment="1" applyProtection="1">
      <alignment horizontal="center"/>
    </xf>
    <xf numFmtId="0" fontId="4" fillId="0" borderId="0" xfId="14" applyFont="1" applyFill="1" applyAlignment="1" applyProtection="1">
      <alignment horizontal="center"/>
    </xf>
    <xf numFmtId="0" fontId="4" fillId="0" borderId="0" xfId="14" quotePrefix="1" applyFont="1" applyFill="1" applyAlignment="1" applyProtection="1">
      <alignment horizontal="center"/>
    </xf>
    <xf numFmtId="0" fontId="4" fillId="0" borderId="0" xfId="14" quotePrefix="1" applyFont="1" applyFill="1" applyAlignment="1" applyProtection="1">
      <alignment horizontal="right"/>
    </xf>
    <xf numFmtId="0" fontId="5" fillId="0" borderId="0" xfId="14" applyFont="1" applyFill="1" applyProtection="1"/>
    <xf numFmtId="0" fontId="4" fillId="0" borderId="0" xfId="14" applyFont="1" applyFill="1" applyAlignment="1" applyProtection="1">
      <alignment vertical="center"/>
    </xf>
    <xf numFmtId="0" fontId="5" fillId="0" borderId="0" xfId="14" applyFont="1" applyFill="1" applyAlignment="1" applyProtection="1">
      <alignment horizontal="center" vertical="center"/>
    </xf>
    <xf numFmtId="0" fontId="5" fillId="0" borderId="0" xfId="14" quotePrefix="1" applyFont="1" applyFill="1" applyAlignment="1" applyProtection="1">
      <alignment horizontal="right" vertical="center"/>
    </xf>
    <xf numFmtId="0" fontId="5" fillId="0" borderId="0" xfId="14" applyFont="1" applyFill="1" applyAlignment="1" applyProtection="1">
      <alignment vertical="center"/>
    </xf>
    <xf numFmtId="0" fontId="4" fillId="0" borderId="0" xfId="14" applyFont="1" applyFill="1" applyAlignment="1" applyProtection="1">
      <alignment vertical="top"/>
    </xf>
    <xf numFmtId="0" fontId="5" fillId="0" borderId="1" xfId="14" applyFont="1" applyFill="1" applyBorder="1" applyAlignment="1" applyProtection="1">
      <alignment horizontal="center" vertical="top"/>
    </xf>
    <xf numFmtId="0" fontId="5" fillId="0" borderId="1" xfId="14" quotePrefix="1" applyFont="1" applyFill="1" applyBorder="1" applyAlignment="1" applyProtection="1">
      <alignment horizontal="right" vertical="top"/>
    </xf>
    <xf numFmtId="0" fontId="5" fillId="0" borderId="1" xfId="14" applyFont="1" applyFill="1" applyBorder="1" applyAlignment="1" applyProtection="1">
      <alignment horizontal="right" vertical="top"/>
    </xf>
    <xf numFmtId="171" fontId="7" fillId="0" borderId="0" xfId="9" applyNumberFormat="1" applyFont="1" applyAlignment="1" applyProtection="1">
      <alignment horizontal="right"/>
    </xf>
    <xf numFmtId="7" fontId="4" fillId="0" borderId="0" xfId="14" applyNumberFormat="1" applyFont="1" applyFill="1" applyAlignment="1" applyProtection="1">
      <alignment horizontal="right"/>
    </xf>
    <xf numFmtId="39" fontId="4" fillId="0" borderId="0" xfId="14" applyNumberFormat="1" applyFont="1" applyFill="1" applyAlignment="1" applyProtection="1">
      <alignment horizontal="right"/>
    </xf>
    <xf numFmtId="172" fontId="4" fillId="0" borderId="4" xfId="14" applyNumberFormat="1" applyFont="1" applyFill="1" applyBorder="1" applyAlignment="1" applyProtection="1">
      <alignment horizontal="center"/>
    </xf>
    <xf numFmtId="7" fontId="4" fillId="0" borderId="4" xfId="14" applyNumberFormat="1" applyFont="1" applyFill="1" applyBorder="1" applyAlignment="1" applyProtection="1">
      <alignment horizontal="center"/>
    </xf>
    <xf numFmtId="39" fontId="4" fillId="0" borderId="4" xfId="14" applyNumberFormat="1" applyFont="1" applyFill="1" applyBorder="1" applyAlignment="1" applyProtection="1">
      <alignment horizontal="center"/>
    </xf>
    <xf numFmtId="39" fontId="4" fillId="0" borderId="0" xfId="14" applyNumberFormat="1" applyFont="1" applyFill="1" applyBorder="1" applyAlignment="1" applyProtection="1">
      <alignment horizontal="center"/>
    </xf>
    <xf numFmtId="172" fontId="4" fillId="0" borderId="0" xfId="14" applyNumberFormat="1" applyFont="1" applyFill="1" applyAlignment="1" applyProtection="1">
      <alignment horizontal="center"/>
    </xf>
    <xf numFmtId="7" fontId="4" fillId="0" borderId="0" xfId="14" applyNumberFormat="1" applyFont="1" applyFill="1" applyAlignment="1" applyProtection="1">
      <alignment horizontal="center"/>
    </xf>
    <xf numFmtId="172" fontId="4" fillId="0" borderId="0" xfId="14" applyNumberFormat="1" applyFont="1" applyFill="1" applyAlignment="1">
      <alignment horizontal="center"/>
    </xf>
    <xf numFmtId="172" fontId="4" fillId="0" borderId="0" xfId="14" applyNumberFormat="1" applyFont="1" applyFill="1" applyAlignment="1" applyProtection="1">
      <alignment horizontal="right"/>
    </xf>
    <xf numFmtId="7" fontId="4" fillId="0" borderId="0" xfId="14" applyNumberFormat="1" applyFont="1" applyFill="1" applyProtection="1"/>
    <xf numFmtId="0" fontId="4" fillId="0" borderId="0" xfId="14" applyFont="1" applyFill="1" applyAlignment="1" applyProtection="1">
      <alignment horizontal="right"/>
    </xf>
    <xf numFmtId="173" fontId="4" fillId="0" borderId="0" xfId="13" applyNumberFormat="1" applyFont="1" applyFill="1" applyAlignment="1" applyProtection="1">
      <alignment horizontal="right"/>
    </xf>
    <xf numFmtId="0" fontId="4" fillId="0" borderId="0" xfId="14" quotePrefix="1" applyFont="1" applyFill="1" applyAlignment="1" applyProtection="1">
      <alignment horizontal="left"/>
    </xf>
    <xf numFmtId="174" fontId="4" fillId="0" borderId="0" xfId="9" applyNumberFormat="1" applyBorder="1"/>
    <xf numFmtId="0" fontId="4" fillId="0" borderId="0" xfId="9" applyBorder="1"/>
    <xf numFmtId="0" fontId="4" fillId="0" borderId="1" xfId="9" applyFont="1" applyBorder="1"/>
    <xf numFmtId="0" fontId="4" fillId="0" borderId="1" xfId="9" quotePrefix="1" applyFont="1" applyBorder="1" applyAlignment="1">
      <alignment horizontal="center"/>
    </xf>
    <xf numFmtId="0" fontId="4" fillId="0" borderId="0" xfId="9" applyFont="1" applyBorder="1"/>
    <xf numFmtId="2" fontId="4" fillId="0" borderId="0" xfId="9" applyNumberFormat="1" applyBorder="1"/>
    <xf numFmtId="175" fontId="4" fillId="0" borderId="0" xfId="9" applyNumberFormat="1" applyBorder="1"/>
    <xf numFmtId="0" fontId="4" fillId="0" borderId="0" xfId="9" quotePrefix="1" applyFont="1" applyBorder="1" applyAlignment="1">
      <alignment horizontal="center"/>
    </xf>
    <xf numFmtId="14" fontId="11" fillId="0" borderId="0" xfId="14" quotePrefix="1" applyNumberFormat="1" applyFont="1" applyFill="1" applyBorder="1" applyAlignment="1" applyProtection="1">
      <alignment horizontal="center" vertical="top"/>
    </xf>
    <xf numFmtId="175" fontId="4" fillId="0" borderId="0" xfId="9" applyNumberFormat="1" applyFont="1" applyBorder="1"/>
    <xf numFmtId="165" fontId="0" fillId="0" borderId="0" xfId="2" applyNumberFormat="1" applyFont="1" applyFill="1"/>
    <xf numFmtId="7" fontId="4" fillId="0" borderId="0" xfId="12" applyNumberFormat="1" applyFont="1" applyFill="1" applyAlignment="1"/>
    <xf numFmtId="176" fontId="0" fillId="0" borderId="0" xfId="2" applyNumberFormat="1" applyFont="1"/>
    <xf numFmtId="167" fontId="8" fillId="0" borderId="0" xfId="12" applyNumberFormat="1" applyFont="1" applyFill="1" applyAlignment="1" applyProtection="1"/>
    <xf numFmtId="164" fontId="3" fillId="0" borderId="0" xfId="0" applyFont="1"/>
    <xf numFmtId="176" fontId="7" fillId="0" borderId="0" xfId="2" applyNumberFormat="1" applyFont="1" applyFill="1" applyAlignment="1" applyProtection="1"/>
    <xf numFmtId="3" fontId="5" fillId="0" borderId="0" xfId="12" applyNumberFormat="1" applyFont="1" applyFill="1" applyAlignment="1">
      <alignment horizontal="center"/>
    </xf>
    <xf numFmtId="37" fontId="7" fillId="0" borderId="0" xfId="12" applyNumberFormat="1" applyFont="1" applyFill="1" applyBorder="1" applyAlignment="1">
      <alignment horizontal="right"/>
    </xf>
    <xf numFmtId="37" fontId="7" fillId="0" borderId="2" xfId="12" applyNumberFormat="1" applyFont="1" applyFill="1" applyBorder="1" applyAlignment="1">
      <alignment horizontal="right"/>
    </xf>
    <xf numFmtId="3" fontId="7" fillId="0" borderId="5" xfId="12" quotePrefix="1" applyNumberFormat="1" applyFont="1" applyFill="1" applyBorder="1" applyAlignment="1" applyProtection="1">
      <alignment horizontal="right"/>
    </xf>
    <xf numFmtId="0" fontId="15" fillId="0" borderId="0" xfId="9" applyFont="1"/>
    <xf numFmtId="5" fontId="15" fillId="0" borderId="0" xfId="9" applyNumberFormat="1" applyFont="1"/>
    <xf numFmtId="0" fontId="15" fillId="0" borderId="0" xfId="9" applyFont="1" applyAlignment="1">
      <alignment horizontal="center"/>
    </xf>
    <xf numFmtId="164" fontId="16" fillId="0" borderId="0" xfId="0" applyFont="1"/>
    <xf numFmtId="0" fontId="15" fillId="0" borderId="0" xfId="9" applyFont="1" applyBorder="1" applyAlignment="1">
      <alignment horizontal="center"/>
    </xf>
    <xf numFmtId="0" fontId="15" fillId="0" borderId="3" xfId="9" applyFont="1" applyBorder="1" applyAlignment="1">
      <alignment horizontal="center"/>
    </xf>
    <xf numFmtId="166" fontId="17" fillId="0" borderId="0" xfId="10" applyNumberFormat="1" applyFont="1" applyBorder="1"/>
    <xf numFmtId="165" fontId="17" fillId="0" borderId="0" xfId="11" applyNumberFormat="1" applyFont="1" applyBorder="1"/>
    <xf numFmtId="166" fontId="17" fillId="0" borderId="0" xfId="10" applyNumberFormat="1" applyFont="1"/>
    <xf numFmtId="43" fontId="7" fillId="0" borderId="0" xfId="2" applyFont="1" applyFill="1" applyBorder="1" applyAlignment="1"/>
    <xf numFmtId="167" fontId="7" fillId="0" borderId="2" xfId="12" applyNumberFormat="1" applyFont="1" applyFill="1" applyBorder="1" applyAlignment="1"/>
    <xf numFmtId="170" fontId="7" fillId="0" borderId="2" xfId="12" applyNumberFormat="1" applyFont="1" applyFill="1" applyBorder="1" applyAlignment="1">
      <alignment horizontal="center"/>
    </xf>
    <xf numFmtId="4" fontId="0" fillId="0" borderId="0" xfId="0" applyNumberFormat="1" applyFill="1"/>
    <xf numFmtId="37" fontId="7" fillId="0" borderId="6" xfId="12" applyNumberFormat="1" applyFont="1" applyFill="1" applyBorder="1" applyAlignment="1"/>
    <xf numFmtId="167" fontId="7" fillId="0" borderId="6" xfId="12" applyNumberFormat="1" applyFont="1" applyFill="1" applyBorder="1" applyAlignment="1"/>
    <xf numFmtId="169" fontId="4" fillId="0" borderId="0" xfId="12" applyNumberFormat="1" applyFont="1" applyFill="1" applyBorder="1" applyAlignment="1" applyProtection="1"/>
    <xf numFmtId="10" fontId="7" fillId="0" borderId="6" xfId="13" applyNumberFormat="1" applyFont="1" applyFill="1" applyBorder="1" applyAlignment="1"/>
    <xf numFmtId="5" fontId="7" fillId="0" borderId="1" xfId="12" applyNumberFormat="1" applyFont="1" applyFill="1" applyBorder="1" applyAlignment="1" applyProtection="1"/>
    <xf numFmtId="5" fontId="4" fillId="0" borderId="1" xfId="12" applyNumberFormat="1" applyFont="1" applyFill="1" applyBorder="1" applyAlignment="1" applyProtection="1"/>
    <xf numFmtId="5" fontId="7" fillId="0" borderId="0" xfId="12" applyNumberFormat="1" applyFont="1" applyFill="1" applyBorder="1" applyAlignment="1" applyProtection="1"/>
    <xf numFmtId="5" fontId="4" fillId="0" borderId="0" xfId="12" applyNumberFormat="1" applyFont="1" applyFill="1" applyBorder="1" applyAlignment="1" applyProtection="1"/>
    <xf numFmtId="10" fontId="7" fillId="0" borderId="0" xfId="13" applyNumberFormat="1" applyFont="1" applyFill="1" applyAlignment="1" applyProtection="1"/>
    <xf numFmtId="170" fontId="7" fillId="0" borderId="0" xfId="12" applyNumberFormat="1" applyFont="1" applyFill="1" applyAlignment="1"/>
    <xf numFmtId="166" fontId="17" fillId="0" borderId="2" xfId="10" applyNumberFormat="1" applyFont="1" applyFill="1" applyBorder="1"/>
    <xf numFmtId="166" fontId="17" fillId="0" borderId="0" xfId="10" applyNumberFormat="1" applyFont="1" applyFill="1" applyBorder="1"/>
    <xf numFmtId="10" fontId="17" fillId="0" borderId="0" xfId="1" applyNumberFormat="1" applyFont="1" applyFill="1" applyBorder="1"/>
    <xf numFmtId="165" fontId="17" fillId="0" borderId="0" xfId="11" applyNumberFormat="1" applyFont="1" applyFill="1" applyBorder="1"/>
    <xf numFmtId="166" fontId="17" fillId="0" borderId="3" xfId="10" applyNumberFormat="1" applyFont="1" applyFill="1" applyBorder="1"/>
    <xf numFmtId="166" fontId="17" fillId="0" borderId="0" xfId="10" applyNumberFormat="1" applyFont="1" applyFill="1"/>
    <xf numFmtId="9" fontId="17" fillId="0" borderId="0" xfId="1" applyFont="1" applyFill="1"/>
    <xf numFmtId="166" fontId="17" fillId="0" borderId="2" xfId="10" applyNumberFormat="1" applyFont="1" applyBorder="1"/>
    <xf numFmtId="7" fontId="4" fillId="0" borderId="0" xfId="14" applyNumberFormat="1" applyFont="1" applyAlignment="1">
      <alignment horizontal="right"/>
    </xf>
    <xf numFmtId="39" fontId="4" fillId="0" borderId="0" xfId="14" applyNumberFormat="1" applyFont="1" applyAlignment="1">
      <alignment horizontal="right"/>
    </xf>
    <xf numFmtId="165" fontId="17" fillId="0" borderId="3" xfId="11" applyNumberFormat="1" applyFont="1" applyFill="1" applyBorder="1"/>
    <xf numFmtId="167" fontId="7" fillId="0" borderId="3" xfId="12" applyNumberFormat="1" applyFont="1" applyFill="1" applyBorder="1" applyAlignment="1" applyProtection="1"/>
    <xf numFmtId="166" fontId="15" fillId="0" borderId="0" xfId="9" applyNumberFormat="1" applyFont="1"/>
    <xf numFmtId="5" fontId="6" fillId="0" borderId="0" xfId="9" applyNumberFormat="1" applyFont="1" applyAlignment="1">
      <alignment horizontal="center"/>
    </xf>
    <xf numFmtId="0" fontId="6" fillId="0" borderId="0" xfId="12" applyFont="1" applyFill="1" applyAlignment="1">
      <alignment horizontal="center"/>
    </xf>
    <xf numFmtId="3" fontId="5" fillId="0" borderId="0" xfId="12" applyNumberFormat="1" applyFont="1" applyFill="1" applyAlignment="1">
      <alignment horizontal="center"/>
    </xf>
    <xf numFmtId="0" fontId="5" fillId="0" borderId="0" xfId="14" quotePrefix="1" applyFont="1" applyFill="1" applyAlignment="1" applyProtection="1">
      <alignment horizontal="center" vertical="center"/>
    </xf>
    <xf numFmtId="0" fontId="5" fillId="0" borderId="0" xfId="14" applyFont="1" applyFill="1" applyAlignment="1" applyProtection="1">
      <alignment horizontal="center" vertical="center"/>
    </xf>
    <xf numFmtId="0" fontId="5" fillId="0" borderId="0" xfId="14" quotePrefix="1" applyFont="1" applyFill="1" applyAlignment="1">
      <alignment horizontal="center" vertical="center"/>
    </xf>
    <xf numFmtId="0" fontId="5" fillId="0" borderId="0" xfId="14" applyFont="1" applyFill="1" applyAlignment="1">
      <alignment horizontal="center" vertical="center"/>
    </xf>
    <xf numFmtId="14" fontId="5" fillId="0" borderId="1" xfId="14" quotePrefix="1" applyNumberFormat="1" applyFont="1" applyFill="1" applyBorder="1" applyAlignment="1" applyProtection="1">
      <alignment horizontal="left" vertical="top" indent="4"/>
    </xf>
    <xf numFmtId="0" fontId="5" fillId="0" borderId="1" xfId="14" quotePrefix="1" applyFont="1" applyFill="1" applyBorder="1" applyAlignment="1" applyProtection="1">
      <alignment horizontal="center" vertical="top"/>
    </xf>
    <xf numFmtId="0" fontId="5" fillId="0" borderId="1" xfId="14" applyFont="1" applyFill="1" applyBorder="1" applyAlignment="1" applyProtection="1">
      <alignment horizontal="center" vertical="top"/>
    </xf>
    <xf numFmtId="0" fontId="5" fillId="0" borderId="0" xfId="14" quotePrefix="1" applyFont="1" applyFill="1" applyAlignment="1" applyProtection="1">
      <alignment horizontal="center"/>
    </xf>
    <xf numFmtId="0" fontId="5" fillId="0" borderId="0" xfId="14" applyFont="1" applyFill="1" applyAlignment="1" applyProtection="1">
      <alignment horizontal="center"/>
    </xf>
    <xf numFmtId="0" fontId="4" fillId="0" borderId="0" xfId="14" quotePrefix="1" applyFont="1" applyFill="1" applyAlignment="1" applyProtection="1">
      <alignment horizontal="center"/>
    </xf>
  </cellXfs>
  <cellStyles count="133">
    <cellStyle name="Comma" xfId="2" builtinId="3"/>
    <cellStyle name="Comma 10" xfId="16"/>
    <cellStyle name="Comma 2" xfId="11"/>
    <cellStyle name="Comma 2 2" xfId="17"/>
    <cellStyle name="Comma 2 2 2" xfId="126"/>
    <cellStyle name="Comma 3" xfId="18"/>
    <cellStyle name="Comma 3 2" xfId="19"/>
    <cellStyle name="Comma 4" xfId="20"/>
    <cellStyle name="Comma 5" xfId="21"/>
    <cellStyle name="Comma 6" xfId="22"/>
    <cellStyle name="Comma 7" xfId="23"/>
    <cellStyle name="Comma 8" xfId="24"/>
    <cellStyle name="Comma 9" xfId="125"/>
    <cellStyle name="Comma 9 2" xfId="131"/>
    <cellStyle name="Currency 2" xfId="10"/>
    <cellStyle name="Currency 3" xfId="25"/>
    <cellStyle name="Currency 3 2" xfId="127"/>
    <cellStyle name="Normal" xfId="0" builtinId="0"/>
    <cellStyle name="Normal 10" xfId="26"/>
    <cellStyle name="Normal 11" xfId="27"/>
    <cellStyle name="Normal 12" xfId="28"/>
    <cellStyle name="Normal 13" xfId="29"/>
    <cellStyle name="Normal 14" xfId="30"/>
    <cellStyle name="Normal 15" xfId="31"/>
    <cellStyle name="Normal 16" xfId="32"/>
    <cellStyle name="Normal 17" xfId="33"/>
    <cellStyle name="Normal 17 2" xfId="128"/>
    <cellStyle name="Normal 18" xfId="124"/>
    <cellStyle name="Normal 18 2" xfId="130"/>
    <cellStyle name="Normal 19" xfId="34"/>
    <cellStyle name="Normal 19 2" xfId="35"/>
    <cellStyle name="Normal 2" xfId="15"/>
    <cellStyle name="Normal 2 2" xfId="36"/>
    <cellStyle name="Normal 2 2 2" xfId="129"/>
    <cellStyle name="Normal 20" xfId="132"/>
    <cellStyle name="Normal 3" xfId="9"/>
    <cellStyle name="Normal 3 2" xfId="37"/>
    <cellStyle name="Normal 4" xfId="38"/>
    <cellStyle name="Normal 4 2" xfId="12"/>
    <cellStyle name="Normal 5" xfId="39"/>
    <cellStyle name="Normal 6" xfId="40"/>
    <cellStyle name="Normal 6 2" xfId="41"/>
    <cellStyle name="Normal 7" xfId="42"/>
    <cellStyle name="Normal 8" xfId="43"/>
    <cellStyle name="Normal 9" xfId="44"/>
    <cellStyle name="Normal_Pass-Through Model 11_2007 - 10_2008" xfId="14"/>
    <cellStyle name="Percent" xfId="1" builtinId="5"/>
    <cellStyle name="Percent 2" xfId="13"/>
    <cellStyle name="Percent 3" xfId="45"/>
    <cellStyle name="Percent 3 2" xfId="46"/>
    <cellStyle name="Percent 4" xfId="47"/>
    <cellStyle name="Percent 5" xfId="48"/>
    <cellStyle name="Percent 6" xfId="49"/>
    <cellStyle name="PSChar" xfId="3"/>
    <cellStyle name="PSChar 10" xfId="50"/>
    <cellStyle name="PSChar 2" xfId="51"/>
    <cellStyle name="PSChar 3" xfId="52"/>
    <cellStyle name="PSChar 4" xfId="53"/>
    <cellStyle name="PSChar 5" xfId="54"/>
    <cellStyle name="PSChar 6" xfId="55"/>
    <cellStyle name="PSChar 7" xfId="56"/>
    <cellStyle name="PSChar 7 2" xfId="57"/>
    <cellStyle name="PSChar 8" xfId="58"/>
    <cellStyle name="PSChar 8 2" xfId="59"/>
    <cellStyle name="PSChar 9" xfId="60"/>
    <cellStyle name="PSChar 9 2" xfId="61"/>
    <cellStyle name="PSDate" xfId="4"/>
    <cellStyle name="PSDate 10" xfId="62"/>
    <cellStyle name="PSDate 2" xfId="63"/>
    <cellStyle name="PSDate 3" xfId="64"/>
    <cellStyle name="PSDate 4" xfId="65"/>
    <cellStyle name="PSDate 5" xfId="66"/>
    <cellStyle name="PSDate 6" xfId="67"/>
    <cellStyle name="PSDate 7" xfId="68"/>
    <cellStyle name="PSDate 7 2" xfId="69"/>
    <cellStyle name="PSDate 8" xfId="70"/>
    <cellStyle name="PSDate 8 2" xfId="71"/>
    <cellStyle name="PSDate 9" xfId="72"/>
    <cellStyle name="PSDate 9 2" xfId="73"/>
    <cellStyle name="PSDec" xfId="5"/>
    <cellStyle name="PSDec 10" xfId="74"/>
    <cellStyle name="PSDec 2" xfId="75"/>
    <cellStyle name="PSDec 3" xfId="76"/>
    <cellStyle name="PSDec 4" xfId="77"/>
    <cellStyle name="PSDec 5" xfId="78"/>
    <cellStyle name="PSDec 6" xfId="79"/>
    <cellStyle name="PSDec 7" xfId="80"/>
    <cellStyle name="PSDec 7 2" xfId="81"/>
    <cellStyle name="PSDec 8" xfId="82"/>
    <cellStyle name="PSDec 8 2" xfId="83"/>
    <cellStyle name="PSDec 9" xfId="84"/>
    <cellStyle name="PSDec 9 2" xfId="85"/>
    <cellStyle name="PSHeading" xfId="6"/>
    <cellStyle name="PSHeading 10" xfId="86"/>
    <cellStyle name="PSHeading 2" xfId="87"/>
    <cellStyle name="PSHeading 2 2" xfId="88"/>
    <cellStyle name="PSHeading 3" xfId="89"/>
    <cellStyle name="PSHeading 3 2" xfId="90"/>
    <cellStyle name="PSHeading 4" xfId="91"/>
    <cellStyle name="PSHeading 4 2" xfId="92"/>
    <cellStyle name="PSHeading 5" xfId="93"/>
    <cellStyle name="PSHeading 5 2" xfId="94"/>
    <cellStyle name="PSHeading 6" xfId="95"/>
    <cellStyle name="PSHeading 6 2" xfId="96"/>
    <cellStyle name="PSHeading 7" xfId="97"/>
    <cellStyle name="PSHeading 7 2" xfId="98"/>
    <cellStyle name="PSHeading 8" xfId="99"/>
    <cellStyle name="PSHeading 8 2" xfId="100"/>
    <cellStyle name="PSHeading 9" xfId="101"/>
    <cellStyle name="PSInt" xfId="7"/>
    <cellStyle name="PSInt 2" xfId="102"/>
    <cellStyle name="PSInt 3" xfId="103"/>
    <cellStyle name="PSInt 4" xfId="104"/>
    <cellStyle name="PSInt 5" xfId="105"/>
    <cellStyle name="PSInt 6" xfId="106"/>
    <cellStyle name="PSInt 6 2" xfId="107"/>
    <cellStyle name="PSInt 7" xfId="108"/>
    <cellStyle name="PSInt 7 2" xfId="109"/>
    <cellStyle name="PSInt 8" xfId="110"/>
    <cellStyle name="PSInt 8 2" xfId="111"/>
    <cellStyle name="PSInt 9" xfId="112"/>
    <cellStyle name="PSSpacer" xfId="8"/>
    <cellStyle name="PSSpacer 2" xfId="113"/>
    <cellStyle name="PSSpacer 3" xfId="114"/>
    <cellStyle name="PSSpacer 4" xfId="115"/>
    <cellStyle name="PSSpacer 5" xfId="116"/>
    <cellStyle name="PSSpacer 6" xfId="117"/>
    <cellStyle name="PSSpacer 6 2" xfId="118"/>
    <cellStyle name="PSSpacer 7" xfId="119"/>
    <cellStyle name="PSSpacer 7 2" xfId="120"/>
    <cellStyle name="PSSpacer 8" xfId="121"/>
    <cellStyle name="PSSpacer 8 2" xfId="122"/>
    <cellStyle name="PSSpacer 9" xfId="12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N26"/>
  <sheetViews>
    <sheetView tabSelected="1" workbookViewId="0">
      <selection activeCell="G12" sqref="G12"/>
    </sheetView>
  </sheetViews>
  <sheetFormatPr defaultRowHeight="12.75"/>
  <cols>
    <col min="1" max="1" width="2.42578125" customWidth="1"/>
    <col min="2" max="2" width="3.28515625" customWidth="1"/>
    <col min="3" max="3" width="12.140625" customWidth="1"/>
    <col min="4" max="4" width="2.5703125" customWidth="1"/>
    <col min="5" max="5" width="23.5703125" bestFit="1" customWidth="1"/>
    <col min="6" max="6" width="2.7109375" customWidth="1"/>
    <col min="7" max="7" width="15.42578125" customWidth="1"/>
    <col min="8" max="8" width="2.5703125" customWidth="1"/>
    <col min="9" max="9" width="16.85546875" bestFit="1" customWidth="1"/>
    <col min="10" max="10" width="2.5703125" customWidth="1"/>
    <col min="11" max="11" width="14" bestFit="1" customWidth="1"/>
    <col min="12" max="12" width="2.5703125" customWidth="1"/>
    <col min="13" max="13" width="16" bestFit="1" customWidth="1"/>
    <col min="14" max="14" width="3.85546875" customWidth="1"/>
  </cols>
  <sheetData>
    <row r="1" spans="2:14" ht="15.75">
      <c r="B1" s="129"/>
      <c r="C1" s="165" t="s">
        <v>4</v>
      </c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4"/>
    </row>
    <row r="2" spans="2:14" ht="15">
      <c r="B2" s="129"/>
      <c r="C2" s="129"/>
      <c r="D2" s="130"/>
      <c r="E2" s="130"/>
      <c r="F2" s="130"/>
      <c r="G2" s="130"/>
      <c r="H2" s="130"/>
      <c r="I2" s="130"/>
      <c r="J2" s="130"/>
      <c r="K2" s="129"/>
      <c r="L2" s="130"/>
      <c r="M2" s="129"/>
      <c r="N2" s="4"/>
    </row>
    <row r="3" spans="2:14" ht="15">
      <c r="B3" s="129"/>
      <c r="C3" s="129"/>
      <c r="D3" s="130"/>
      <c r="E3" s="130"/>
      <c r="F3" s="130"/>
      <c r="G3" s="130"/>
      <c r="H3" s="130"/>
      <c r="I3" s="130"/>
      <c r="J3" s="130"/>
      <c r="K3" s="129"/>
      <c r="L3" s="130"/>
      <c r="M3" s="129"/>
      <c r="N3" s="4"/>
    </row>
    <row r="4" spans="2:14" ht="15">
      <c r="B4" s="129"/>
      <c r="C4" s="129"/>
      <c r="D4" s="131"/>
      <c r="E4" s="131" t="s">
        <v>5</v>
      </c>
      <c r="F4" s="131"/>
      <c r="G4" s="131" t="s">
        <v>6</v>
      </c>
      <c r="H4" s="131"/>
      <c r="I4" s="131" t="s">
        <v>7</v>
      </c>
      <c r="J4" s="131"/>
      <c r="K4" s="131" t="s">
        <v>106</v>
      </c>
      <c r="L4" s="131"/>
      <c r="M4" s="131" t="s">
        <v>19</v>
      </c>
      <c r="N4" s="6"/>
    </row>
    <row r="5" spans="2:14" ht="15.75">
      <c r="B5" s="129"/>
      <c r="C5" s="129"/>
      <c r="D5" s="129"/>
      <c r="E5" s="131"/>
      <c r="F5" s="131"/>
      <c r="G5" s="129"/>
      <c r="H5" s="129"/>
      <c r="I5" s="129"/>
      <c r="J5" s="129"/>
      <c r="K5" s="129"/>
      <c r="L5" s="129"/>
      <c r="M5" s="132"/>
      <c r="N5" s="5"/>
    </row>
    <row r="6" spans="2:14" ht="15">
      <c r="B6" s="129"/>
      <c r="C6" s="129"/>
      <c r="D6" s="131"/>
      <c r="E6" s="131" t="s">
        <v>8</v>
      </c>
      <c r="F6" s="131"/>
      <c r="G6" s="133" t="s">
        <v>107</v>
      </c>
      <c r="H6" s="131"/>
      <c r="I6" s="131" t="s">
        <v>107</v>
      </c>
      <c r="J6" s="131"/>
      <c r="L6" s="131"/>
      <c r="M6" s="131" t="s">
        <v>0</v>
      </c>
      <c r="N6" s="6"/>
    </row>
    <row r="7" spans="2:14" ht="15">
      <c r="B7" s="129"/>
      <c r="C7" s="129"/>
      <c r="D7" s="133"/>
      <c r="E7" s="133" t="s">
        <v>10</v>
      </c>
      <c r="F7" s="133"/>
      <c r="G7" s="133" t="s">
        <v>71</v>
      </c>
      <c r="H7" s="133"/>
      <c r="I7" s="133" t="s">
        <v>0</v>
      </c>
      <c r="J7" s="133"/>
      <c r="K7" s="131" t="s">
        <v>9</v>
      </c>
      <c r="L7" s="133"/>
      <c r="M7" s="131" t="s">
        <v>103</v>
      </c>
      <c r="N7" s="7"/>
    </row>
    <row r="8" spans="2:14" ht="15">
      <c r="B8" s="129"/>
      <c r="C8" s="129"/>
      <c r="D8" s="129"/>
      <c r="E8" s="131" t="s">
        <v>2</v>
      </c>
      <c r="F8" s="131"/>
      <c r="G8" s="134" t="s">
        <v>2</v>
      </c>
      <c r="H8" s="129"/>
      <c r="I8" s="134" t="s">
        <v>2</v>
      </c>
      <c r="J8" s="129"/>
      <c r="K8" s="134" t="s">
        <v>11</v>
      </c>
      <c r="L8" s="129"/>
      <c r="M8" s="134" t="s">
        <v>1</v>
      </c>
      <c r="N8" s="5"/>
    </row>
    <row r="9" spans="2:14" ht="15">
      <c r="B9" s="131">
        <v>1</v>
      </c>
      <c r="C9" s="129" t="s">
        <v>12</v>
      </c>
      <c r="D9" s="135"/>
      <c r="E9" s="152">
        <v>349101003</v>
      </c>
      <c r="F9" s="153"/>
      <c r="G9" s="153">
        <f>-2894604</f>
        <v>-2894604</v>
      </c>
      <c r="H9" s="153"/>
      <c r="I9" s="152">
        <f t="shared" ref="I9:I15" si="0">E9+G9</f>
        <v>346206399</v>
      </c>
      <c r="J9" s="153"/>
      <c r="K9" s="154">
        <f>I9/$E$17</f>
        <v>0.88444992787587218</v>
      </c>
      <c r="L9" s="153"/>
      <c r="M9" s="153">
        <f>K9*$M$17</f>
        <v>442224.96393793606</v>
      </c>
      <c r="N9" s="8"/>
    </row>
    <row r="10" spans="2:14" ht="15">
      <c r="B10" s="131">
        <v>2</v>
      </c>
      <c r="C10" s="129" t="s">
        <v>13</v>
      </c>
      <c r="D10" s="136"/>
      <c r="E10" s="155">
        <v>2958415</v>
      </c>
      <c r="F10" s="155"/>
      <c r="G10" s="155">
        <v>-73253</v>
      </c>
      <c r="H10" s="155"/>
      <c r="I10" s="155">
        <f t="shared" si="0"/>
        <v>2885162</v>
      </c>
      <c r="J10" s="155"/>
      <c r="K10" s="154">
        <f t="shared" ref="K10:K15" si="1">I10/$E$17</f>
        <v>7.3706936965373853E-3</v>
      </c>
      <c r="L10" s="155"/>
      <c r="M10" s="153">
        <f t="shared" ref="M10:M15" si="2">K10*$M$17</f>
        <v>3685.3468482686926</v>
      </c>
      <c r="N10" s="9"/>
    </row>
    <row r="11" spans="2:14" ht="15">
      <c r="B11" s="131">
        <v>3</v>
      </c>
      <c r="C11" s="129" t="s">
        <v>14</v>
      </c>
      <c r="D11" s="136"/>
      <c r="E11" s="155">
        <v>2745576</v>
      </c>
      <c r="F11" s="155"/>
      <c r="G11" s="155">
        <v>-6987</v>
      </c>
      <c r="H11" s="155"/>
      <c r="I11" s="155">
        <f t="shared" si="0"/>
        <v>2738589</v>
      </c>
      <c r="J11" s="155"/>
      <c r="K11" s="154">
        <f t="shared" si="1"/>
        <v>6.9962451604820191E-3</v>
      </c>
      <c r="L11" s="155"/>
      <c r="M11" s="153">
        <f t="shared" si="2"/>
        <v>3498.1225802410095</v>
      </c>
      <c r="N11" s="9"/>
    </row>
    <row r="12" spans="2:14" ht="15">
      <c r="B12" s="131">
        <v>4</v>
      </c>
      <c r="C12" s="129" t="s">
        <v>15</v>
      </c>
      <c r="D12" s="136"/>
      <c r="E12" s="155">
        <v>151600</v>
      </c>
      <c r="F12" s="155"/>
      <c r="G12" s="155">
        <v>0</v>
      </c>
      <c r="H12" s="155"/>
      <c r="I12" s="155">
        <f t="shared" si="0"/>
        <v>151600</v>
      </c>
      <c r="J12" s="155"/>
      <c r="K12" s="154">
        <f t="shared" si="1"/>
        <v>3.8729096126840281E-4</v>
      </c>
      <c r="L12" s="155"/>
      <c r="M12" s="153">
        <f t="shared" si="2"/>
        <v>193.64548063420139</v>
      </c>
      <c r="N12" s="9"/>
    </row>
    <row r="13" spans="2:14" ht="15">
      <c r="B13" s="131">
        <v>5</v>
      </c>
      <c r="C13" s="129" t="s">
        <v>101</v>
      </c>
      <c r="D13" s="136"/>
      <c r="E13" s="155">
        <v>34499685</v>
      </c>
      <c r="F13" s="155"/>
      <c r="G13" s="155">
        <v>2780987</v>
      </c>
      <c r="H13" s="155"/>
      <c r="I13" s="155">
        <f t="shared" si="0"/>
        <v>37280672</v>
      </c>
      <c r="J13" s="155"/>
      <c r="K13" s="154">
        <f t="shared" si="1"/>
        <v>9.5240549443351127E-2</v>
      </c>
      <c r="L13" s="155"/>
      <c r="M13" s="153">
        <f t="shared" si="2"/>
        <v>47620.274721675567</v>
      </c>
      <c r="N13" s="9"/>
    </row>
    <row r="14" spans="2:14" ht="15">
      <c r="B14" s="131">
        <v>6</v>
      </c>
      <c r="C14" s="129" t="s">
        <v>16</v>
      </c>
      <c r="D14" s="136"/>
      <c r="E14" s="155">
        <v>0</v>
      </c>
      <c r="F14" s="155"/>
      <c r="G14" s="155">
        <v>0</v>
      </c>
      <c r="H14" s="155"/>
      <c r="I14" s="155">
        <f t="shared" si="0"/>
        <v>0</v>
      </c>
      <c r="J14" s="155"/>
      <c r="K14" s="154">
        <f t="shared" si="1"/>
        <v>0</v>
      </c>
      <c r="L14" s="155"/>
      <c r="M14" s="153">
        <f t="shared" si="2"/>
        <v>0</v>
      </c>
      <c r="N14" s="9"/>
    </row>
    <row r="15" spans="2:14" ht="15">
      <c r="B15" s="131">
        <v>7</v>
      </c>
      <c r="C15" s="129" t="s">
        <v>102</v>
      </c>
      <c r="D15" s="136"/>
      <c r="E15" s="155">
        <v>1980690</v>
      </c>
      <c r="F15" s="155"/>
      <c r="G15" s="162">
        <v>193857</v>
      </c>
      <c r="H15" s="155"/>
      <c r="I15" s="155">
        <f t="shared" si="0"/>
        <v>2174547</v>
      </c>
      <c r="J15" s="155"/>
      <c r="K15" s="154">
        <f t="shared" si="1"/>
        <v>5.5552928624889282E-3</v>
      </c>
      <c r="L15" s="155"/>
      <c r="M15" s="156">
        <f t="shared" si="2"/>
        <v>2777.6464312444641</v>
      </c>
      <c r="N15" s="9"/>
    </row>
    <row r="16" spans="2:14" ht="15">
      <c r="B16" s="131"/>
      <c r="C16" s="129"/>
      <c r="D16" s="137"/>
      <c r="E16" s="159"/>
      <c r="F16" s="135"/>
      <c r="G16" s="157"/>
      <c r="H16" s="157"/>
      <c r="I16" s="159"/>
      <c r="J16" s="157"/>
      <c r="K16" s="152"/>
      <c r="L16" s="157"/>
      <c r="M16" s="157"/>
      <c r="N16" s="10"/>
    </row>
    <row r="17" spans="2:14" ht="15">
      <c r="B17" s="131">
        <v>8</v>
      </c>
      <c r="C17" s="129" t="s">
        <v>17</v>
      </c>
      <c r="D17" s="137"/>
      <c r="E17" s="137">
        <f>SUM(E9:E15)</f>
        <v>391436969</v>
      </c>
      <c r="F17" s="137"/>
      <c r="G17" s="137"/>
      <c r="H17" s="157"/>
      <c r="I17" s="137">
        <f>SUM(I9:I15)</f>
        <v>391436969</v>
      </c>
      <c r="J17" s="157"/>
      <c r="K17" s="158">
        <f>SUM(K9:K15)</f>
        <v>1.0000000000000002</v>
      </c>
      <c r="L17" s="157"/>
      <c r="M17" s="157">
        <v>500000</v>
      </c>
      <c r="N17" s="137" t="s">
        <v>3</v>
      </c>
    </row>
    <row r="18" spans="2:14" ht="15">
      <c r="B18" s="131"/>
      <c r="C18" s="129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0"/>
    </row>
    <row r="19" spans="2:14" ht="15">
      <c r="B19" s="129"/>
      <c r="C19" s="129"/>
      <c r="D19" s="129"/>
      <c r="E19" s="164"/>
      <c r="F19" s="129"/>
      <c r="G19" s="129"/>
      <c r="H19" s="129"/>
      <c r="I19" s="129"/>
      <c r="J19" s="129"/>
      <c r="K19" s="129"/>
      <c r="L19" s="129"/>
      <c r="M19" s="129"/>
      <c r="N19" s="5"/>
    </row>
    <row r="20" spans="2:14" ht="15">
      <c r="B20" s="129"/>
      <c r="C20" s="129" t="s">
        <v>108</v>
      </c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5"/>
    </row>
    <row r="21" spans="2:14" ht="15"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3"/>
    </row>
    <row r="22" spans="2:14" ht="15.75"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</row>
    <row r="23" spans="2:14" ht="15.75"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</row>
    <row r="24" spans="2:14" ht="15.75"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</row>
    <row r="25" spans="2:14" ht="15.75"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</row>
    <row r="26" spans="2:14" ht="15.75"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</row>
  </sheetData>
  <mergeCells count="1">
    <mergeCell ref="C1:M1"/>
  </mergeCells>
  <pageMargins left="0.7" right="0.7" top="0.86458333333333304" bottom="0.75" header="0.3" footer="0.3"/>
  <pageSetup scale="74" orientation="portrait" r:id="rId1"/>
  <headerFooter scaleWithDoc="0">
    <oddHeader>&amp;RDominion Energy Utah
Docket 20-057-23
Exhibit 1.1</oddHeader>
  </headerFooter>
  <colBreaks count="1" manualBreakCount="1">
    <brk id="14" max="2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5"/>
  <sheetViews>
    <sheetView topLeftCell="M1" zoomScale="85" zoomScaleNormal="85" workbookViewId="0">
      <selection activeCell="L16" sqref="L16"/>
    </sheetView>
  </sheetViews>
  <sheetFormatPr defaultRowHeight="12.75"/>
  <cols>
    <col min="1" max="1" width="4.42578125" style="1" customWidth="1"/>
    <col min="2" max="3" width="9.140625" style="1"/>
    <col min="4" max="4" width="7.42578125" style="1" bestFit="1" customWidth="1"/>
    <col min="5" max="5" width="9.140625" style="1" bestFit="1" customWidth="1"/>
    <col min="6" max="6" width="2" style="1" customWidth="1"/>
    <col min="7" max="7" width="13.28515625" style="1" customWidth="1"/>
    <col min="8" max="8" width="15.42578125" style="1" bestFit="1" customWidth="1"/>
    <col min="9" max="9" width="13.28515625" style="1" customWidth="1"/>
    <col min="10" max="10" width="2" style="1" customWidth="1"/>
    <col min="11" max="11" width="15.28515625" style="1" customWidth="1"/>
    <col min="12" max="12" width="12" style="1" bestFit="1" customWidth="1"/>
    <col min="13" max="15" width="13.7109375" style="1" customWidth="1"/>
    <col min="16" max="16" width="5.140625" customWidth="1"/>
    <col min="17" max="17" width="5.140625" style="123" customWidth="1"/>
    <col min="18" max="18" width="16.7109375" bestFit="1" customWidth="1"/>
    <col min="19" max="19" width="5" customWidth="1"/>
    <col min="21" max="21" width="10.42578125" style="123" bestFit="1" customWidth="1"/>
    <col min="22" max="22" width="10.42578125" bestFit="1" customWidth="1"/>
    <col min="23" max="23" width="4.140625" style="123" customWidth="1"/>
    <col min="24" max="24" width="10.42578125" bestFit="1" customWidth="1"/>
  </cols>
  <sheetData>
    <row r="1" spans="1:24" ht="15.75">
      <c r="A1" s="166" t="s">
        <v>105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</row>
    <row r="2" spans="1:24">
      <c r="A2" s="11"/>
      <c r="B2" s="12"/>
      <c r="C2" s="12"/>
      <c r="D2" s="12"/>
      <c r="E2" s="13"/>
      <c r="F2" s="13"/>
      <c r="G2" s="12"/>
      <c r="H2" s="12"/>
      <c r="I2" s="12"/>
      <c r="J2" s="14"/>
      <c r="K2" s="12"/>
      <c r="L2" s="12"/>
      <c r="M2" s="12"/>
      <c r="N2" s="12"/>
      <c r="O2" s="12"/>
    </row>
    <row r="3" spans="1:24">
      <c r="A3" s="11"/>
      <c r="B3" s="11"/>
      <c r="C3" s="11" t="s">
        <v>5</v>
      </c>
      <c r="D3" s="11" t="s">
        <v>6</v>
      </c>
      <c r="E3" s="125" t="s">
        <v>7</v>
      </c>
      <c r="F3" s="125"/>
      <c r="G3" s="11" t="s">
        <v>18</v>
      </c>
      <c r="H3" s="11" t="s">
        <v>19</v>
      </c>
      <c r="I3" s="15" t="s">
        <v>20</v>
      </c>
      <c r="J3" s="15"/>
      <c r="K3" s="15" t="s">
        <v>21</v>
      </c>
      <c r="L3" s="15" t="s">
        <v>22</v>
      </c>
      <c r="M3" s="15" t="s">
        <v>23</v>
      </c>
      <c r="N3" s="15" t="s">
        <v>24</v>
      </c>
      <c r="O3" s="15" t="s">
        <v>25</v>
      </c>
    </row>
    <row r="4" spans="1:24">
      <c r="A4" s="11"/>
      <c r="B4" s="16" t="s">
        <v>26</v>
      </c>
      <c r="C4" s="17"/>
      <c r="D4" s="17"/>
      <c r="E4" s="18"/>
      <c r="F4" s="18"/>
      <c r="G4" s="167" t="s">
        <v>98</v>
      </c>
      <c r="H4" s="167"/>
      <c r="I4" s="167"/>
      <c r="J4" s="17"/>
      <c r="K4" s="19"/>
      <c r="L4" s="20"/>
      <c r="M4" s="19"/>
      <c r="N4" s="19"/>
      <c r="O4" s="19" t="s">
        <v>28</v>
      </c>
    </row>
    <row r="5" spans="1:24">
      <c r="A5" s="11"/>
      <c r="B5" s="16"/>
      <c r="C5" s="17"/>
      <c r="D5" s="17"/>
      <c r="E5" s="18"/>
      <c r="F5" s="18"/>
      <c r="G5" s="125"/>
      <c r="H5" s="125"/>
      <c r="I5" s="125"/>
      <c r="J5" s="17"/>
      <c r="K5" s="19" t="s">
        <v>103</v>
      </c>
      <c r="L5" s="20" t="s">
        <v>29</v>
      </c>
      <c r="M5" s="19" t="s">
        <v>103</v>
      </c>
      <c r="N5" s="19"/>
      <c r="O5" s="19"/>
      <c r="R5" t="s">
        <v>91</v>
      </c>
    </row>
    <row r="6" spans="1:24" ht="13.5" thickBot="1">
      <c r="A6" s="11"/>
      <c r="B6" s="21" t="s">
        <v>31</v>
      </c>
      <c r="C6" s="22"/>
      <c r="D6" s="22"/>
      <c r="E6" s="23" t="s">
        <v>32</v>
      </c>
      <c r="F6" s="24"/>
      <c r="G6" s="25" t="s">
        <v>32</v>
      </c>
      <c r="H6" s="25" t="s">
        <v>97</v>
      </c>
      <c r="I6" s="26" t="s">
        <v>33</v>
      </c>
      <c r="J6" s="17"/>
      <c r="K6" s="25" t="s">
        <v>1</v>
      </c>
      <c r="L6" s="25" t="s">
        <v>34</v>
      </c>
      <c r="M6" s="25" t="s">
        <v>104</v>
      </c>
      <c r="N6" s="25" t="s">
        <v>27</v>
      </c>
      <c r="O6" s="25" t="s">
        <v>30</v>
      </c>
      <c r="R6" t="s">
        <v>92</v>
      </c>
      <c r="T6" t="s">
        <v>93</v>
      </c>
      <c r="V6" t="s">
        <v>94</v>
      </c>
      <c r="X6" t="s">
        <v>95</v>
      </c>
    </row>
    <row r="7" spans="1:24">
      <c r="A7" s="11">
        <v>1</v>
      </c>
      <c r="B7" s="27" t="s">
        <v>36</v>
      </c>
      <c r="C7" s="27" t="s">
        <v>37</v>
      </c>
      <c r="D7" s="27" t="s">
        <v>38</v>
      </c>
      <c r="E7" s="28">
        <v>45</v>
      </c>
      <c r="F7" s="28"/>
      <c r="G7" s="29">
        <v>62110650</v>
      </c>
      <c r="H7" s="30">
        <v>2.67483</v>
      </c>
      <c r="I7" s="31">
        <f>ROUND(G7*SUM(H7:H7),0)</f>
        <v>166135430</v>
      </c>
      <c r="J7" s="32"/>
      <c r="K7" s="29">
        <f>M7*G7</f>
        <v>299373.33299999998</v>
      </c>
      <c r="L7" s="33">
        <f>L12</f>
        <v>1.8037040350188584E-3</v>
      </c>
      <c r="M7" s="34">
        <f>ROUND(L7*SUM(H7:H7),5)</f>
        <v>4.8199999999999996E-3</v>
      </c>
      <c r="N7" s="34">
        <v>4.9399999999999999E-3</v>
      </c>
      <c r="O7" s="34">
        <f>M7-N7</f>
        <v>-1.2000000000000031E-4</v>
      </c>
      <c r="Q7" s="122"/>
      <c r="R7" s="124">
        <v>2.9367899999999998</v>
      </c>
      <c r="S7" s="34"/>
      <c r="T7" s="34">
        <f>R7+O7</f>
        <v>2.9366699999999999</v>
      </c>
      <c r="U7" s="122"/>
      <c r="V7" s="34">
        <v>7.7129000000000003</v>
      </c>
      <c r="W7" s="122"/>
      <c r="X7" s="121">
        <f>V7+O7</f>
        <v>7.7127800000000004</v>
      </c>
    </row>
    <row r="8" spans="1:24">
      <c r="A8" s="11">
        <f>A7+1</f>
        <v>2</v>
      </c>
      <c r="B8" s="27"/>
      <c r="C8" s="27" t="s">
        <v>39</v>
      </c>
      <c r="D8" s="27" t="s">
        <v>96</v>
      </c>
      <c r="E8" s="28">
        <v>45</v>
      </c>
      <c r="F8" s="28"/>
      <c r="G8" s="29">
        <v>16981993</v>
      </c>
      <c r="H8" s="30">
        <v>1.4724299999999999</v>
      </c>
      <c r="I8" s="31">
        <f>ROUND(G8*SUM(H8:H8),0)</f>
        <v>25004796</v>
      </c>
      <c r="J8" s="35"/>
      <c r="K8" s="29">
        <f>M8*G8</f>
        <v>45172.10138</v>
      </c>
      <c r="L8" s="33">
        <f>L12</f>
        <v>1.8037040350188584E-3</v>
      </c>
      <c r="M8" s="34">
        <f>ROUND(L8*SUM(H8:H8),5)</f>
        <v>2.66E-3</v>
      </c>
      <c r="N8" s="34">
        <v>2.7399999999999998E-3</v>
      </c>
      <c r="O8" s="34">
        <f>M8-N8</f>
        <v>-7.9999999999999776E-5</v>
      </c>
      <c r="Q8" s="122"/>
      <c r="R8" s="124">
        <v>1.7262299999999999</v>
      </c>
      <c r="S8" s="34"/>
      <c r="T8" s="34">
        <f>R8+O8</f>
        <v>1.7261499999999999</v>
      </c>
      <c r="U8" s="122"/>
      <c r="V8" s="34">
        <v>6.5023400000000002</v>
      </c>
      <c r="W8" s="122"/>
      <c r="X8" s="121">
        <f>V8+O8</f>
        <v>6.5022600000000006</v>
      </c>
    </row>
    <row r="9" spans="1:24">
      <c r="A9" s="11"/>
      <c r="B9" s="36"/>
      <c r="C9" s="27"/>
      <c r="D9" s="27"/>
      <c r="E9" s="37"/>
      <c r="F9" s="37"/>
      <c r="G9" s="29"/>
      <c r="H9" s="30"/>
      <c r="I9" s="31"/>
      <c r="J9" s="35"/>
      <c r="K9" s="29"/>
      <c r="L9" s="30"/>
      <c r="M9" s="31"/>
      <c r="N9" s="31"/>
      <c r="O9" s="31"/>
      <c r="P9" s="1"/>
      <c r="Q9" s="122"/>
      <c r="R9" s="34"/>
      <c r="S9" s="34"/>
      <c r="T9" s="34"/>
      <c r="U9" s="122"/>
      <c r="V9" s="34"/>
      <c r="W9" s="122"/>
    </row>
    <row r="10" spans="1:24">
      <c r="A10" s="11">
        <f>A8+1</f>
        <v>3</v>
      </c>
      <c r="B10" s="38" t="s">
        <v>41</v>
      </c>
      <c r="C10" s="27" t="s">
        <v>37</v>
      </c>
      <c r="D10" s="27" t="str">
        <f>D7</f>
        <v>First</v>
      </c>
      <c r="E10" s="37">
        <f>E7</f>
        <v>45</v>
      </c>
      <c r="F10" s="37"/>
      <c r="G10" s="29">
        <v>25582361</v>
      </c>
      <c r="H10" s="30">
        <v>1.97299</v>
      </c>
      <c r="I10" s="29">
        <f>ROUND(G10*SUM(H10:H10),0)</f>
        <v>50473742</v>
      </c>
      <c r="J10" s="35"/>
      <c r="K10" s="29">
        <f>M10*G10</f>
        <v>91073.205159999998</v>
      </c>
      <c r="L10" s="33">
        <f>L12</f>
        <v>1.8037040350188584E-3</v>
      </c>
      <c r="M10" s="34">
        <f>ROUND(L10*SUM(H10:H10),5)</f>
        <v>3.5599999999999998E-3</v>
      </c>
      <c r="N10" s="34">
        <v>3.6600000000000001E-3</v>
      </c>
      <c r="O10" s="34">
        <f>M10-N10</f>
        <v>-1.0000000000000026E-4</v>
      </c>
      <c r="P10" s="1"/>
      <c r="Q10" s="122"/>
      <c r="R10" s="124">
        <v>2.2302</v>
      </c>
      <c r="S10" s="34"/>
      <c r="T10" s="34">
        <f>R10+O10</f>
        <v>2.2300999999999997</v>
      </c>
      <c r="U10" s="122"/>
      <c r="V10" s="124">
        <v>6.4828999999999999</v>
      </c>
      <c r="W10" s="122"/>
      <c r="X10" s="121">
        <f>V10+O10</f>
        <v>6.4828000000000001</v>
      </c>
    </row>
    <row r="11" spans="1:24">
      <c r="A11" s="11">
        <f>A10+1</f>
        <v>4</v>
      </c>
      <c r="B11" s="38"/>
      <c r="C11" s="27" t="s">
        <v>39</v>
      </c>
      <c r="D11" s="27" t="str">
        <f>D8</f>
        <v>Over</v>
      </c>
      <c r="E11" s="37">
        <f>E8</f>
        <v>45</v>
      </c>
      <c r="F11" s="37"/>
      <c r="G11" s="29">
        <v>4622491</v>
      </c>
      <c r="H11" s="30">
        <v>0.77059</v>
      </c>
      <c r="I11" s="29">
        <f>ROUND(G11*SUM(H11:H11),0)</f>
        <v>3562045</v>
      </c>
      <c r="J11" s="35"/>
      <c r="K11" s="29">
        <f>M11*G11</f>
        <v>6425.2624900000001</v>
      </c>
      <c r="L11" s="33">
        <f>L12</f>
        <v>1.8037040350188584E-3</v>
      </c>
      <c r="M11" s="34">
        <f>ROUND(L11*SUM(H11:H11),5)</f>
        <v>1.39E-3</v>
      </c>
      <c r="N11" s="34">
        <v>1.4599999999999999E-3</v>
      </c>
      <c r="O11" s="34">
        <f>M11-N11</f>
        <v>-6.9999999999999967E-5</v>
      </c>
      <c r="P11" s="1"/>
      <c r="Q11" s="122"/>
      <c r="R11" s="124">
        <v>1.01963</v>
      </c>
      <c r="S11" s="34"/>
      <c r="T11" s="34">
        <f>R11+O11</f>
        <v>1.01956</v>
      </c>
      <c r="U11" s="122"/>
      <c r="V11" s="124">
        <v>5.2723300000000002</v>
      </c>
      <c r="W11" s="122"/>
      <c r="X11" s="121">
        <f>V11+O11</f>
        <v>5.2722600000000002</v>
      </c>
    </row>
    <row r="12" spans="1:24" ht="13.5" thickBot="1">
      <c r="A12" s="11">
        <f>A11+1</f>
        <v>5</v>
      </c>
      <c r="B12" s="39" t="s">
        <v>42</v>
      </c>
      <c r="C12" s="12"/>
      <c r="D12" s="27"/>
      <c r="E12" s="37"/>
      <c r="F12" s="37"/>
      <c r="G12" s="142">
        <f>SUM(G10:G11,G7:G8)</f>
        <v>109297495</v>
      </c>
      <c r="H12" s="143"/>
      <c r="I12" s="142">
        <f>SUM(I7:I11)</f>
        <v>245176013</v>
      </c>
      <c r="J12" s="144"/>
      <c r="K12" s="142">
        <f>'Exhibit 1.01 COS'!M9</f>
        <v>442224.96393793606</v>
      </c>
      <c r="L12" s="145">
        <f>K12/I12</f>
        <v>1.8037040350188584E-3</v>
      </c>
      <c r="M12" s="142"/>
      <c r="N12" s="142"/>
      <c r="O12" s="142"/>
      <c r="P12" s="1"/>
      <c r="Q12" s="122"/>
      <c r="R12" s="34"/>
      <c r="S12" s="34"/>
      <c r="T12" s="34"/>
      <c r="U12" s="122"/>
      <c r="V12" s="34"/>
      <c r="W12" s="122"/>
    </row>
    <row r="13" spans="1:24" ht="14.25" thickTop="1" thickBot="1">
      <c r="A13" s="11"/>
      <c r="B13" s="45"/>
      <c r="C13" s="45"/>
      <c r="D13" s="45"/>
      <c r="E13" s="46"/>
      <c r="F13" s="18"/>
      <c r="G13" s="47"/>
      <c r="H13" s="45"/>
      <c r="I13" s="47"/>
      <c r="J13" s="47"/>
      <c r="K13" s="47"/>
      <c r="L13" s="47"/>
      <c r="M13" s="47"/>
      <c r="N13" s="47"/>
      <c r="O13" s="47"/>
      <c r="P13" s="1"/>
      <c r="Q13" s="122"/>
      <c r="R13" s="34"/>
      <c r="S13" s="34"/>
      <c r="T13" s="34"/>
      <c r="U13" s="122"/>
      <c r="V13" s="34"/>
      <c r="W13" s="122"/>
    </row>
    <row r="14" spans="1:24">
      <c r="A14" s="11"/>
      <c r="B14" s="17"/>
      <c r="C14" s="17"/>
      <c r="D14" s="17"/>
      <c r="E14" s="18"/>
      <c r="F14" s="18"/>
      <c r="G14" s="48"/>
      <c r="H14" s="17"/>
      <c r="I14" s="48"/>
      <c r="J14" s="48"/>
      <c r="K14" s="19"/>
      <c r="L14" s="20"/>
      <c r="M14" s="19"/>
      <c r="N14" s="19"/>
      <c r="O14" s="19"/>
      <c r="P14" s="1"/>
      <c r="Q14" s="122"/>
      <c r="R14" s="34"/>
      <c r="S14" s="34"/>
      <c r="T14" s="34"/>
      <c r="U14" s="122"/>
      <c r="V14" s="34"/>
      <c r="W14" s="122"/>
    </row>
    <row r="15" spans="1:24">
      <c r="A15" s="11"/>
      <c r="B15" s="16" t="s">
        <v>43</v>
      </c>
      <c r="C15" s="17"/>
      <c r="D15" s="17"/>
      <c r="E15" s="18"/>
      <c r="F15" s="18"/>
      <c r="G15" s="167" t="s">
        <v>98</v>
      </c>
      <c r="H15" s="167"/>
      <c r="I15" s="167"/>
      <c r="J15" s="17"/>
      <c r="K15" s="19" t="s">
        <v>103</v>
      </c>
      <c r="L15" s="20" t="s">
        <v>29</v>
      </c>
      <c r="M15" s="19" t="s">
        <v>103</v>
      </c>
      <c r="N15" s="19"/>
      <c r="O15" s="19"/>
      <c r="P15" s="1"/>
      <c r="Q15" s="122"/>
      <c r="R15" s="34"/>
      <c r="S15" s="34"/>
      <c r="T15" s="34"/>
      <c r="U15" s="122"/>
      <c r="V15" s="34"/>
      <c r="W15" s="122"/>
    </row>
    <row r="16" spans="1:24" ht="13.5" thickBot="1">
      <c r="A16" s="11"/>
      <c r="B16" s="21" t="s">
        <v>31</v>
      </c>
      <c r="C16" s="22"/>
      <c r="D16" s="22"/>
      <c r="E16" s="23" t="s">
        <v>32</v>
      </c>
      <c r="F16" s="24"/>
      <c r="G16" s="25" t="s">
        <v>32</v>
      </c>
      <c r="H16" s="25" t="s">
        <v>97</v>
      </c>
      <c r="I16" s="26" t="s">
        <v>33</v>
      </c>
      <c r="J16" s="17"/>
      <c r="K16" s="25" t="s">
        <v>1</v>
      </c>
      <c r="L16" s="25" t="s">
        <v>34</v>
      </c>
      <c r="M16" s="25" t="s">
        <v>104</v>
      </c>
      <c r="N16" s="25" t="s">
        <v>27</v>
      </c>
      <c r="O16" s="25"/>
      <c r="P16" s="1"/>
      <c r="Q16" s="122"/>
      <c r="R16" s="34"/>
      <c r="S16" s="34"/>
      <c r="T16" s="34"/>
      <c r="U16" s="122"/>
      <c r="V16" s="34"/>
      <c r="W16" s="122"/>
    </row>
    <row r="17" spans="1:24">
      <c r="A17" s="11">
        <f>A12+1</f>
        <v>6</v>
      </c>
      <c r="B17" s="49" t="s">
        <v>44</v>
      </c>
      <c r="C17" s="27"/>
      <c r="D17" s="27" t="s">
        <v>45</v>
      </c>
      <c r="E17" s="37">
        <v>0</v>
      </c>
      <c r="F17" s="37"/>
      <c r="G17" s="29">
        <v>266152</v>
      </c>
      <c r="H17" s="30">
        <v>8.1459499999999991</v>
      </c>
      <c r="I17" s="29">
        <f>ROUND(G17*SUM(H17:H17),0)</f>
        <v>2168061</v>
      </c>
      <c r="J17" s="35"/>
      <c r="K17" s="29">
        <f>'Exhibit 1.01 COS'!M11</f>
        <v>3498.1225802410095</v>
      </c>
      <c r="L17" s="50">
        <f>K17/I17</f>
        <v>1.6134797776635481E-3</v>
      </c>
      <c r="M17" s="34">
        <f>ROUND(L17*SUM(H17:H17),5)</f>
        <v>1.3140000000000001E-2</v>
      </c>
      <c r="N17" s="34">
        <v>1.2800000000000001E-2</v>
      </c>
      <c r="O17" s="34">
        <f>M17-N17</f>
        <v>3.4000000000000002E-4</v>
      </c>
      <c r="P17" s="1"/>
      <c r="Q17" s="122"/>
      <c r="R17" s="124">
        <v>8.10534</v>
      </c>
      <c r="S17" s="34"/>
      <c r="T17" s="34">
        <f>R17+O17</f>
        <v>8.1056799999999996</v>
      </c>
      <c r="U17" s="122"/>
      <c r="V17" s="34">
        <v>12.833310000000001</v>
      </c>
      <c r="W17" s="122"/>
      <c r="X17" s="121">
        <f>V17+O17</f>
        <v>12.83365</v>
      </c>
    </row>
    <row r="18" spans="1:24">
      <c r="A18" s="11"/>
      <c r="B18" s="49"/>
      <c r="C18" s="27"/>
      <c r="D18" s="27"/>
      <c r="E18" s="37"/>
      <c r="F18" s="37"/>
      <c r="G18" s="29"/>
      <c r="H18" s="30"/>
      <c r="I18" s="29"/>
      <c r="J18" s="35"/>
      <c r="K18" s="29"/>
      <c r="L18" s="51"/>
      <c r="M18" s="34"/>
      <c r="N18" s="34"/>
      <c r="O18" s="34"/>
      <c r="P18" s="1"/>
      <c r="Q18" s="122"/>
      <c r="R18" s="34"/>
      <c r="S18" s="34"/>
      <c r="T18" s="34"/>
      <c r="U18" s="122"/>
      <c r="V18" s="34"/>
      <c r="W18" s="122"/>
    </row>
    <row r="19" spans="1:24" ht="13.5" thickBot="1">
      <c r="A19" s="11"/>
      <c r="B19" s="46"/>
      <c r="C19" s="46"/>
      <c r="D19" s="46"/>
      <c r="E19" s="46"/>
      <c r="F19" s="18"/>
      <c r="G19" s="146"/>
      <c r="H19" s="147"/>
      <c r="I19" s="147"/>
      <c r="J19" s="17"/>
      <c r="K19" s="146"/>
      <c r="L19" s="147"/>
      <c r="M19" s="147"/>
      <c r="N19" s="147"/>
      <c r="O19" s="147"/>
      <c r="P19" s="1"/>
      <c r="Q19" s="122"/>
      <c r="R19" s="34"/>
      <c r="S19" s="34"/>
      <c r="T19" s="34"/>
      <c r="U19" s="122"/>
      <c r="V19" s="34"/>
      <c r="W19" s="122"/>
    </row>
    <row r="20" spans="1:24">
      <c r="A20" s="11"/>
      <c r="B20" s="18"/>
      <c r="C20" s="18"/>
      <c r="D20" s="18"/>
      <c r="E20" s="18"/>
      <c r="F20" s="18"/>
      <c r="G20" s="148"/>
      <c r="H20" s="149"/>
      <c r="I20" s="149"/>
      <c r="J20" s="17"/>
      <c r="K20" s="19"/>
      <c r="L20" s="20"/>
      <c r="M20" s="19"/>
      <c r="N20" s="19"/>
      <c r="O20" s="19"/>
      <c r="P20" s="1"/>
      <c r="Q20" s="122"/>
      <c r="R20" s="34"/>
      <c r="S20" s="34"/>
      <c r="T20" s="34"/>
      <c r="U20" s="122"/>
      <c r="V20" s="34"/>
      <c r="W20" s="122"/>
    </row>
    <row r="21" spans="1:24">
      <c r="A21" s="11"/>
      <c r="B21" s="16" t="s">
        <v>46</v>
      </c>
      <c r="C21" s="18"/>
      <c r="D21" s="18"/>
      <c r="E21" s="18"/>
      <c r="F21" s="19"/>
      <c r="G21" s="167" t="s">
        <v>98</v>
      </c>
      <c r="H21" s="167"/>
      <c r="I21" s="167"/>
      <c r="J21" s="17"/>
      <c r="K21" s="19" t="s">
        <v>103</v>
      </c>
      <c r="L21" s="20" t="s">
        <v>29</v>
      </c>
      <c r="M21" s="19" t="s">
        <v>103</v>
      </c>
      <c r="N21" s="19"/>
      <c r="O21" s="19"/>
      <c r="P21" s="1"/>
      <c r="Q21" s="122"/>
      <c r="R21" s="34"/>
      <c r="S21" s="34"/>
      <c r="T21" s="34"/>
      <c r="U21" s="122"/>
      <c r="V21" s="34"/>
      <c r="W21" s="122"/>
    </row>
    <row r="22" spans="1:24" ht="13.5" thickBot="1">
      <c r="A22" s="11"/>
      <c r="B22" s="21" t="s">
        <v>31</v>
      </c>
      <c r="C22" s="22"/>
      <c r="D22" s="22"/>
      <c r="E22" s="23" t="s">
        <v>32</v>
      </c>
      <c r="F22" s="24"/>
      <c r="G22" s="25" t="s">
        <v>32</v>
      </c>
      <c r="H22" s="25" t="s">
        <v>97</v>
      </c>
      <c r="I22" s="26" t="s">
        <v>33</v>
      </c>
      <c r="J22" s="17"/>
      <c r="K22" s="25" t="s">
        <v>1</v>
      </c>
      <c r="L22" s="25" t="s">
        <v>34</v>
      </c>
      <c r="M22" s="25" t="s">
        <v>104</v>
      </c>
      <c r="N22" s="25" t="s">
        <v>27</v>
      </c>
      <c r="O22" s="25"/>
      <c r="P22" s="1"/>
      <c r="Q22" s="122"/>
      <c r="R22" s="34"/>
      <c r="S22" s="34"/>
      <c r="T22" s="34"/>
      <c r="U22" s="122"/>
      <c r="V22" s="34"/>
      <c r="W22" s="122"/>
    </row>
    <row r="23" spans="1:24">
      <c r="A23" s="11">
        <f>A17+1</f>
        <v>7</v>
      </c>
      <c r="B23" s="27" t="s">
        <v>36</v>
      </c>
      <c r="C23" s="27" t="s">
        <v>37</v>
      </c>
      <c r="D23" s="27" t="s">
        <v>38</v>
      </c>
      <c r="E23" s="37">
        <v>200</v>
      </c>
      <c r="F23" s="37"/>
      <c r="G23" s="29">
        <v>418068</v>
      </c>
      <c r="H23" s="30">
        <v>1.59674</v>
      </c>
      <c r="I23" s="29">
        <f>ROUND(G23*SUM(H23:H23),0)</f>
        <v>667546</v>
      </c>
      <c r="J23" s="35"/>
      <c r="K23" s="29">
        <f>M23*G23</f>
        <v>932.29164000000014</v>
      </c>
      <c r="L23" s="150">
        <f>L30</f>
        <v>1.3944218719623828E-3</v>
      </c>
      <c r="M23" s="30">
        <f>ROUND(L23*SUM(H23:H23),5)</f>
        <v>2.2300000000000002E-3</v>
      </c>
      <c r="N23" s="34">
        <v>2.0999999999999999E-3</v>
      </c>
      <c r="O23" s="30">
        <f>M23-N23</f>
        <v>1.3000000000000034E-4</v>
      </c>
      <c r="P23" s="1"/>
      <c r="Q23" s="122"/>
      <c r="R23" s="124">
        <v>1.61721</v>
      </c>
      <c r="S23" s="34"/>
      <c r="T23" s="34">
        <f>R23+O23</f>
        <v>1.61734</v>
      </c>
      <c r="U23" s="122"/>
      <c r="V23" s="34">
        <v>6.3184399999999998</v>
      </c>
      <c r="W23" s="122"/>
      <c r="X23" s="121">
        <f>V23+O23</f>
        <v>6.3185700000000002</v>
      </c>
    </row>
    <row r="24" spans="1:24">
      <c r="A24" s="11">
        <f>A23+1</f>
        <v>8</v>
      </c>
      <c r="B24" s="36"/>
      <c r="C24" s="27" t="s">
        <v>39</v>
      </c>
      <c r="D24" s="27" t="s">
        <v>40</v>
      </c>
      <c r="E24" s="37">
        <v>1800</v>
      </c>
      <c r="F24" s="37"/>
      <c r="G24" s="29">
        <v>744078</v>
      </c>
      <c r="H24" s="30">
        <v>1.0992900000000001</v>
      </c>
      <c r="I24" s="29">
        <f>ROUND(G24*SUM(H24:H24),0)</f>
        <v>817958</v>
      </c>
      <c r="J24" s="35"/>
      <c r="K24" s="29">
        <f>M24*G24</f>
        <v>1138.4393399999999</v>
      </c>
      <c r="L24" s="150">
        <f>L30</f>
        <v>1.3944218719623828E-3</v>
      </c>
      <c r="M24" s="30">
        <f>ROUND(L24*SUM(H24:H24),5)</f>
        <v>1.5299999999999999E-3</v>
      </c>
      <c r="N24" s="34">
        <v>1.4599999999999999E-3</v>
      </c>
      <c r="O24" s="30">
        <f>M24-N24</f>
        <v>6.9999999999999967E-5</v>
      </c>
      <c r="P24" s="1"/>
      <c r="Q24" s="122"/>
      <c r="R24" s="124">
        <v>1.12459</v>
      </c>
      <c r="S24" s="34"/>
      <c r="T24" s="34">
        <f>R24+O24</f>
        <v>1.12466</v>
      </c>
      <c r="U24" s="122"/>
      <c r="V24" s="34">
        <v>5.8258200000000002</v>
      </c>
      <c r="W24" s="122"/>
      <c r="X24" s="121">
        <f>V24+O24</f>
        <v>5.8258900000000002</v>
      </c>
    </row>
    <row r="25" spans="1:24">
      <c r="A25" s="11">
        <f>A24+1</f>
        <v>9</v>
      </c>
      <c r="B25" s="36"/>
      <c r="C25" s="27" t="s">
        <v>47</v>
      </c>
      <c r="D25" s="27" t="s">
        <v>45</v>
      </c>
      <c r="E25" s="37">
        <v>2000</v>
      </c>
      <c r="F25" s="37"/>
      <c r="G25" s="29">
        <v>296758</v>
      </c>
      <c r="H25" s="30">
        <v>0.57565</v>
      </c>
      <c r="I25" s="29">
        <f>ROUND(G25*SUM(H25:H25),0)</f>
        <v>170829</v>
      </c>
      <c r="J25" s="35"/>
      <c r="K25" s="29">
        <f>M25*G25</f>
        <v>237.40640000000002</v>
      </c>
      <c r="L25" s="150">
        <f>L30</f>
        <v>1.3944218719623828E-3</v>
      </c>
      <c r="M25" s="30">
        <f>ROUND(L25*SUM(H25:H25),5)</f>
        <v>8.0000000000000004E-4</v>
      </c>
      <c r="N25" s="34">
        <v>7.7999999999999999E-4</v>
      </c>
      <c r="O25" s="30">
        <f>M25-N25</f>
        <v>2.0000000000000052E-5</v>
      </c>
      <c r="P25" s="1"/>
      <c r="Q25" s="122"/>
      <c r="R25" s="124">
        <v>0.60602999999999996</v>
      </c>
      <c r="S25" s="34"/>
      <c r="T25" s="34">
        <f>R25+O25</f>
        <v>0.60604999999999998</v>
      </c>
      <c r="U25" s="122"/>
      <c r="V25" s="34">
        <v>5.3072600000000003</v>
      </c>
      <c r="W25" s="122"/>
      <c r="X25" s="121">
        <f>V25+O25</f>
        <v>5.3072800000000004</v>
      </c>
    </row>
    <row r="26" spans="1:24">
      <c r="A26" s="11"/>
      <c r="B26" s="36" t="s">
        <v>48</v>
      </c>
      <c r="C26" s="27"/>
      <c r="D26" s="27"/>
      <c r="E26" s="37"/>
      <c r="F26" s="37"/>
      <c r="G26" s="29"/>
      <c r="H26" s="151"/>
      <c r="I26" s="31"/>
      <c r="J26" s="35"/>
      <c r="K26" s="29"/>
      <c r="L26" s="150"/>
      <c r="M26" s="30"/>
      <c r="N26" s="30"/>
      <c r="O26" s="30"/>
      <c r="P26" s="1"/>
      <c r="Q26" s="122"/>
      <c r="R26" s="34"/>
      <c r="S26" s="34"/>
      <c r="T26" s="34"/>
      <c r="U26" s="122"/>
      <c r="V26" s="34"/>
      <c r="W26" s="122"/>
    </row>
    <row r="27" spans="1:24">
      <c r="A27" s="11">
        <f>A25+1</f>
        <v>10</v>
      </c>
      <c r="B27" s="38" t="s">
        <v>41</v>
      </c>
      <c r="C27" s="27" t="s">
        <v>37</v>
      </c>
      <c r="D27" s="27" t="str">
        <f t="shared" ref="D27:E29" si="0">D23</f>
        <v>First</v>
      </c>
      <c r="E27" s="37">
        <f t="shared" si="0"/>
        <v>200</v>
      </c>
      <c r="F27" s="37"/>
      <c r="G27" s="29">
        <v>552968</v>
      </c>
      <c r="H27" s="30">
        <v>1.0649299999999999</v>
      </c>
      <c r="I27" s="29">
        <f>ROUND(G27*SUM(H27:H27),0)</f>
        <v>588872</v>
      </c>
      <c r="J27" s="35"/>
      <c r="K27" s="29">
        <f>M27*G27</f>
        <v>818.39264000000003</v>
      </c>
      <c r="L27" s="150">
        <f>L30</f>
        <v>1.3944218719623828E-3</v>
      </c>
      <c r="M27" s="30">
        <f>ROUND(L27*SUM(H27:H27),5)</f>
        <v>1.48E-3</v>
      </c>
      <c r="N27" s="34">
        <v>1.41E-3</v>
      </c>
      <c r="O27" s="30">
        <f>M27-N27</f>
        <v>6.9999999999999967E-5</v>
      </c>
      <c r="P27" s="1"/>
      <c r="Q27" s="122"/>
      <c r="R27" s="124">
        <v>1.09056</v>
      </c>
      <c r="S27" s="34"/>
      <c r="T27" s="34">
        <f>R27+O27</f>
        <v>1.09063</v>
      </c>
      <c r="U27" s="122"/>
      <c r="V27" s="34">
        <v>5.6132099999999996</v>
      </c>
      <c r="W27" s="122"/>
      <c r="X27" s="121">
        <f>V27+O27</f>
        <v>5.6132799999999996</v>
      </c>
    </row>
    <row r="28" spans="1:24">
      <c r="A28" s="11">
        <f>A27+1</f>
        <v>11</v>
      </c>
      <c r="B28" s="38"/>
      <c r="C28" s="27" t="s">
        <v>39</v>
      </c>
      <c r="D28" s="27" t="str">
        <f t="shared" si="0"/>
        <v>Next</v>
      </c>
      <c r="E28" s="37">
        <f t="shared" si="0"/>
        <v>1800</v>
      </c>
      <c r="F28" s="37"/>
      <c r="G28" s="29">
        <v>692990</v>
      </c>
      <c r="H28" s="30">
        <v>0.56747999999999998</v>
      </c>
      <c r="I28" s="29">
        <f>ROUND(G28*SUM(H28:H28),0)</f>
        <v>393258</v>
      </c>
      <c r="J28" s="35"/>
      <c r="K28" s="29">
        <f>M28*G28</f>
        <v>547.46209999999996</v>
      </c>
      <c r="L28" s="150">
        <f>L30</f>
        <v>1.3944218719623828E-3</v>
      </c>
      <c r="M28" s="30">
        <f>ROUND(L28*SUM(H28:H28),5)</f>
        <v>7.9000000000000001E-4</v>
      </c>
      <c r="N28" s="34">
        <v>7.6999999999999996E-4</v>
      </c>
      <c r="O28" s="30">
        <f>M28-N28</f>
        <v>2.0000000000000052E-5</v>
      </c>
      <c r="P28" s="1"/>
      <c r="Q28" s="122"/>
      <c r="R28" s="124">
        <v>0.59794000000000003</v>
      </c>
      <c r="S28" s="34"/>
      <c r="T28" s="34">
        <f>R28+O28</f>
        <v>0.59796000000000005</v>
      </c>
      <c r="U28" s="122"/>
      <c r="V28" s="34">
        <v>5.12059</v>
      </c>
      <c r="W28" s="122"/>
      <c r="X28" s="121">
        <f>V28+O28</f>
        <v>5.1206100000000001</v>
      </c>
    </row>
    <row r="29" spans="1:24">
      <c r="A29" s="11">
        <f>A28+1</f>
        <v>12</v>
      </c>
      <c r="B29" s="38"/>
      <c r="C29" s="27" t="s">
        <v>47</v>
      </c>
      <c r="D29" s="27" t="str">
        <f t="shared" si="0"/>
        <v>All Over</v>
      </c>
      <c r="E29" s="37">
        <f t="shared" si="0"/>
        <v>2000</v>
      </c>
      <c r="F29" s="37"/>
      <c r="G29" s="29">
        <v>101659</v>
      </c>
      <c r="H29" s="30">
        <v>4.385E-2</v>
      </c>
      <c r="I29" s="29">
        <f>ROUND(G29*SUM(H29:H29),0)</f>
        <v>4458</v>
      </c>
      <c r="J29" s="35"/>
      <c r="K29" s="29">
        <f>M29*G29</f>
        <v>6.0995400000000002</v>
      </c>
      <c r="L29" s="150">
        <f>L30</f>
        <v>1.3944218719623828E-3</v>
      </c>
      <c r="M29" s="30">
        <f>ROUND(L29*SUM(H29:H29),5)</f>
        <v>6.0000000000000002E-5</v>
      </c>
      <c r="N29" s="34">
        <v>9.0000000000000006E-5</v>
      </c>
      <c r="O29" s="30">
        <f>M29-N29</f>
        <v>-3.0000000000000004E-5</v>
      </c>
      <c r="P29" s="1"/>
      <c r="Q29" s="122"/>
      <c r="R29" s="124">
        <v>7.9390000000000002E-2</v>
      </c>
      <c r="S29" s="34"/>
      <c r="T29" s="34">
        <f>R29+O29</f>
        <v>7.936E-2</v>
      </c>
      <c r="U29" s="122"/>
      <c r="V29" s="34">
        <v>4.6020399999999997</v>
      </c>
      <c r="W29" s="122"/>
      <c r="X29" s="121">
        <f>V29+O29</f>
        <v>4.6020099999999999</v>
      </c>
    </row>
    <row r="30" spans="1:24">
      <c r="A30" s="11">
        <f>A29+1</f>
        <v>13</v>
      </c>
      <c r="B30" s="39" t="s">
        <v>42</v>
      </c>
      <c r="C30" s="12"/>
      <c r="D30" s="27"/>
      <c r="E30" s="37"/>
      <c r="F30" s="37"/>
      <c r="G30" s="52">
        <f>SUM(G23:G29)</f>
        <v>2806521</v>
      </c>
      <c r="H30" s="53"/>
      <c r="I30" s="52">
        <f>SUM(I23:I29)</f>
        <v>2642921</v>
      </c>
      <c r="J30" s="35"/>
      <c r="K30" s="52">
        <f>'Exhibit 1.01 COS'!M10</f>
        <v>3685.3468482686926</v>
      </c>
      <c r="L30" s="50">
        <f>K30/I30</f>
        <v>1.3944218719623828E-3</v>
      </c>
      <c r="M30" s="52"/>
      <c r="N30" s="52"/>
      <c r="O30" s="52"/>
      <c r="P30" s="1"/>
      <c r="Q30" s="122"/>
      <c r="R30" s="34"/>
      <c r="S30" s="34"/>
      <c r="T30" s="34"/>
      <c r="U30" s="122"/>
      <c r="V30" s="34"/>
      <c r="W30" s="122"/>
    </row>
    <row r="31" spans="1:24">
      <c r="A31" s="11"/>
      <c r="B31" s="39"/>
      <c r="C31" s="12"/>
      <c r="D31" s="27"/>
      <c r="E31" s="37"/>
      <c r="F31" s="37"/>
      <c r="G31" s="54"/>
      <c r="H31" s="55"/>
      <c r="I31" s="54"/>
      <c r="J31" s="35"/>
      <c r="K31" s="54"/>
      <c r="L31" s="51"/>
      <c r="M31" s="54"/>
      <c r="N31" s="54"/>
      <c r="O31" s="54"/>
      <c r="P31" s="1"/>
      <c r="Q31" s="122"/>
      <c r="R31" s="34"/>
      <c r="S31" s="34"/>
      <c r="T31" s="34"/>
      <c r="U31" s="122"/>
      <c r="V31" s="34"/>
      <c r="W31" s="122"/>
    </row>
    <row r="32" spans="1:24" ht="13.5" thickBot="1">
      <c r="A32" s="11"/>
      <c r="B32" s="45"/>
      <c r="C32" s="45"/>
      <c r="D32" s="45"/>
      <c r="E32" s="46"/>
      <c r="F32" s="18"/>
      <c r="G32" s="47"/>
      <c r="H32" s="45"/>
      <c r="I32" s="47"/>
      <c r="J32" s="48"/>
      <c r="K32" s="47"/>
      <c r="L32" s="45"/>
      <c r="M32" s="47"/>
      <c r="N32" s="47"/>
      <c r="O32" s="47"/>
      <c r="P32" s="1"/>
      <c r="Q32" s="122"/>
      <c r="R32" s="34"/>
      <c r="S32" s="34"/>
      <c r="T32" s="34"/>
      <c r="U32" s="122"/>
      <c r="V32" s="34"/>
      <c r="W32" s="122"/>
    </row>
    <row r="33" spans="1:24">
      <c r="A33" s="11"/>
      <c r="B33" s="17"/>
      <c r="C33" s="17"/>
      <c r="D33" s="17"/>
      <c r="E33" s="18"/>
      <c r="F33" s="18"/>
      <c r="G33" s="48"/>
      <c r="H33" s="17"/>
      <c r="I33" s="48"/>
      <c r="J33" s="48"/>
      <c r="K33" s="19"/>
      <c r="L33" s="20"/>
      <c r="M33" s="19"/>
      <c r="N33" s="19"/>
      <c r="O33" s="19"/>
      <c r="P33" s="1"/>
      <c r="Q33" s="122"/>
      <c r="R33" s="34"/>
      <c r="S33" s="34"/>
      <c r="T33" s="34"/>
      <c r="U33" s="122"/>
      <c r="V33" s="34"/>
      <c r="W33" s="122"/>
    </row>
    <row r="34" spans="1:24">
      <c r="A34" s="11"/>
      <c r="B34" s="16" t="s">
        <v>49</v>
      </c>
      <c r="C34" s="17"/>
      <c r="D34" s="17"/>
      <c r="E34" s="20"/>
      <c r="F34" s="20"/>
      <c r="G34" s="167" t="s">
        <v>98</v>
      </c>
      <c r="H34" s="167"/>
      <c r="I34" s="167"/>
      <c r="J34" s="17"/>
      <c r="K34" s="19" t="s">
        <v>103</v>
      </c>
      <c r="L34" s="20" t="s">
        <v>29</v>
      </c>
      <c r="M34" s="19" t="s">
        <v>103</v>
      </c>
      <c r="N34" s="19"/>
      <c r="O34" s="19"/>
      <c r="P34" s="1"/>
      <c r="Q34" s="122"/>
      <c r="R34" s="34"/>
      <c r="S34" s="34"/>
      <c r="T34" s="34"/>
      <c r="U34" s="122"/>
      <c r="V34" s="34"/>
      <c r="W34" s="122"/>
    </row>
    <row r="35" spans="1:24" ht="13.5" thickBot="1">
      <c r="A35" s="11"/>
      <c r="B35" s="21" t="s">
        <v>31</v>
      </c>
      <c r="C35" s="22"/>
      <c r="D35" s="22"/>
      <c r="E35" s="23" t="s">
        <v>32</v>
      </c>
      <c r="F35" s="24"/>
      <c r="G35" s="25" t="s">
        <v>32</v>
      </c>
      <c r="H35" s="25" t="s">
        <v>97</v>
      </c>
      <c r="I35" s="26" t="s">
        <v>33</v>
      </c>
      <c r="J35" s="17"/>
      <c r="K35" s="25" t="s">
        <v>1</v>
      </c>
      <c r="L35" s="25" t="s">
        <v>34</v>
      </c>
      <c r="M35" s="25" t="s">
        <v>104</v>
      </c>
      <c r="N35" s="25" t="s">
        <v>27</v>
      </c>
      <c r="O35" s="25"/>
      <c r="P35" s="1"/>
      <c r="Q35" s="122"/>
      <c r="R35" s="34"/>
      <c r="S35" s="34"/>
      <c r="T35" s="34"/>
      <c r="U35" s="122"/>
      <c r="V35" s="34"/>
      <c r="W35" s="122"/>
    </row>
    <row r="36" spans="1:24">
      <c r="A36" s="11">
        <f>A30+1</f>
        <v>14</v>
      </c>
      <c r="B36" s="27"/>
      <c r="C36" s="27" t="s">
        <v>37</v>
      </c>
      <c r="D36" s="27" t="s">
        <v>38</v>
      </c>
      <c r="E36" s="56">
        <v>2000</v>
      </c>
      <c r="F36" s="57"/>
      <c r="G36" s="29">
        <v>104668</v>
      </c>
      <c r="H36" s="30">
        <v>0.91912000000000005</v>
      </c>
      <c r="I36" s="29">
        <f>ROUND(G36*SUM(H36:H36),0)</f>
        <v>96202</v>
      </c>
      <c r="J36" s="35"/>
      <c r="K36" s="29">
        <f>M36*G36</f>
        <v>181.07563999999999</v>
      </c>
      <c r="L36" s="33">
        <f>L39</f>
        <v>1.886334888358333E-3</v>
      </c>
      <c r="M36" s="30">
        <f>ROUND(L36*SUM(H36:H36),5)</f>
        <v>1.73E-3</v>
      </c>
      <c r="N36" s="34">
        <v>2.1800000000000001E-3</v>
      </c>
      <c r="O36" s="30">
        <f>M36-N36</f>
        <v>-4.500000000000001E-4</v>
      </c>
      <c r="P36" s="1"/>
      <c r="Q36" s="122"/>
      <c r="R36" s="124">
        <f>H36</f>
        <v>0.91912000000000005</v>
      </c>
      <c r="S36" s="34"/>
      <c r="T36" s="34">
        <f>R36+O36</f>
        <v>0.9186700000000001</v>
      </c>
      <c r="U36" s="122"/>
      <c r="V36" s="34">
        <v>4.9715400000000001</v>
      </c>
      <c r="W36" s="122"/>
      <c r="X36" s="121">
        <f>V36+O36</f>
        <v>4.9710900000000002</v>
      </c>
    </row>
    <row r="37" spans="1:24">
      <c r="A37" s="11">
        <f>A36+1</f>
        <v>15</v>
      </c>
      <c r="B37" s="36"/>
      <c r="C37" s="27" t="s">
        <v>39</v>
      </c>
      <c r="D37" s="27" t="s">
        <v>40</v>
      </c>
      <c r="E37" s="56">
        <v>18000</v>
      </c>
      <c r="F37" s="57"/>
      <c r="G37" s="29">
        <v>46506</v>
      </c>
      <c r="H37" s="30">
        <v>0.13879</v>
      </c>
      <c r="I37" s="29">
        <f>ROUND(G37*SUM(H37:H37),0)</f>
        <v>6455</v>
      </c>
      <c r="J37" s="35"/>
      <c r="K37" s="29">
        <f>M37*G37</f>
        <v>12.091559999999999</v>
      </c>
      <c r="L37" s="33">
        <f>L39</f>
        <v>1.886334888358333E-3</v>
      </c>
      <c r="M37" s="30">
        <f>ROUND(L37*SUM(H37:H37),5)</f>
        <v>2.5999999999999998E-4</v>
      </c>
      <c r="N37" s="34">
        <v>3.3E-4</v>
      </c>
      <c r="O37" s="30">
        <f>M37-N37</f>
        <v>-7.0000000000000021E-5</v>
      </c>
      <c r="P37" s="1"/>
      <c r="Q37" s="122"/>
      <c r="R37" s="124">
        <f>H37</f>
        <v>0.13879</v>
      </c>
      <c r="S37" s="34"/>
      <c r="T37" s="34">
        <f>R37+O37</f>
        <v>0.13872000000000001</v>
      </c>
      <c r="U37" s="122"/>
      <c r="V37" s="34">
        <v>4.19963</v>
      </c>
      <c r="W37" s="122"/>
      <c r="X37" s="121">
        <f>V37+O37</f>
        <v>4.19956</v>
      </c>
    </row>
    <row r="38" spans="1:24">
      <c r="A38" s="11">
        <f>A37+1</f>
        <v>16</v>
      </c>
      <c r="B38" s="36"/>
      <c r="C38" s="27" t="s">
        <v>47</v>
      </c>
      <c r="D38" s="27" t="s">
        <v>45</v>
      </c>
      <c r="E38" s="56">
        <v>20000</v>
      </c>
      <c r="F38" s="57"/>
      <c r="G38" s="29">
        <v>0</v>
      </c>
      <c r="H38" s="30">
        <v>8.1689999999999999E-2</v>
      </c>
      <c r="I38" s="29">
        <f>ROUND(G38*SUM(H38:H38),0)</f>
        <v>0</v>
      </c>
      <c r="J38" s="35"/>
      <c r="K38" s="29">
        <f>M38*G38</f>
        <v>0</v>
      </c>
      <c r="L38" s="33">
        <f>L39</f>
        <v>1.886334888358333E-3</v>
      </c>
      <c r="M38" s="30">
        <f>ROUND(L38*SUM(H38:H38),5)</f>
        <v>1.4999999999999999E-4</v>
      </c>
      <c r="N38" s="34">
        <v>1.9000000000000001E-4</v>
      </c>
      <c r="O38" s="30">
        <f>M38-N38</f>
        <v>-4.0000000000000024E-5</v>
      </c>
      <c r="P38" s="1"/>
      <c r="Q38" s="122"/>
      <c r="R38" s="124">
        <f>H38</f>
        <v>8.1689999999999999E-2</v>
      </c>
      <c r="S38" s="34"/>
      <c r="T38" s="34">
        <f>R38+O38</f>
        <v>8.165E-2</v>
      </c>
      <c r="U38" s="122"/>
      <c r="V38" s="34">
        <v>4.1431399999999998</v>
      </c>
      <c r="W38" s="122"/>
      <c r="X38" s="121">
        <f>V38+O38</f>
        <v>4.1430999999999996</v>
      </c>
    </row>
    <row r="39" spans="1:24">
      <c r="A39" s="11">
        <f>A38+1</f>
        <v>17</v>
      </c>
      <c r="B39" s="39" t="s">
        <v>42</v>
      </c>
      <c r="C39" s="12"/>
      <c r="D39" s="27"/>
      <c r="E39" s="37"/>
      <c r="F39" s="37"/>
      <c r="G39" s="52">
        <f>SUM(G36:G38)</f>
        <v>151174</v>
      </c>
      <c r="H39" s="53"/>
      <c r="I39" s="52">
        <f>SUM(I36:I38)</f>
        <v>102657</v>
      </c>
      <c r="J39" s="35"/>
      <c r="K39" s="52">
        <f>'Exhibit 1.01 COS'!M12</f>
        <v>193.64548063420139</v>
      </c>
      <c r="L39" s="50">
        <f>K39/I39</f>
        <v>1.886334888358333E-3</v>
      </c>
      <c r="M39" s="52"/>
      <c r="N39" s="52"/>
      <c r="O39" s="52"/>
      <c r="P39" s="1"/>
      <c r="Q39" s="122"/>
      <c r="R39" s="34"/>
      <c r="S39" s="34"/>
      <c r="T39" s="34"/>
      <c r="U39" s="122"/>
      <c r="V39" s="34"/>
      <c r="W39" s="122"/>
    </row>
    <row r="40" spans="1:24">
      <c r="A40" s="11"/>
      <c r="B40" s="39"/>
      <c r="C40" s="12"/>
      <c r="D40" s="27"/>
      <c r="E40" s="37"/>
      <c r="F40" s="37"/>
      <c r="G40" s="54"/>
      <c r="H40" s="55"/>
      <c r="I40" s="54"/>
      <c r="J40" s="35"/>
      <c r="K40" s="54"/>
      <c r="L40" s="51"/>
      <c r="M40" s="54"/>
      <c r="N40" s="54"/>
      <c r="O40" s="54"/>
      <c r="P40" s="1"/>
      <c r="Q40" s="122"/>
      <c r="R40" s="34"/>
      <c r="S40" s="34"/>
      <c r="T40" s="34"/>
      <c r="U40" s="122"/>
      <c r="V40" s="34"/>
      <c r="W40" s="122"/>
    </row>
    <row r="41" spans="1:24" ht="13.5" thickBot="1">
      <c r="A41" s="11"/>
      <c r="B41" s="58"/>
      <c r="C41" s="59"/>
      <c r="D41" s="59"/>
      <c r="E41" s="60"/>
      <c r="F41" s="41"/>
      <c r="G41" s="61"/>
      <c r="H41" s="62"/>
      <c r="I41" s="47"/>
      <c r="J41" s="35"/>
      <c r="K41" s="61"/>
      <c r="L41" s="62"/>
      <c r="M41" s="47"/>
      <c r="N41" s="47"/>
      <c r="O41" s="47"/>
      <c r="P41" s="1"/>
      <c r="Q41" s="122"/>
      <c r="R41" s="34"/>
      <c r="S41" s="34"/>
      <c r="T41" s="34"/>
      <c r="U41" s="122"/>
      <c r="V41" s="34"/>
      <c r="W41" s="122"/>
    </row>
    <row r="42" spans="1:24">
      <c r="A42" s="11"/>
      <c r="B42" s="63"/>
      <c r="C42" s="40"/>
      <c r="D42" s="40"/>
      <c r="E42" s="41"/>
      <c r="F42" s="41"/>
      <c r="G42" s="64"/>
      <c r="H42" s="65"/>
      <c r="I42" s="48"/>
      <c r="J42" s="35"/>
      <c r="K42" s="19"/>
      <c r="L42" s="20"/>
      <c r="M42" s="19"/>
      <c r="N42" s="19"/>
      <c r="O42" s="19"/>
      <c r="P42" s="1"/>
      <c r="Q42" s="122"/>
      <c r="R42" s="34"/>
      <c r="S42" s="34"/>
      <c r="T42" s="34"/>
      <c r="U42" s="122"/>
      <c r="V42" s="34"/>
      <c r="W42" s="122"/>
    </row>
    <row r="43" spans="1:24">
      <c r="A43" s="11"/>
      <c r="B43" s="16" t="s">
        <v>99</v>
      </c>
      <c r="C43" s="17"/>
      <c r="D43" s="17"/>
      <c r="E43" s="20"/>
      <c r="F43" s="20"/>
      <c r="G43" s="167" t="s">
        <v>98</v>
      </c>
      <c r="H43" s="167"/>
      <c r="I43" s="167"/>
      <c r="J43" s="17"/>
      <c r="K43" s="19" t="s">
        <v>103</v>
      </c>
      <c r="L43" s="20" t="s">
        <v>29</v>
      </c>
      <c r="M43" s="19" t="s">
        <v>103</v>
      </c>
      <c r="N43" s="19"/>
      <c r="O43" s="19"/>
      <c r="P43" s="1"/>
      <c r="Q43" s="122"/>
      <c r="R43" s="34"/>
      <c r="S43" s="34"/>
      <c r="T43" s="34"/>
      <c r="U43" s="122"/>
      <c r="V43" s="34"/>
      <c r="W43" s="122"/>
    </row>
    <row r="44" spans="1:24" ht="13.5" thickBot="1">
      <c r="A44" s="11"/>
      <c r="B44" s="21" t="s">
        <v>31</v>
      </c>
      <c r="C44" s="22"/>
      <c r="D44" s="22"/>
      <c r="E44" s="23" t="s">
        <v>32</v>
      </c>
      <c r="F44" s="24"/>
      <c r="G44" s="25" t="s">
        <v>32</v>
      </c>
      <c r="H44" s="25" t="s">
        <v>97</v>
      </c>
      <c r="I44" s="26" t="s">
        <v>33</v>
      </c>
      <c r="J44" s="17"/>
      <c r="K44" s="25" t="s">
        <v>1</v>
      </c>
      <c r="L44" s="25" t="s">
        <v>34</v>
      </c>
      <c r="M44" s="25" t="s">
        <v>104</v>
      </c>
      <c r="N44" s="25" t="s">
        <v>27</v>
      </c>
      <c r="O44" s="25"/>
      <c r="P44" s="1"/>
      <c r="Q44" s="122"/>
      <c r="R44" s="34"/>
      <c r="S44" s="34"/>
      <c r="T44" s="34"/>
      <c r="U44" s="122"/>
      <c r="V44" s="34"/>
      <c r="W44" s="122"/>
    </row>
    <row r="45" spans="1:24">
      <c r="A45" s="11">
        <f>A39+1</f>
        <v>18</v>
      </c>
      <c r="B45" s="27"/>
      <c r="C45" s="27" t="s">
        <v>37</v>
      </c>
      <c r="D45" s="27" t="s">
        <v>38</v>
      </c>
      <c r="E45" s="37">
        <v>10000</v>
      </c>
      <c r="F45" s="37"/>
      <c r="G45" s="29">
        <v>670544</v>
      </c>
      <c r="H45" s="30">
        <v>0.49621999999999999</v>
      </c>
      <c r="I45" s="29">
        <f>ROUND(G45*SUM(H45:H45),0)</f>
        <v>332737</v>
      </c>
      <c r="J45" s="35"/>
      <c r="K45" s="29">
        <f>M45*G45</f>
        <v>368.79920000000004</v>
      </c>
      <c r="L45" s="33">
        <f>L50</f>
        <v>1.1017575353840733E-3</v>
      </c>
      <c r="M45" s="30">
        <f>ROUND(L45*SUM(H45:H45),5)</f>
        <v>5.5000000000000003E-4</v>
      </c>
      <c r="N45" s="34">
        <v>4.0000000000000002E-4</v>
      </c>
      <c r="O45" s="30">
        <f>M45-N45</f>
        <v>1.5000000000000001E-4</v>
      </c>
      <c r="P45" s="1"/>
      <c r="Q45" s="122"/>
      <c r="R45" s="124">
        <v>0.44217000000000001</v>
      </c>
      <c r="S45" s="34"/>
      <c r="T45" s="34">
        <f>R45+O45</f>
        <v>0.44231999999999999</v>
      </c>
      <c r="U45" s="122"/>
      <c r="V45" s="34"/>
      <c r="W45" s="122"/>
      <c r="X45" s="121"/>
    </row>
    <row r="46" spans="1:24">
      <c r="A46" s="11">
        <f>A45+1</f>
        <v>19</v>
      </c>
      <c r="B46" s="36"/>
      <c r="C46" s="27" t="s">
        <v>39</v>
      </c>
      <c r="D46" s="27" t="s">
        <v>40</v>
      </c>
      <c r="E46" s="37">
        <v>112500</v>
      </c>
      <c r="F46" s="37"/>
      <c r="G46" s="29">
        <v>1867587</v>
      </c>
      <c r="H46" s="30">
        <v>0.46505000000000002</v>
      </c>
      <c r="I46" s="29">
        <f>ROUND(G46*SUM(H46:H46),0)</f>
        <v>868521</v>
      </c>
      <c r="J46" s="35"/>
      <c r="K46" s="29">
        <f>M46*G46</f>
        <v>952.46937000000003</v>
      </c>
      <c r="L46" s="33">
        <f>L50</f>
        <v>1.1017575353840733E-3</v>
      </c>
      <c r="M46" s="30">
        <f>ROUND(L46*SUM(H46:H46),5)</f>
        <v>5.1000000000000004E-4</v>
      </c>
      <c r="N46" s="34">
        <v>3.8000000000000002E-4</v>
      </c>
      <c r="O46" s="30">
        <f>M46-N46</f>
        <v>1.3000000000000002E-4</v>
      </c>
      <c r="P46" s="1"/>
      <c r="Q46" s="122"/>
      <c r="R46" s="124">
        <v>0.41441</v>
      </c>
      <c r="S46" s="34"/>
      <c r="T46" s="34">
        <f>R46+O46</f>
        <v>0.41454000000000002</v>
      </c>
      <c r="U46" s="122"/>
      <c r="V46" s="34"/>
      <c r="W46" s="122"/>
      <c r="X46" s="121"/>
    </row>
    <row r="47" spans="1:24">
      <c r="A47" s="11">
        <f>A46+1</f>
        <v>20</v>
      </c>
      <c r="B47" s="36"/>
      <c r="C47" s="27" t="s">
        <v>47</v>
      </c>
      <c r="D47" s="27" t="s">
        <v>40</v>
      </c>
      <c r="E47" s="37">
        <v>477500</v>
      </c>
      <c r="F47" s="37"/>
      <c r="G47" s="29">
        <v>1051072</v>
      </c>
      <c r="H47" s="30">
        <v>0.32645000000000002</v>
      </c>
      <c r="I47" s="29">
        <f>ROUND(G47*SUM(H47:H47),0)</f>
        <v>343122</v>
      </c>
      <c r="J47" s="35"/>
      <c r="K47" s="29">
        <f>M47*G47</f>
        <v>378.38592</v>
      </c>
      <c r="L47" s="33">
        <f>L50</f>
        <v>1.1017575353840733E-3</v>
      </c>
      <c r="M47" s="30">
        <f>ROUND(L47*SUM(H47:H47),5)</f>
        <v>3.6000000000000002E-4</v>
      </c>
      <c r="N47" s="34">
        <v>2.5999999999999998E-4</v>
      </c>
      <c r="O47" s="30">
        <f>M47-N47</f>
        <v>1.0000000000000005E-4</v>
      </c>
      <c r="P47" s="1"/>
      <c r="Q47" s="122"/>
      <c r="R47" s="124">
        <v>0.29096</v>
      </c>
      <c r="S47" s="34"/>
      <c r="T47" s="34">
        <f>R47+O47</f>
        <v>0.29105999999999999</v>
      </c>
      <c r="U47" s="122"/>
      <c r="V47" s="34"/>
      <c r="W47" s="122"/>
      <c r="X47" s="121"/>
    </row>
    <row r="48" spans="1:24">
      <c r="A48" s="11">
        <f>A47+1</f>
        <v>21</v>
      </c>
      <c r="B48" s="36"/>
      <c r="C48" s="27" t="s">
        <v>50</v>
      </c>
      <c r="D48" s="27" t="s">
        <v>45</v>
      </c>
      <c r="E48" s="37">
        <v>600000</v>
      </c>
      <c r="F48" s="37"/>
      <c r="G48" s="29">
        <v>0</v>
      </c>
      <c r="H48" s="30">
        <v>7.0169999999999996E-2</v>
      </c>
      <c r="I48" s="29">
        <f>ROUND(G48*SUM(H48:H48),0)</f>
        <v>0</v>
      </c>
      <c r="J48" s="35"/>
      <c r="K48" s="29">
        <f>M48*G48</f>
        <v>0</v>
      </c>
      <c r="L48" s="33">
        <f>L50</f>
        <v>1.1017575353840733E-3</v>
      </c>
      <c r="M48" s="30">
        <f>ROUND(L48*SUM(H48:H48),5)</f>
        <v>8.0000000000000007E-5</v>
      </c>
      <c r="N48" s="34">
        <v>6.0000000000000002E-5</v>
      </c>
      <c r="O48" s="30">
        <f>M48-N48</f>
        <v>2.0000000000000005E-5</v>
      </c>
      <c r="Q48" s="122"/>
      <c r="R48" s="124">
        <v>6.2710000000000002E-2</v>
      </c>
      <c r="S48" s="34"/>
      <c r="T48" s="34">
        <f>R48+O48</f>
        <v>6.2730000000000008E-2</v>
      </c>
      <c r="U48" s="122"/>
      <c r="V48" s="34"/>
      <c r="W48" s="122"/>
    </row>
    <row r="49" spans="1:24">
      <c r="A49" s="11">
        <f>A48+1</f>
        <v>22</v>
      </c>
      <c r="B49" s="69" t="s">
        <v>51</v>
      </c>
      <c r="C49" s="27"/>
      <c r="D49" s="27"/>
      <c r="E49" s="37"/>
      <c r="F49" s="37"/>
      <c r="G49" s="29">
        <v>45000</v>
      </c>
      <c r="H49" s="30">
        <v>21.704999999999998</v>
      </c>
      <c r="I49" s="70">
        <f>ROUND(G49*SUM(H49:H49),0)</f>
        <v>976725</v>
      </c>
      <c r="J49" s="35"/>
      <c r="K49" s="29">
        <f>M49*G49</f>
        <v>1075.95</v>
      </c>
      <c r="L49" s="33">
        <f>L50</f>
        <v>1.1017575353840733E-3</v>
      </c>
      <c r="M49" s="30">
        <f>ROUND(L49*SUM(H49:H49),5)</f>
        <v>2.3910000000000001E-2</v>
      </c>
      <c r="N49" s="34">
        <v>1.7690000000000001E-2</v>
      </c>
      <c r="O49" s="30">
        <f>M49-N49</f>
        <v>6.2199999999999998E-3</v>
      </c>
      <c r="Q49" s="122"/>
      <c r="R49" s="124">
        <v>20.55</v>
      </c>
      <c r="S49" s="34"/>
      <c r="T49" s="34">
        <f>R49+O49</f>
        <v>20.55622</v>
      </c>
      <c r="U49" s="122"/>
      <c r="V49" s="34"/>
      <c r="W49" s="122"/>
    </row>
    <row r="50" spans="1:24">
      <c r="A50" s="11">
        <f>A49+1</f>
        <v>23</v>
      </c>
      <c r="B50" s="69" t="s">
        <v>52</v>
      </c>
      <c r="C50" s="12"/>
      <c r="D50" s="27"/>
      <c r="E50" s="37"/>
      <c r="F50" s="37"/>
      <c r="G50" s="52">
        <f>SUM(G45:G49)</f>
        <v>3634203</v>
      </c>
      <c r="H50" s="53"/>
      <c r="I50" s="52">
        <f>SUM(I45:I49)</f>
        <v>2521105</v>
      </c>
      <c r="J50" s="35"/>
      <c r="K50" s="52">
        <f>'Exhibit 1.01 COS'!M15</f>
        <v>2777.6464312444641</v>
      </c>
      <c r="L50" s="50">
        <f>K50/I50</f>
        <v>1.1017575353840733E-3</v>
      </c>
      <c r="M50" s="139">
        <f>M49/12</f>
        <v>1.9924999999999999E-3</v>
      </c>
      <c r="N50" s="52"/>
      <c r="O50" s="52"/>
      <c r="Q50" s="122"/>
      <c r="R50" s="34">
        <f>R49/12</f>
        <v>1.7125000000000001</v>
      </c>
      <c r="S50" s="34"/>
      <c r="T50" s="34">
        <f>T49/12</f>
        <v>1.7130183333333333</v>
      </c>
      <c r="U50" s="122"/>
      <c r="V50" s="34"/>
      <c r="W50" s="122"/>
    </row>
    <row r="51" spans="1:24">
      <c r="A51" s="11"/>
      <c r="B51" s="39"/>
      <c r="C51" s="12"/>
      <c r="D51" s="27"/>
      <c r="E51" s="37"/>
      <c r="F51" s="37"/>
      <c r="G51" s="54"/>
      <c r="H51" s="55"/>
      <c r="I51" s="54"/>
      <c r="J51" s="35"/>
      <c r="K51" s="54"/>
      <c r="L51" s="138"/>
      <c r="M51" s="54"/>
      <c r="N51" s="54"/>
      <c r="O51" s="54"/>
      <c r="Q51" s="122"/>
      <c r="R51" s="34"/>
      <c r="S51" s="34"/>
      <c r="T51" s="34"/>
      <c r="U51" s="122"/>
      <c r="V51" s="34"/>
      <c r="W51" s="122"/>
    </row>
    <row r="52" spans="1:24" ht="13.5" thickBot="1">
      <c r="A52" s="11"/>
      <c r="B52" s="58"/>
      <c r="C52" s="59"/>
      <c r="D52" s="59"/>
      <c r="E52" s="60"/>
      <c r="F52" s="66"/>
      <c r="G52" s="61"/>
      <c r="H52" s="62"/>
      <c r="I52" s="47"/>
      <c r="J52" s="35"/>
      <c r="K52" s="61"/>
      <c r="L52" s="62"/>
      <c r="M52" s="47"/>
      <c r="N52" s="47"/>
      <c r="O52" s="47"/>
      <c r="Q52" s="122"/>
      <c r="R52" s="34"/>
      <c r="S52" s="34"/>
      <c r="T52" s="34"/>
      <c r="U52" s="122"/>
      <c r="V52" s="34"/>
      <c r="W52" s="122"/>
    </row>
    <row r="53" spans="1:24">
      <c r="A53" s="11"/>
      <c r="B53" s="63"/>
      <c r="C53" s="40"/>
      <c r="D53" s="40"/>
      <c r="E53" s="41"/>
      <c r="F53" s="66"/>
      <c r="G53" s="64"/>
      <c r="H53" s="65"/>
      <c r="I53" s="48"/>
      <c r="J53" s="35"/>
      <c r="K53" s="19"/>
      <c r="L53" s="20"/>
      <c r="M53" s="19"/>
      <c r="N53" s="19"/>
      <c r="O53" s="19"/>
      <c r="Q53" s="122"/>
      <c r="R53" s="34"/>
      <c r="S53" s="34"/>
      <c r="T53" s="34"/>
      <c r="U53" s="122"/>
      <c r="V53" s="34"/>
      <c r="W53" s="122"/>
    </row>
    <row r="54" spans="1:24">
      <c r="A54" s="11"/>
      <c r="B54" s="16" t="s">
        <v>100</v>
      </c>
      <c r="C54" s="17"/>
      <c r="D54" s="17"/>
      <c r="E54" s="20"/>
      <c r="F54" s="66"/>
      <c r="G54" s="167" t="s">
        <v>98</v>
      </c>
      <c r="H54" s="167"/>
      <c r="I54" s="167"/>
      <c r="J54" s="35"/>
      <c r="K54" s="19" t="s">
        <v>103</v>
      </c>
      <c r="L54" s="20" t="s">
        <v>29</v>
      </c>
      <c r="M54" s="19" t="s">
        <v>103</v>
      </c>
      <c r="N54" s="19"/>
      <c r="O54" s="19"/>
      <c r="Q54" s="122"/>
      <c r="R54" s="34"/>
      <c r="S54" s="34"/>
      <c r="T54" s="34"/>
      <c r="U54" s="122"/>
      <c r="V54" s="34"/>
      <c r="W54" s="122"/>
    </row>
    <row r="55" spans="1:24" ht="13.5" thickBot="1">
      <c r="A55" s="11"/>
      <c r="B55" s="21" t="s">
        <v>31</v>
      </c>
      <c r="C55" s="22"/>
      <c r="D55" s="22"/>
      <c r="E55" s="23" t="s">
        <v>32</v>
      </c>
      <c r="F55" s="66"/>
      <c r="G55" s="25" t="s">
        <v>32</v>
      </c>
      <c r="H55" s="25" t="s">
        <v>97</v>
      </c>
      <c r="I55" s="26" t="s">
        <v>33</v>
      </c>
      <c r="J55" s="35"/>
      <c r="K55" s="25" t="s">
        <v>1</v>
      </c>
      <c r="L55" s="25" t="s">
        <v>34</v>
      </c>
      <c r="M55" s="25" t="s">
        <v>104</v>
      </c>
      <c r="N55" s="25" t="s">
        <v>27</v>
      </c>
      <c r="O55" s="25"/>
      <c r="Q55" s="122"/>
      <c r="R55" s="34"/>
      <c r="S55" s="34"/>
      <c r="T55" s="34"/>
      <c r="U55" s="122"/>
      <c r="V55" s="34"/>
      <c r="W55" s="122"/>
    </row>
    <row r="56" spans="1:24">
      <c r="A56" s="11">
        <f>A50+1</f>
        <v>24</v>
      </c>
      <c r="B56" s="27"/>
      <c r="C56" s="27" t="s">
        <v>37</v>
      </c>
      <c r="D56" s="27" t="s">
        <v>38</v>
      </c>
      <c r="E56" s="37">
        <v>200</v>
      </c>
      <c r="F56" s="66"/>
      <c r="G56" s="29">
        <v>2570977</v>
      </c>
      <c r="H56" s="30">
        <v>1.09127</v>
      </c>
      <c r="I56" s="29">
        <f>ROUND(G56*SUM(H56:H56),0)</f>
        <v>2805630</v>
      </c>
      <c r="J56" s="35"/>
      <c r="K56" s="29">
        <f>M56*G56</f>
        <v>4576.3390599999993</v>
      </c>
      <c r="L56" s="67">
        <f>L61</f>
        <v>1.6356249956568109E-3</v>
      </c>
      <c r="M56" s="30">
        <f>ROUND(L56*SUM(H56:H56),5)</f>
        <v>1.7799999999999999E-3</v>
      </c>
      <c r="N56" s="34">
        <v>1.42E-3</v>
      </c>
      <c r="O56" s="30">
        <f>M56-N56</f>
        <v>3.5999999999999986E-4</v>
      </c>
      <c r="P56" s="121"/>
      <c r="Q56" s="122"/>
      <c r="R56" s="124">
        <v>1.0016099999999999</v>
      </c>
      <c r="S56" s="34"/>
      <c r="T56" s="34">
        <f>R56+O56</f>
        <v>1.0019699999999998</v>
      </c>
      <c r="U56" s="122"/>
      <c r="V56" s="34"/>
      <c r="W56" s="122"/>
      <c r="X56" s="121"/>
    </row>
    <row r="57" spans="1:24">
      <c r="A57" s="11">
        <f>A56+1</f>
        <v>25</v>
      </c>
      <c r="B57" s="36"/>
      <c r="C57" s="27" t="s">
        <v>39</v>
      </c>
      <c r="D57" s="27" t="s">
        <v>40</v>
      </c>
      <c r="E57" s="37">
        <v>1800</v>
      </c>
      <c r="F57" s="66"/>
      <c r="G57" s="29">
        <v>10498981</v>
      </c>
      <c r="H57" s="30">
        <v>0.71336999999999995</v>
      </c>
      <c r="I57" s="29">
        <f>ROUND(G57*SUM(H57:H57),0)</f>
        <v>7489658</v>
      </c>
      <c r="J57" s="35"/>
      <c r="K57" s="29">
        <f>M57*G57</f>
        <v>12283.807770000001</v>
      </c>
      <c r="L57" s="67">
        <f>L61</f>
        <v>1.6356249956568109E-3</v>
      </c>
      <c r="M57" s="30">
        <f>ROUND(L57*SUM(H57:H57),5)</f>
        <v>1.17E-3</v>
      </c>
      <c r="N57" s="34">
        <v>9.3000000000000005E-4</v>
      </c>
      <c r="O57" s="30">
        <f>M57-N57</f>
        <v>2.3999999999999998E-4</v>
      </c>
      <c r="P57" s="121"/>
      <c r="Q57" s="122"/>
      <c r="R57" s="124">
        <v>0.65508</v>
      </c>
      <c r="S57" s="34"/>
      <c r="T57" s="34">
        <f>R57+O57</f>
        <v>0.65532000000000001</v>
      </c>
      <c r="U57" s="122"/>
      <c r="V57" s="34"/>
      <c r="W57" s="122"/>
      <c r="X57" s="121"/>
    </row>
    <row r="58" spans="1:24">
      <c r="A58" s="11">
        <f>A57+1</f>
        <v>26</v>
      </c>
      <c r="B58" s="36"/>
      <c r="C58" s="27" t="s">
        <v>47</v>
      </c>
      <c r="D58" s="27" t="s">
        <v>40</v>
      </c>
      <c r="E58" s="37">
        <v>98000</v>
      </c>
      <c r="F58" s="66"/>
      <c r="G58" s="29">
        <v>30780212</v>
      </c>
      <c r="H58" s="30">
        <v>0.29172999999999999</v>
      </c>
      <c r="I58" s="29">
        <f>ROUND(G58*SUM(H58:H58),0)</f>
        <v>8979511</v>
      </c>
      <c r="J58" s="35"/>
      <c r="K58" s="29">
        <f>M58*G58</f>
        <v>14774.501760000001</v>
      </c>
      <c r="L58" s="67">
        <f>L61</f>
        <v>1.6356249956568109E-3</v>
      </c>
      <c r="M58" s="30">
        <f>ROUND(L58*SUM(H58:H58),5)</f>
        <v>4.8000000000000001E-4</v>
      </c>
      <c r="N58" s="34">
        <v>3.8000000000000002E-4</v>
      </c>
      <c r="O58" s="30">
        <f>M58-N58</f>
        <v>9.9999999999999991E-5</v>
      </c>
      <c r="P58" s="121"/>
      <c r="Q58" s="122"/>
      <c r="R58" s="124">
        <v>0.26845000000000002</v>
      </c>
      <c r="S58" s="34"/>
      <c r="T58" s="34">
        <f>R58+O58</f>
        <v>0.26855000000000001</v>
      </c>
      <c r="U58" s="122"/>
      <c r="V58" s="34"/>
      <c r="W58" s="122"/>
      <c r="X58" s="121"/>
    </row>
    <row r="59" spans="1:24">
      <c r="A59" s="11">
        <f>A58+1</f>
        <v>27</v>
      </c>
      <c r="B59" s="36"/>
      <c r="C59" s="27" t="s">
        <v>50</v>
      </c>
      <c r="D59" s="27" t="s">
        <v>45</v>
      </c>
      <c r="E59" s="37">
        <v>100000</v>
      </c>
      <c r="F59" s="66"/>
      <c r="G59" s="29">
        <v>10870466</v>
      </c>
      <c r="H59" s="30">
        <v>0.10797</v>
      </c>
      <c r="I59" s="54">
        <f>ROUND(G59*SUM(H59:H59),0)</f>
        <v>1173684</v>
      </c>
      <c r="J59" s="35"/>
      <c r="K59" s="54">
        <f>M59*G59</f>
        <v>1956.68388</v>
      </c>
      <c r="L59" s="67">
        <f>L61</f>
        <v>1.6356249956568109E-3</v>
      </c>
      <c r="M59" s="68">
        <f>ROUND(L59*SUM(H59:H59),5)</f>
        <v>1.8000000000000001E-4</v>
      </c>
      <c r="N59" s="34">
        <v>1.3999999999999999E-4</v>
      </c>
      <c r="O59" s="68">
        <f>M59-N59</f>
        <v>4.0000000000000024E-5</v>
      </c>
      <c r="P59" s="121"/>
      <c r="Q59" s="122"/>
      <c r="R59" s="124">
        <v>9.9940000000000001E-2</v>
      </c>
      <c r="S59" s="34"/>
      <c r="T59" s="34">
        <f>R59+O59</f>
        <v>9.9979999999999999E-2</v>
      </c>
      <c r="U59" s="122"/>
      <c r="V59" s="34"/>
      <c r="W59" s="122"/>
      <c r="X59" s="121"/>
    </row>
    <row r="60" spans="1:24">
      <c r="A60" s="11">
        <f>A59+1</f>
        <v>28</v>
      </c>
      <c r="B60" s="69" t="s">
        <v>51</v>
      </c>
      <c r="C60" s="38"/>
      <c r="D60" s="63"/>
      <c r="E60" s="66"/>
      <c r="F60" s="66"/>
      <c r="G60" s="70">
        <v>205549</v>
      </c>
      <c r="H60" s="30">
        <f>3.51333*12</f>
        <v>42.159959999999998</v>
      </c>
      <c r="I60" s="70">
        <f>ROUND(G60*SUM(H60:H60),0)</f>
        <v>8665938</v>
      </c>
      <c r="J60" s="35"/>
      <c r="K60" s="70">
        <f>M60*G60</f>
        <v>14174.659039999999</v>
      </c>
      <c r="L60" s="71">
        <f>L61</f>
        <v>1.6356249956568109E-3</v>
      </c>
      <c r="M60" s="72">
        <f>ROUND(L60*SUM(H60:H60),5)</f>
        <v>6.8959999999999994E-2</v>
      </c>
      <c r="N60" s="163">
        <v>5.1560000000000002E-2</v>
      </c>
      <c r="O60" s="72">
        <f>M60-N60</f>
        <v>1.7399999999999992E-2</v>
      </c>
      <c r="Q60" s="122"/>
      <c r="R60" s="124">
        <v>37.479999999999997</v>
      </c>
      <c r="S60" s="34"/>
      <c r="T60" s="34">
        <f>R60+O60</f>
        <v>37.497399999999999</v>
      </c>
      <c r="U60" s="122"/>
      <c r="V60" s="34"/>
      <c r="W60" s="122"/>
      <c r="X60" s="121"/>
    </row>
    <row r="61" spans="1:24">
      <c r="A61" s="11">
        <f>A60+1</f>
        <v>29</v>
      </c>
      <c r="B61" s="69" t="s">
        <v>52</v>
      </c>
      <c r="C61" s="38"/>
      <c r="D61" s="63"/>
      <c r="E61" s="66"/>
      <c r="F61" s="66"/>
      <c r="G61" s="54">
        <f>SUM(G56:G60)</f>
        <v>54926185</v>
      </c>
      <c r="H61" s="139"/>
      <c r="I61" s="54">
        <f>SUM(I56:I60)</f>
        <v>29114421</v>
      </c>
      <c r="J61" s="35"/>
      <c r="K61" s="54">
        <f>'Exhibit 1.01 COS'!M13</f>
        <v>47620.274721675567</v>
      </c>
      <c r="L61" s="51">
        <f>K61/I61</f>
        <v>1.6356249956568109E-3</v>
      </c>
      <c r="M61" s="73"/>
      <c r="N61" s="73"/>
      <c r="O61" s="73"/>
      <c r="Q61" s="122"/>
      <c r="R61" s="34">
        <f>R60/12</f>
        <v>3.1233333333333331</v>
      </c>
      <c r="S61" s="34"/>
      <c r="T61" s="34">
        <f>T60/12</f>
        <v>3.1247833333333332</v>
      </c>
      <c r="U61" s="122"/>
      <c r="V61" s="34"/>
      <c r="W61" s="122"/>
    </row>
    <row r="62" spans="1:24">
      <c r="A62" s="11"/>
      <c r="B62" s="69"/>
      <c r="C62" s="38"/>
      <c r="D62" s="63"/>
      <c r="E62" s="66"/>
      <c r="F62" s="66"/>
      <c r="G62" s="54"/>
      <c r="H62" s="68"/>
      <c r="I62" s="54"/>
      <c r="J62" s="35"/>
      <c r="K62" s="54"/>
      <c r="L62" s="51"/>
      <c r="M62" s="73"/>
      <c r="N62" s="73"/>
      <c r="O62" s="73"/>
      <c r="Q62" s="122"/>
      <c r="R62" s="34"/>
      <c r="S62" s="34"/>
      <c r="T62" s="34"/>
      <c r="U62" s="122"/>
      <c r="V62" s="34"/>
      <c r="W62" s="122"/>
    </row>
    <row r="63" spans="1:24" ht="13.5" thickBot="1">
      <c r="A63" s="11"/>
      <c r="B63" s="58"/>
      <c r="C63" s="74"/>
      <c r="D63" s="58"/>
      <c r="E63" s="75"/>
      <c r="F63" s="66"/>
      <c r="G63" s="76"/>
      <c r="H63" s="77"/>
      <c r="I63" s="47"/>
      <c r="J63" s="17"/>
      <c r="K63" s="47"/>
      <c r="L63" s="77"/>
      <c r="M63" s="47"/>
      <c r="N63" s="47"/>
      <c r="O63" s="47"/>
      <c r="Q63" s="122"/>
      <c r="R63" s="34"/>
      <c r="S63" s="34"/>
      <c r="T63" s="34"/>
      <c r="U63" s="122"/>
      <c r="V63" s="34"/>
      <c r="W63" s="122"/>
    </row>
    <row r="64" spans="1:24">
      <c r="A64" s="11"/>
      <c r="B64" s="63"/>
      <c r="C64" s="38"/>
      <c r="D64" s="63"/>
      <c r="E64" s="66"/>
      <c r="F64" s="66"/>
      <c r="G64" s="54"/>
      <c r="H64" s="73"/>
      <c r="I64" s="48"/>
      <c r="J64" s="17"/>
      <c r="K64" s="19"/>
      <c r="L64" s="20"/>
      <c r="M64" s="19"/>
      <c r="N64" s="19"/>
      <c r="O64" s="19"/>
      <c r="Q64" s="122"/>
      <c r="R64" s="34"/>
      <c r="S64" s="34"/>
      <c r="T64" s="34"/>
      <c r="U64" s="122"/>
      <c r="V64" s="34"/>
      <c r="W64" s="122"/>
    </row>
    <row r="65" spans="1:24">
      <c r="A65" s="11"/>
      <c r="B65" s="16" t="s">
        <v>53</v>
      </c>
      <c r="C65" s="17"/>
      <c r="D65" s="17"/>
      <c r="E65" s="20"/>
      <c r="F65" s="20"/>
      <c r="G65" s="167" t="s">
        <v>98</v>
      </c>
      <c r="H65" s="167"/>
      <c r="I65" s="167"/>
      <c r="J65" s="17"/>
      <c r="K65" s="19" t="s">
        <v>103</v>
      </c>
      <c r="L65" s="20" t="s">
        <v>29</v>
      </c>
      <c r="M65" s="19" t="s">
        <v>103</v>
      </c>
      <c r="N65" s="19"/>
      <c r="O65" s="19"/>
      <c r="Q65" s="122"/>
      <c r="R65" s="34"/>
      <c r="S65" s="34"/>
      <c r="T65" s="34"/>
      <c r="U65" s="122"/>
      <c r="V65" s="34"/>
      <c r="W65" s="122"/>
    </row>
    <row r="66" spans="1:24" ht="13.5" thickBot="1">
      <c r="A66" s="11"/>
      <c r="B66" s="21" t="s">
        <v>31</v>
      </c>
      <c r="C66" s="22"/>
      <c r="D66" s="22"/>
      <c r="E66" s="23" t="s">
        <v>32</v>
      </c>
      <c r="F66" s="24"/>
      <c r="G66" s="25" t="s">
        <v>32</v>
      </c>
      <c r="H66" s="25" t="s">
        <v>97</v>
      </c>
      <c r="I66" s="26" t="s">
        <v>33</v>
      </c>
      <c r="J66" s="17"/>
      <c r="K66" s="25" t="s">
        <v>1</v>
      </c>
      <c r="L66" s="25" t="s">
        <v>34</v>
      </c>
      <c r="M66" s="25" t="s">
        <v>104</v>
      </c>
      <c r="N66" s="25" t="s">
        <v>27</v>
      </c>
      <c r="O66" s="25"/>
      <c r="Q66" s="122"/>
      <c r="R66" s="34"/>
      <c r="S66" s="34"/>
      <c r="T66" s="34"/>
      <c r="U66" s="122"/>
      <c r="V66" s="34"/>
      <c r="W66" s="122"/>
    </row>
    <row r="67" spans="1:24">
      <c r="A67" s="11">
        <f>A61+1</f>
        <v>30</v>
      </c>
      <c r="B67" s="49" t="s">
        <v>44</v>
      </c>
      <c r="C67" s="27"/>
      <c r="D67" s="27" t="s">
        <v>45</v>
      </c>
      <c r="E67" s="37">
        <v>0</v>
      </c>
      <c r="F67" s="37"/>
      <c r="G67" s="29">
        <v>24321</v>
      </c>
      <c r="H67" s="30">
        <v>0.81601000000000001</v>
      </c>
      <c r="I67" s="128">
        <f>ROUND(G67*SUM(H67:H67),0)</f>
        <v>19846</v>
      </c>
      <c r="J67" s="35"/>
      <c r="K67" s="29">
        <f>'Exhibit 1.01 COS'!M14</f>
        <v>0</v>
      </c>
      <c r="L67" s="33">
        <f>K67/I67</f>
        <v>0</v>
      </c>
      <c r="M67" s="30">
        <f>ROUND(L67*SUM(H67:H67),5)</f>
        <v>0</v>
      </c>
      <c r="N67" s="34">
        <v>0</v>
      </c>
      <c r="O67" s="30">
        <f>M67-N67</f>
        <v>0</v>
      </c>
      <c r="Q67" s="122"/>
      <c r="R67" s="124">
        <v>0.82257000000000002</v>
      </c>
      <c r="S67" s="34"/>
      <c r="T67" s="34">
        <f>R67+O67</f>
        <v>0.82257000000000002</v>
      </c>
      <c r="U67" s="122"/>
      <c r="V67" s="34"/>
      <c r="W67" s="122"/>
      <c r="X67" s="121"/>
    </row>
    <row r="68" spans="1:24">
      <c r="A68" s="11">
        <f>A67+1</f>
        <v>31</v>
      </c>
      <c r="B68" s="39" t="s">
        <v>42</v>
      </c>
      <c r="C68" s="12"/>
      <c r="D68" s="27"/>
      <c r="E68" s="37"/>
      <c r="F68" s="37"/>
      <c r="G68" s="127">
        <f>SUM(G67)</f>
        <v>24321</v>
      </c>
      <c r="H68" s="140"/>
      <c r="I68" s="126">
        <f>SUM(I67)</f>
        <v>19846</v>
      </c>
      <c r="J68" s="35"/>
      <c r="K68" s="54"/>
      <c r="L68" s="55"/>
      <c r="M68" s="54"/>
      <c r="N68" s="54"/>
      <c r="O68" s="54"/>
    </row>
    <row r="69" spans="1:24">
      <c r="A69" s="11"/>
      <c r="B69" s="63"/>
      <c r="C69" s="40"/>
      <c r="D69" s="40"/>
      <c r="E69" s="41"/>
      <c r="F69" s="41"/>
      <c r="G69" s="42"/>
      <c r="H69" s="43"/>
      <c r="I69" s="44"/>
      <c r="J69" s="35"/>
      <c r="K69" s="42"/>
      <c r="L69" s="43"/>
      <c r="M69" s="44"/>
      <c r="N69" s="44"/>
      <c r="O69" s="44"/>
    </row>
    <row r="70" spans="1:24" ht="13.5" thickBot="1">
      <c r="A70" s="11">
        <f>A68+1</f>
        <v>32</v>
      </c>
      <c r="B70" s="12"/>
      <c r="C70" s="12"/>
      <c r="D70" s="12"/>
      <c r="E70" s="13"/>
      <c r="F70" s="13"/>
      <c r="G70" s="12"/>
      <c r="H70" s="12"/>
      <c r="I70" s="78" t="s">
        <v>0</v>
      </c>
      <c r="J70" s="14"/>
      <c r="K70" s="79">
        <f>SUM(K67,K61,K50,K39,K30,K17,K12)</f>
        <v>500000</v>
      </c>
      <c r="L70" s="12"/>
      <c r="M70" s="120"/>
      <c r="N70" s="12"/>
      <c r="O70" s="12"/>
    </row>
    <row r="71" spans="1:24" ht="13.5" thickTop="1"/>
    <row r="73" spans="1:24">
      <c r="G73" s="119"/>
    </row>
    <row r="75" spans="1:24">
      <c r="L75" s="141"/>
    </row>
  </sheetData>
  <mergeCells count="8">
    <mergeCell ref="A1:O1"/>
    <mergeCell ref="G54:I54"/>
    <mergeCell ref="G65:I65"/>
    <mergeCell ref="G4:I4"/>
    <mergeCell ref="G15:I15"/>
    <mergeCell ref="G21:I21"/>
    <mergeCell ref="G34:I34"/>
    <mergeCell ref="G43:I43"/>
  </mergeCells>
  <pageMargins left="0.7" right="0.7" top="0.81968750000000001" bottom="0.75" header="0.3" footer="0.3"/>
  <pageSetup scale="60" orientation="portrait" r:id="rId1"/>
  <headerFooter scaleWithDoc="0">
    <oddHeader>&amp;RDominion Energy Utah
Docket 20-057-23
Exhibit 1.2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39"/>
  <sheetViews>
    <sheetView view="pageLayout" topLeftCell="A82" zoomScaleNormal="100" workbookViewId="0">
      <selection activeCell="E12" sqref="E12"/>
    </sheetView>
  </sheetViews>
  <sheetFormatPr defaultRowHeight="12.75"/>
  <cols>
    <col min="1" max="1" width="9.140625" bestFit="1" customWidth="1"/>
    <col min="2" max="2" width="8.7109375" bestFit="1" customWidth="1"/>
    <col min="3" max="3" width="9" customWidth="1"/>
    <col min="4" max="4" width="10.42578125" customWidth="1"/>
    <col min="5" max="5" width="14.140625" customWidth="1"/>
    <col min="6" max="6" width="3.5703125" customWidth="1"/>
    <col min="7" max="7" width="12.7109375" customWidth="1"/>
    <col min="8" max="8" width="2.85546875" customWidth="1"/>
    <col min="9" max="9" width="12.7109375" customWidth="1"/>
    <col min="10" max="10" width="2.85546875" customWidth="1"/>
  </cols>
  <sheetData>
    <row r="1" spans="1:10">
      <c r="A1" s="80"/>
      <c r="B1" s="175" t="s">
        <v>54</v>
      </c>
      <c r="C1" s="176"/>
      <c r="D1" s="176"/>
      <c r="E1" s="176"/>
      <c r="F1" s="176"/>
      <c r="G1" s="176"/>
      <c r="H1" s="176"/>
      <c r="I1" s="176"/>
      <c r="J1" s="81"/>
    </row>
    <row r="2" spans="1:10">
      <c r="A2" s="80"/>
      <c r="B2" s="175" t="s">
        <v>55</v>
      </c>
      <c r="C2" s="176"/>
      <c r="D2" s="176"/>
      <c r="E2" s="176"/>
      <c r="F2" s="176"/>
      <c r="G2" s="176"/>
      <c r="H2" s="176"/>
      <c r="I2" s="176"/>
      <c r="J2" s="81"/>
    </row>
    <row r="3" spans="1:10">
      <c r="A3" s="80"/>
      <c r="B3" s="80"/>
      <c r="C3" s="82"/>
      <c r="D3" s="80"/>
      <c r="E3" s="80"/>
      <c r="F3" s="80"/>
      <c r="G3" s="80"/>
      <c r="H3" s="80"/>
      <c r="I3" s="80"/>
      <c r="J3" s="80"/>
    </row>
    <row r="4" spans="1:10">
      <c r="A4" s="80"/>
      <c r="B4" s="80"/>
      <c r="C4" s="82"/>
      <c r="D4" s="80"/>
      <c r="E4" s="80"/>
      <c r="F4" s="80"/>
      <c r="G4" s="80"/>
      <c r="H4" s="80"/>
      <c r="I4" s="80"/>
      <c r="J4" s="80"/>
    </row>
    <row r="5" spans="1:10">
      <c r="A5" s="80"/>
      <c r="B5" s="83" t="s">
        <v>56</v>
      </c>
      <c r="C5" s="83" t="s">
        <v>57</v>
      </c>
      <c r="D5" s="84" t="s">
        <v>58</v>
      </c>
      <c r="E5" s="177" t="s">
        <v>59</v>
      </c>
      <c r="F5" s="177"/>
      <c r="G5" s="177" t="s">
        <v>60</v>
      </c>
      <c r="H5" s="177"/>
      <c r="I5" s="177" t="s">
        <v>61</v>
      </c>
      <c r="J5" s="177"/>
    </row>
    <row r="6" spans="1:10">
      <c r="A6" s="80"/>
      <c r="B6" s="85"/>
      <c r="C6" s="81"/>
      <c r="D6" s="85"/>
      <c r="E6" s="175" t="s">
        <v>62</v>
      </c>
      <c r="F6" s="176"/>
      <c r="G6" s="175" t="s">
        <v>63</v>
      </c>
      <c r="H6" s="176"/>
      <c r="I6" s="85"/>
      <c r="J6" s="85"/>
    </row>
    <row r="7" spans="1:10">
      <c r="A7" s="86"/>
      <c r="B7" s="87" t="s">
        <v>35</v>
      </c>
      <c r="C7" s="87"/>
      <c r="D7" s="88" t="s">
        <v>64</v>
      </c>
      <c r="E7" s="168" t="s">
        <v>65</v>
      </c>
      <c r="F7" s="169"/>
      <c r="G7" s="170" t="s">
        <v>66</v>
      </c>
      <c r="H7" s="171"/>
      <c r="I7" s="89"/>
      <c r="J7" s="89"/>
    </row>
    <row r="8" spans="1:10" ht="13.5" thickBot="1">
      <c r="A8" s="90"/>
      <c r="B8" s="91" t="s">
        <v>67</v>
      </c>
      <c r="C8" s="91" t="s">
        <v>68</v>
      </c>
      <c r="D8" s="92" t="s">
        <v>69</v>
      </c>
      <c r="E8" s="172">
        <v>44136</v>
      </c>
      <c r="F8" s="172"/>
      <c r="G8" s="173" t="s">
        <v>70</v>
      </c>
      <c r="H8" s="174"/>
      <c r="I8" s="93" t="s">
        <v>71</v>
      </c>
      <c r="J8" s="91"/>
    </row>
    <row r="9" spans="1:10">
      <c r="A9" s="80"/>
      <c r="B9" s="80"/>
      <c r="C9" s="82"/>
      <c r="D9" s="80"/>
      <c r="E9" s="80"/>
      <c r="F9" s="80"/>
      <c r="G9" s="80"/>
      <c r="H9" s="80"/>
      <c r="I9" s="80"/>
      <c r="J9" s="80"/>
    </row>
    <row r="10" spans="1:10">
      <c r="A10" s="82">
        <v>1</v>
      </c>
      <c r="B10" s="82" t="s">
        <v>12</v>
      </c>
      <c r="C10" s="82" t="s">
        <v>72</v>
      </c>
      <c r="D10" s="94">
        <v>14.9</v>
      </c>
      <c r="E10" s="160">
        <f>ROUND((D10*$D$39)+$B$39,2)</f>
        <v>121.67</v>
      </c>
      <c r="F10" s="95"/>
      <c r="G10" s="95">
        <f>ROUND((D10*$D$36)+$B$36,2)</f>
        <v>121.67</v>
      </c>
      <c r="H10" s="95"/>
      <c r="I10" s="95">
        <f>G10-E10</f>
        <v>0</v>
      </c>
      <c r="J10" s="95"/>
    </row>
    <row r="11" spans="1:10">
      <c r="A11" s="82">
        <f t="shared" ref="A11:A21" si="0">A10+1</f>
        <v>2</v>
      </c>
      <c r="B11" s="80"/>
      <c r="C11" s="82" t="s">
        <v>73</v>
      </c>
      <c r="D11" s="94">
        <v>12.5</v>
      </c>
      <c r="E11" s="161">
        <f>ROUND((D11*$D$39)+$B$39,2)</f>
        <v>103.16</v>
      </c>
      <c r="F11" s="96"/>
      <c r="G11" s="96">
        <f>ROUND((D11*$D$36)+$B$36,2)</f>
        <v>103.16</v>
      </c>
      <c r="H11" s="96"/>
      <c r="I11" s="96">
        <f t="shared" ref="I11:I21" si="1">G11-E11</f>
        <v>0</v>
      </c>
      <c r="J11" s="96"/>
    </row>
    <row r="12" spans="1:10">
      <c r="A12" s="82">
        <f t="shared" si="0"/>
        <v>3</v>
      </c>
      <c r="B12" s="80"/>
      <c r="C12" s="82" t="s">
        <v>74</v>
      </c>
      <c r="D12" s="94">
        <v>10.1</v>
      </c>
      <c r="E12" s="161">
        <f>ROUND((D12*$D$39)+$B$39,2)</f>
        <v>84.65</v>
      </c>
      <c r="F12" s="96"/>
      <c r="G12" s="96">
        <f>ROUND((D12*$D$36)+$B$36,2)</f>
        <v>84.65</v>
      </c>
      <c r="H12" s="96"/>
      <c r="I12" s="96">
        <f t="shared" si="1"/>
        <v>0</v>
      </c>
      <c r="J12" s="96"/>
    </row>
    <row r="13" spans="1:10">
      <c r="A13" s="82">
        <f t="shared" si="0"/>
        <v>4</v>
      </c>
      <c r="B13" s="80"/>
      <c r="C13" s="82" t="s">
        <v>75</v>
      </c>
      <c r="D13" s="94">
        <v>8.3000000000000007</v>
      </c>
      <c r="E13" s="161">
        <f>ROUND((D13*$C$39)+$B$39,2)</f>
        <v>60.56</v>
      </c>
      <c r="F13" s="96"/>
      <c r="G13" s="96">
        <f>ROUND((D13*$C$36)+$B$36,2)</f>
        <v>60.56</v>
      </c>
      <c r="H13" s="96"/>
      <c r="I13" s="96">
        <f t="shared" si="1"/>
        <v>0</v>
      </c>
      <c r="J13" s="96"/>
    </row>
    <row r="14" spans="1:10">
      <c r="A14" s="82">
        <f t="shared" si="0"/>
        <v>5</v>
      </c>
      <c r="B14" s="80"/>
      <c r="C14" s="82" t="s">
        <v>76</v>
      </c>
      <c r="D14" s="94">
        <v>4.4000000000000004</v>
      </c>
      <c r="E14" s="161">
        <f t="shared" ref="E14:E19" si="2">ROUND((D14*$C$39)+$B$39,2)</f>
        <v>35.270000000000003</v>
      </c>
      <c r="F14" s="96"/>
      <c r="G14" s="96">
        <f t="shared" ref="G14:G19" si="3">ROUND((D14*$C$36)+$B$36,2)</f>
        <v>35.270000000000003</v>
      </c>
      <c r="H14" s="96"/>
      <c r="I14" s="96">
        <f t="shared" si="1"/>
        <v>0</v>
      </c>
      <c r="J14" s="96"/>
    </row>
    <row r="15" spans="1:10">
      <c r="A15" s="82">
        <f t="shared" si="0"/>
        <v>6</v>
      </c>
      <c r="B15" s="80"/>
      <c r="C15" s="82" t="s">
        <v>77</v>
      </c>
      <c r="D15" s="94">
        <v>3.1</v>
      </c>
      <c r="E15" s="161">
        <f t="shared" si="2"/>
        <v>26.85</v>
      </c>
      <c r="F15" s="96"/>
      <c r="G15" s="96">
        <f t="shared" si="3"/>
        <v>26.85</v>
      </c>
      <c r="H15" s="96"/>
      <c r="I15" s="96">
        <f t="shared" si="1"/>
        <v>0</v>
      </c>
      <c r="J15" s="96"/>
    </row>
    <row r="16" spans="1:10">
      <c r="A16" s="82">
        <f t="shared" si="0"/>
        <v>7</v>
      </c>
      <c r="B16" s="80"/>
      <c r="C16" s="82" t="s">
        <v>78</v>
      </c>
      <c r="D16" s="94">
        <v>2</v>
      </c>
      <c r="E16" s="161">
        <f t="shared" si="2"/>
        <v>19.72</v>
      </c>
      <c r="F16" s="96"/>
      <c r="G16" s="96">
        <f t="shared" si="3"/>
        <v>19.72</v>
      </c>
      <c r="H16" s="96"/>
      <c r="I16" s="96">
        <f t="shared" si="1"/>
        <v>0</v>
      </c>
      <c r="J16" s="96"/>
    </row>
    <row r="17" spans="1:10">
      <c r="A17" s="82">
        <f t="shared" si="0"/>
        <v>8</v>
      </c>
      <c r="B17" s="80"/>
      <c r="C17" s="82" t="s">
        <v>79</v>
      </c>
      <c r="D17" s="94">
        <v>1.8</v>
      </c>
      <c r="E17" s="161">
        <f t="shared" si="2"/>
        <v>18.420000000000002</v>
      </c>
      <c r="F17" s="96"/>
      <c r="G17" s="96">
        <f t="shared" si="3"/>
        <v>18.420000000000002</v>
      </c>
      <c r="H17" s="96"/>
      <c r="I17" s="96">
        <f t="shared" si="1"/>
        <v>0</v>
      </c>
      <c r="J17" s="96"/>
    </row>
    <row r="18" spans="1:10">
      <c r="A18" s="82">
        <f t="shared" si="0"/>
        <v>9</v>
      </c>
      <c r="B18" s="80"/>
      <c r="C18" s="82" t="s">
        <v>80</v>
      </c>
      <c r="D18" s="94">
        <v>2</v>
      </c>
      <c r="E18" s="161">
        <f t="shared" si="2"/>
        <v>19.72</v>
      </c>
      <c r="F18" s="96"/>
      <c r="G18" s="96">
        <f t="shared" si="3"/>
        <v>19.72</v>
      </c>
      <c r="H18" s="96"/>
      <c r="I18" s="96">
        <f t="shared" si="1"/>
        <v>0</v>
      </c>
      <c r="J18" s="96"/>
    </row>
    <row r="19" spans="1:10">
      <c r="A19" s="82">
        <f t="shared" si="0"/>
        <v>10</v>
      </c>
      <c r="B19" s="80"/>
      <c r="C19" s="82" t="s">
        <v>81</v>
      </c>
      <c r="D19" s="94">
        <v>3.1</v>
      </c>
      <c r="E19" s="161">
        <f t="shared" si="2"/>
        <v>26.85</v>
      </c>
      <c r="F19" s="96"/>
      <c r="G19" s="96">
        <f t="shared" si="3"/>
        <v>26.85</v>
      </c>
      <c r="H19" s="96"/>
      <c r="I19" s="96">
        <f t="shared" si="1"/>
        <v>0</v>
      </c>
      <c r="J19" s="96"/>
    </row>
    <row r="20" spans="1:10">
      <c r="A20" s="82">
        <f t="shared" si="0"/>
        <v>11</v>
      </c>
      <c r="B20" s="80"/>
      <c r="C20" s="82" t="s">
        <v>82</v>
      </c>
      <c r="D20" s="94">
        <v>6.3</v>
      </c>
      <c r="E20" s="161">
        <f>ROUND((D20*$D$39)+$B$39,2)</f>
        <v>55.34</v>
      </c>
      <c r="F20" s="96"/>
      <c r="G20" s="96">
        <f>ROUND((D20*$D$36)+$B$36,2)</f>
        <v>55.34</v>
      </c>
      <c r="H20" s="96"/>
      <c r="I20" s="96">
        <f t="shared" si="1"/>
        <v>0</v>
      </c>
      <c r="J20" s="96"/>
    </row>
    <row r="21" spans="1:10">
      <c r="A21" s="82">
        <f t="shared" si="0"/>
        <v>12</v>
      </c>
      <c r="B21" s="80"/>
      <c r="C21" s="82" t="s">
        <v>83</v>
      </c>
      <c r="D21" s="94">
        <v>11.5</v>
      </c>
      <c r="E21" s="161">
        <f>ROUND((D21*$D$39)+$B$39,2)</f>
        <v>95.45</v>
      </c>
      <c r="F21" s="96"/>
      <c r="G21" s="96">
        <f>ROUND((D21*$D$36)+$B$36,2)</f>
        <v>95.45</v>
      </c>
      <c r="H21" s="96"/>
      <c r="I21" s="96">
        <f t="shared" si="1"/>
        <v>0</v>
      </c>
      <c r="J21" s="96"/>
    </row>
    <row r="22" spans="1:10" ht="13.5" thickBot="1">
      <c r="A22" s="82"/>
      <c r="B22" s="80"/>
      <c r="C22" s="82"/>
      <c r="D22" s="97"/>
      <c r="E22" s="98"/>
      <c r="F22" s="98"/>
      <c r="G22" s="98"/>
      <c r="H22" s="98"/>
      <c r="I22" s="99"/>
      <c r="J22" s="100"/>
    </row>
    <row r="23" spans="1:10" ht="13.5" thickTop="1">
      <c r="A23" s="82"/>
      <c r="B23" s="80"/>
      <c r="C23" s="82"/>
      <c r="D23" s="101"/>
      <c r="E23" s="102"/>
      <c r="F23" s="102"/>
      <c r="G23" s="82"/>
      <c r="H23" s="82"/>
      <c r="I23" s="102" t="s">
        <v>84</v>
      </c>
      <c r="J23" s="102"/>
    </row>
    <row r="24" spans="1:10">
      <c r="A24" s="82">
        <f>A21+1</f>
        <v>13</v>
      </c>
      <c r="B24" s="80"/>
      <c r="C24" s="103" t="s">
        <v>0</v>
      </c>
      <c r="D24" s="104">
        <f>SUM(D10:D23)</f>
        <v>80</v>
      </c>
      <c r="E24" s="95">
        <f>SUM(E10:E21)</f>
        <v>667.66000000000008</v>
      </c>
      <c r="F24" s="95"/>
      <c r="G24" s="95">
        <f>SUM(G10:G21)</f>
        <v>667.66000000000008</v>
      </c>
      <c r="H24" s="95"/>
      <c r="I24" s="95">
        <f>SUM(I10:I21)</f>
        <v>0</v>
      </c>
      <c r="J24" s="95"/>
    </row>
    <row r="25" spans="1:10">
      <c r="A25" s="80"/>
      <c r="B25" s="80"/>
      <c r="C25" s="82"/>
      <c r="D25" s="80"/>
      <c r="E25" s="105"/>
      <c r="F25" s="105"/>
      <c r="G25" s="105"/>
      <c r="H25" s="80"/>
      <c r="I25" s="80"/>
      <c r="J25" s="80"/>
    </row>
    <row r="26" spans="1:10">
      <c r="A26" s="80"/>
      <c r="B26" s="80" t="s">
        <v>84</v>
      </c>
      <c r="C26" s="82"/>
      <c r="D26" s="80"/>
      <c r="E26" s="80"/>
      <c r="F26" s="80"/>
      <c r="G26" s="106" t="s">
        <v>85</v>
      </c>
      <c r="H26" s="106"/>
      <c r="I26" s="107">
        <f>ROUND(I24/E24,4)*100</f>
        <v>0</v>
      </c>
      <c r="J26" s="108" t="s">
        <v>86</v>
      </c>
    </row>
    <row r="29" spans="1:10">
      <c r="I29" s="2"/>
    </row>
    <row r="34" spans="1:4">
      <c r="A34" s="109"/>
      <c r="B34" s="110"/>
      <c r="C34" s="6" t="s">
        <v>41</v>
      </c>
      <c r="D34" s="6" t="s">
        <v>36</v>
      </c>
    </row>
    <row r="35" spans="1:4" ht="13.5" thickBot="1">
      <c r="A35" s="110"/>
      <c r="B35" s="111" t="s">
        <v>87</v>
      </c>
      <c r="C35" s="112" t="s">
        <v>88</v>
      </c>
      <c r="D35" s="112" t="s">
        <v>88</v>
      </c>
    </row>
    <row r="36" spans="1:4">
      <c r="A36" s="113" t="s">
        <v>89</v>
      </c>
      <c r="B36" s="114">
        <v>6.75</v>
      </c>
      <c r="C36" s="115">
        <f>'Exhibit 1.02 STEP Rates'!X10</f>
        <v>6.4828000000000001</v>
      </c>
      <c r="D36" s="115">
        <f>'Exhibit 1.02 STEP Rates'!X7</f>
        <v>7.7127800000000004</v>
      </c>
    </row>
    <row r="37" spans="1:4">
      <c r="A37" s="113"/>
      <c r="B37" s="114"/>
      <c r="C37" s="115"/>
      <c r="D37" s="115"/>
    </row>
    <row r="38" spans="1:4">
      <c r="A38" s="110" t="s">
        <v>90</v>
      </c>
      <c r="B38" s="114"/>
      <c r="C38" s="116"/>
      <c r="D38" s="116"/>
    </row>
    <row r="39" spans="1:4">
      <c r="A39" s="117">
        <v>44136</v>
      </c>
      <c r="B39" s="114">
        <v>6.75</v>
      </c>
      <c r="C39" s="118">
        <f>'Exhibit 1.02 STEP Rates'!V10</f>
        <v>6.4828999999999999</v>
      </c>
      <c r="D39" s="118">
        <f>'Exhibit 1.02 STEP Rates'!V7</f>
        <v>7.7129000000000003</v>
      </c>
    </row>
  </sheetData>
  <mergeCells count="11">
    <mergeCell ref="E7:F7"/>
    <mergeCell ref="G7:H7"/>
    <mergeCell ref="E8:F8"/>
    <mergeCell ref="G8:H8"/>
    <mergeCell ref="B1:I1"/>
    <mergeCell ref="B2:I2"/>
    <mergeCell ref="E5:F5"/>
    <mergeCell ref="G5:H5"/>
    <mergeCell ref="I5:J5"/>
    <mergeCell ref="E6:F6"/>
    <mergeCell ref="G6:H6"/>
  </mergeCells>
  <pageMargins left="0.7" right="0.7" top="0.84375" bottom="0.75" header="0.3" footer="0.3"/>
  <pageSetup orientation="portrait" r:id="rId1"/>
  <headerFooter scaleWithDoc="0">
    <oddHeader>&amp;RDominion Energy Utah
Docket 20-057-23
DEU Exhibit 1.3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Exhibit 1.01 COS</vt:lpstr>
      <vt:lpstr>Exhibit 1.02 STEP Rates</vt:lpstr>
      <vt:lpstr>Exhibit 1.03 Typical Bill</vt:lpstr>
      <vt:lpstr>'Exhibit 1.01 COS'!Print_Area</vt:lpstr>
      <vt:lpstr>'Exhibit 1.02 STEP Rates'!Print_Area</vt:lpstr>
      <vt:lpstr>'Exhibit 1.03 Typical Bill'!Print_Area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2020-11-23T22:42:23Z</cp:lastPrinted>
  <dcterms:created xsi:type="dcterms:W3CDTF">2011-08-18T22:49:59Z</dcterms:created>
  <dcterms:modified xsi:type="dcterms:W3CDTF">2021-01-04T20:42:57Z</dcterms:modified>
  <cp:category/>
</cp:coreProperties>
</file>