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1docs\2105730\"/>
    </mc:Choice>
  </mc:AlternateContent>
  <bookViews>
    <workbookView xWindow="0" yWindow="0" windowWidth="19125" windowHeight="11025" tabRatio="911"/>
  </bookViews>
  <sheets>
    <sheet name="Exhibit 1.1 Mains" sheetId="6" r:id="rId1"/>
    <sheet name="Exhibit 1.2 Services" sheetId="17" r:id="rId2"/>
    <sheet name="Exhibit 1.3" sheetId="7" r:id="rId3"/>
    <sheet name="Exhibit 1.4 COS" sheetId="8" r:id="rId4"/>
    <sheet name="Exhibit 1.5 Rates" sheetId="11" r:id="rId5"/>
    <sheet name="Exhibit 1.6 Typical Bill" sheetId="10" r:id="rId6"/>
    <sheet name="Calc- Mains" sheetId="4" r:id="rId7"/>
    <sheet name="Calc - Services" sheetId="1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djustments">'[1]Control Panel'!$A$25:$F$104</definedName>
    <definedName name="Advertisingscenario">[1]Advertising!$C$10:$F$52</definedName>
    <definedName name="Alloc_Cust_Assist">'[1]COS Input'!$C$88:$K$89</definedName>
    <definedName name="Alloc_Dist_Throu">'[1]COS Input'!$C$73:$K$74</definedName>
    <definedName name="Alloc_Meters_Regs">'[1]COS Input'!$C$85:$K$86</definedName>
    <definedName name="Alloc_Peak_Day">'[1]COS Input'!$C$76:$K$77</definedName>
    <definedName name="Alloc_SD_Mains">'[1]COS Input'!$C$79:$K$80</definedName>
    <definedName name="Alloc_Serv_Lines">'[1]COS Input'!$C$82:$K$83</definedName>
    <definedName name="ALLOCATIONS">'[1]ALLOCATIONS&amp;PRETAX'!$B$6:$F$41</definedName>
    <definedName name="ANNUALIZEDDEPEXP">'[1]WYO DEPR EXP'!$C$16:$J$26</definedName>
    <definedName name="AVG_INCENTIVE">[1]Incentive!$AG$12:$AK$490</definedName>
    <definedName name="BadDebtScenario">'[1]Utah Bad Debt'!$C$5:$F$39</definedName>
    <definedName name="Bill_Block_FT1Existing">'[1]Full GS, Existing FT-1'!$A$3:$AB$600</definedName>
    <definedName name="Bill_Block_FT1New">'[1]Full GS, New FT-1'!$A$3:$AB$435</definedName>
    <definedName name="CapStr">'[1]Capital Str'!$C$22:$K$62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COMM_REV_CO">[1]Revenue!$F$354</definedName>
    <definedName name="COMM_REV_ID">[1]Revenue!$F$230</definedName>
    <definedName name="COMM_REV_UT">[1]Revenue!$F$201</definedName>
    <definedName name="COMM_REV_WY">[1]Revenue!$F$325</definedName>
    <definedName name="Cumulative_Investment">'Exhibit 1.1 Mains'!$A$2:$C$12</definedName>
    <definedName name="dblink">'[2]QUERY_FOR PIVOT'!$A$1:$H$2559</definedName>
    <definedName name="DONATIONSSCENARIO">[1]Donations!$G$6:$L$40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PENSESCENARIO">[1]EXPENSES!$F$6:$J$583</definedName>
    <definedName name="F1T_DNG_WY_PER1">[7]CRITERIA!$J$175:$Q$176</definedName>
    <definedName name="F1T_DNG_WY_PER10">[7]CRITERIA!$CM$175:$CT$176</definedName>
    <definedName name="F1T_DNG_WY_PER11">[7]CRITERIA!$CV$175:$DC$176</definedName>
    <definedName name="F1T_DNG_WY_PER12">[7]CRITERIA!$DE$175:$DL$176</definedName>
    <definedName name="F1T_DNG_WY_PER2">[7]CRITERIA!$S$175:$Z$176</definedName>
    <definedName name="F1T_DNG_WY_PER3">[7]CRITERIA!$AB$175:$AI$176</definedName>
    <definedName name="F1T_DNG_WY_PER4">[7]CRITERIA!$AK$175:$AR$176</definedName>
    <definedName name="F1T_DNG_WY_PER5">[7]CRITERIA!$AT$175:$BA$176</definedName>
    <definedName name="F1T_DNG_WY_PER6">[7]CRITERIA!$BC$175:$BJ$176</definedName>
    <definedName name="F1T_DNG_WY_PER7">[7]CRITERIA!$BL$175:$BS$176</definedName>
    <definedName name="F1T_DNG_WY_PER8">[7]CRITERIA!$BU$175:$CB$176</definedName>
    <definedName name="F1T_DNG_WY_PER9">[7]CRITERIA!$CD$175:$CK$176</definedName>
    <definedName name="FS_FL_UT_PER1">[8]CRITERIA!$J$196:$Q$197</definedName>
    <definedName name="FS_FL_UT_PER10">[8]CRITERIA!$CM$196:$CT$197</definedName>
    <definedName name="FS_FL_UT_PER11">[8]CRITERIA!$CV$196:$DC$197</definedName>
    <definedName name="FS_FL_UT_PER12">[8]CRITERIA!$DE$196:$DL$197</definedName>
    <definedName name="FS_FL_UT_PER2">[8]CRITERIA!$S$196:$Z$197</definedName>
    <definedName name="FS_FL_UT_PER3">[8]CRITERIA!$AB$196:$AI$197</definedName>
    <definedName name="FS_FL_UT_PER4">[8]CRITERIA!$AK$196:$AR$197</definedName>
    <definedName name="FS_FL_UT_PER5">[8]CRITERIA!$AT$196:$BA$197</definedName>
    <definedName name="FS_FL_UT_PER6">[8]CRITERIA!$BC$196:$BJ$197</definedName>
    <definedName name="FS_FL_UT_PER7">[8]CRITERIA!$BL$196:$BS$197</definedName>
    <definedName name="FS_FL_UT_PER8">[8]CRITERIA!$BU$196:$CB$197</definedName>
    <definedName name="FS_FL_UT_PER9">[8]CRITERIA!$CD$196:$CK$197</definedName>
    <definedName name="FT_FL_UT_PER1">[8]CRITERIA!$J$202:$Q$203</definedName>
    <definedName name="FT_FL_UT_PER10">[8]CRITERIA!$CM$202:$CT$203</definedName>
    <definedName name="FT_FL_UT_PER11">[8]CRITERIA!$CV$202:$DC$203</definedName>
    <definedName name="FT_FL_UT_PER12">[8]CRITERIA!$DE$202:$DL$203</definedName>
    <definedName name="FT_FL_UT_PER2">[8]CRITERIA!$S$202:$Z$203</definedName>
    <definedName name="FT_FL_UT_PER3">[8]CRITERIA!$AB$202:$AI$203</definedName>
    <definedName name="FT_FL_UT_PER4">[8]CRITERIA!$AK$202:$AR$203</definedName>
    <definedName name="FT_FL_UT_PER5">[8]CRITERIA!$AT$202:$BA$203</definedName>
    <definedName name="FT_FL_UT_PER6">[8]CRITERIA!$BC$202:$BJ$203</definedName>
    <definedName name="FT_FL_UT_PER7">[8]CRITERIA!$BL$202:$BS$203</definedName>
    <definedName name="FT_FL_UT_PER8">[8]CRITERIA!$BU$202:$CB$203</definedName>
    <definedName name="FT_FL_UT_PER9">[8]CRITERIA!$CD$202:$CK$203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[7]CRITERIA!$J$172:$Q$173</definedName>
    <definedName name="FT2C_PER10">[7]CRITERIA!$CM$172:$CT$173</definedName>
    <definedName name="FT2C_PER11">[7]CRITERIA!$CV$172:$DC$173</definedName>
    <definedName name="FT2C_PER12">[7]CRITERIA!$DE$172:$DL$173</definedName>
    <definedName name="FT2C_PER2">[7]CRITERIA!$S$172:$Z$173</definedName>
    <definedName name="FT2C_PER3">[7]CRITERIA!$AB$172:$AI$173</definedName>
    <definedName name="FT2C_PER4">[7]CRITERIA!$AK$172:$AR$173</definedName>
    <definedName name="FT2C_PER5">[7]CRITERIA!$AT$172:$BA$173</definedName>
    <definedName name="FT2C_PER6">[7]CRITERIA!$BC$172:$BJ$173</definedName>
    <definedName name="FT2C_PER7">[7]CRITERIA!$BL$172:$BS$173</definedName>
    <definedName name="FT2C_PER8">[7]CRITERIA!$BU$172:$CB$173</definedName>
    <definedName name="FT2C_PER9">[7]CRITERIA!$CD$172:$CK$173</definedName>
    <definedName name="FT2RB1">'[9]Rates-Meter Categories-Charges'!$E$53</definedName>
    <definedName name="FT2RB2">'[9]Rates-Meter Categories-Charges'!$E$54</definedName>
    <definedName name="FT2RB3">'[9]Rates-Meter Categories-Charges'!$E$55</definedName>
    <definedName name="FT2RB4">'[9]Rates-Meter Categories-Charges'!$E$56</definedName>
    <definedName name="GS_FL_UT_PER1">[8]CRITERIA!$J$193:$Q$194</definedName>
    <definedName name="GS_FL_UT_PER10">[8]CRITERIA!$CM$193:$CT$194</definedName>
    <definedName name="GS_FL_UT_PER11">[8]CRITERIA!$CV$193:$DC$194</definedName>
    <definedName name="GS_FL_UT_PER12">[8]CRITERIA!$DE$193:$DL$194</definedName>
    <definedName name="GS_FL_UT_PER2">[8]CRITERIA!$S$193:$Z$194</definedName>
    <definedName name="GS_FL_UT_PER3">[8]CRITERIA!$AB$193:$AI$194</definedName>
    <definedName name="GS_FL_UT_PER4">[8]CRITERIA!$AK$193:$AR$194</definedName>
    <definedName name="GS_FL_UT_PER5">[8]CRITERIA!$AT$193:$BA$194</definedName>
    <definedName name="GS_FL_UT_PER6">[8]CRITERIA!$BC$193:$BJ$194</definedName>
    <definedName name="GS_FL_UT_PER7">[8]CRITERIA!$BL$193:$BS$194</definedName>
    <definedName name="GS_FL_UT_PER8">[8]CRITERIA!$BU$193:$CB$194</definedName>
    <definedName name="GS_FL_UT_PER9">[8]CRITERIA!$CD$193:$CK$194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[1]EXPENSES!$F$391</definedName>
    <definedName name="HIST_403_PROD">[1]EXPENSES!$F$388</definedName>
    <definedName name="HIST_403_UT">[1]EXPENSES!$F$390</definedName>
    <definedName name="HIST_403_WY">[1]EXPENSES!$F$389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NSENTIVESCENARIO">[1]Incentive!$D$3:$H$43</definedName>
    <definedName name="IS_FL_UT_PER1">[8]CRITERIA!$J$199:$Q$200</definedName>
    <definedName name="IS_FL_UT_PER10">[8]CRITERIA!$CM$199:$CT$200</definedName>
    <definedName name="IS_FL_UT_PER11">[8]CRITERIA!$CV$199:$DC$200</definedName>
    <definedName name="IS_FL_UT_PER12">[8]CRITERIA!$DE$199:$DL$200</definedName>
    <definedName name="IS_FL_UT_PER2">[8]CRITERIA!$S$199:$Z$200</definedName>
    <definedName name="IS_FL_UT_PER3">[8]CRITERIA!$AB$199:$AI$200</definedName>
    <definedName name="IS_FL_UT_PER4">[8]CRITERIA!$AK$199:$AR$200</definedName>
    <definedName name="IS_FL_UT_PER5">[8]CRITERIA!$AT$199:$BA$200</definedName>
    <definedName name="IS_FL_UT_PER6">[8]CRITERIA!$BC$199:$BJ$200</definedName>
    <definedName name="IS_FL_UT_PER7">[8]CRITERIA!$BL$199:$BS$200</definedName>
    <definedName name="IS_FL_UT_PER8">[8]CRITERIA!$BU$199:$CB$200</definedName>
    <definedName name="IS_FL_UT_PER9">[8]CRITERIA!$CD$199:$CK$200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[10]Expenses!$G$372</definedName>
    <definedName name="JurisRORNumber">[1]Taxes!$F$42</definedName>
    <definedName name="MT_FL_UT_PER1">[8]CRITERIA!$J$208:$Q$209</definedName>
    <definedName name="MT_FL_UT_PER10">[8]CRITERIA!$CM$208:$CT$209</definedName>
    <definedName name="MT_FL_UT_PER11">[8]CRITERIA!$CV$208:$DC$209</definedName>
    <definedName name="MT_FL_UT_PER12">[8]CRITERIA!$DE$208:$DL$209</definedName>
    <definedName name="MT_FL_UT_PER2">[8]CRITERIA!$S$208:$Z$209</definedName>
    <definedName name="MT_FL_UT_PER3">[8]CRITERIA!$AB$208:$AI$209</definedName>
    <definedName name="MT_FL_UT_PER4">[8]CRITERIA!$AK$208:$AR$209</definedName>
    <definedName name="MT_FL_UT_PER5">[8]CRITERIA!$AT$208:$BA$209</definedName>
    <definedName name="MT_FL_UT_PER6">[8]CRITERIA!$BC$208:$BJ$209</definedName>
    <definedName name="MT_FL_UT_PER7">[8]CRITERIA!$BL$208:$BS$209</definedName>
    <definedName name="MT_FL_UT_PER8">[8]CRITERIA!$BU$208:$CB$209</definedName>
    <definedName name="MT_FL_UT_PER9">[8]CRITERIA!$CD$208:$CK$209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OAKSCENARIO">[1]OakCity!$E$9:$E$46</definedName>
    <definedName name="OtherRevScenarios">'[1]Other Rev'!$H$7:$I$145</definedName>
    <definedName name="PHANTOMSCENARIO">'[1]Stock Incentives'!$D$12:$G$82</definedName>
    <definedName name="PIPELINEINTEGRITY">'[1]PIPELINE INTEGRITY'!$D$4:$G$21</definedName>
    <definedName name="_xlnm.Print_Area" localSheetId="0">'Exhibit 1.1 Mains'!$A$1:$AB$28</definedName>
    <definedName name="_xlnm.Print_Area" localSheetId="1">'Exhibit 1.2 Services'!$A$1:$AB$25</definedName>
    <definedName name="_xlnm.Print_Area" localSheetId="2">'Exhibit 1.3'!$A$1:$K$31</definedName>
    <definedName name="_xlnm.Print_Area" localSheetId="3">'Exhibit 1.4 COS'!$B$1:$J$21</definedName>
    <definedName name="_xlnm.Print_Area" localSheetId="4">'Exhibit 1.5 Rates'!$A$1:$O$70</definedName>
    <definedName name="_xlnm.Print_Area" localSheetId="5">'Exhibit 1.6 Typical Bill'!$A$1:$J$26</definedName>
    <definedName name="_xlnm.Print_Titles" localSheetId="0">'Exhibit 1.1 Mains'!$A:$C,'Exhibit 1.1 Mains'!$1:$2</definedName>
    <definedName name="_xlnm.Print_Titles" localSheetId="1">'Exhibit 1.2 Services'!$A:$C,'Exhibit 1.2 Services'!$1:$2</definedName>
    <definedName name="PT_OTH_REV_UT">'[1]Other Rev'!$H$136</definedName>
    <definedName name="PT_OTH_REV_WY">'[1]Other Rev'!$H$140</definedName>
    <definedName name="range">'[1]COS Alloc Factors'!$C$11:$K$78</definedName>
    <definedName name="RateBaseScenarios">'[1]Rate Base'!$AJ$8:$AQ$282</definedName>
    <definedName name="rates">[1]Rates!$T$4:$IV$65538</definedName>
    <definedName name="rates2">[1]Rates!$I$8:$O$319</definedName>
    <definedName name="RESERVEACCRUALSCENARIO">'[1]RESERVE ACCRUAL'!$D$6:$G$75</definedName>
    <definedName name="RevenueScenarios">[1]Revenue!$F$8:$S$452</definedName>
    <definedName name="Scenarios">'[1]Control Panel'!$H$10:$AI$104</definedName>
    <definedName name="se5ry">'[7]QUERY_FOR PIVOT'!$A$1:$H$15062</definedName>
    <definedName name="SNG_REV_ID">[1]Revenue!$F$229</definedName>
    <definedName name="SNG_REV_UT">[1]Revenue!$F$200</definedName>
    <definedName name="SNG_REV_WY">[1]Revenue!$F$323</definedName>
    <definedName name="SUMMER_UT_F1">[1]Criteria!$A$26:$C$27</definedName>
    <definedName name="Summer_UT_GSR">[1]Criteria!$A$6:$C$7</definedName>
    <definedName name="taxes">[1]Taxes!$C$9:$E$75</definedName>
    <definedName name="TS_COMM_UT_PER1">[7]CRITERIA!$J$89:$Q$90</definedName>
    <definedName name="TS_COMM_UT_PER10">[7]CRITERIA!$CM$89:$CT$90</definedName>
    <definedName name="TS_COMM_UT_PER11">[7]CRITERIA!$CV$89:$DC$90</definedName>
    <definedName name="TS_COMM_UT_PER12">[7]CRITERIA!$DE$89:$DL$90</definedName>
    <definedName name="TS_COMM_UT_PER2">[7]CRITERIA!$S$89:$Z$90</definedName>
    <definedName name="TS_COMM_UT_PER3">[7]CRITERIA!$AB$89:$AI$90</definedName>
    <definedName name="TS_COMM_UT_PER4">[7]CRITERIA!$AK$89:$AR$90</definedName>
    <definedName name="TS_COMM_UT_PER5">[7]CRITERIA!$AT$89:$BA$90</definedName>
    <definedName name="TS_COMM_UT_PER6">[7]CRITERIA!$BC$89:$BJ$90</definedName>
    <definedName name="TS_COMM_UT_PER7">[7]CRITERIA!$BL$89:$BS$90</definedName>
    <definedName name="TS_COMM_UT_PER8">[7]CRITERIA!$BU$89:$CB$90</definedName>
    <definedName name="TS_COMM_UT_PER9">[7]CRITERIA!$CD$89:$CK$90</definedName>
    <definedName name="TS_DNG_UT_PER1">[7]CRITERIA!$J$92:$Q$93</definedName>
    <definedName name="TS_DNG_UT_PER10">[7]CRITERIA!$CM$92:$CT$93</definedName>
    <definedName name="TS_DNG_UT_PER11">[7]CRITERIA!$CV$92:$DC$93</definedName>
    <definedName name="TS_DNG_UT_PER12">[7]CRITERIA!$DE$92:$DL$93</definedName>
    <definedName name="TS_DNG_UT_PER2">[7]CRITERIA!$S$92:$Z$93</definedName>
    <definedName name="TS_DNG_UT_PER3">[7]CRITERIA!$AB$92:$AI$93</definedName>
    <definedName name="TS_DNG_UT_PER4">[7]CRITERIA!$AK$92:$AR$93</definedName>
    <definedName name="TS_DNG_UT_PER5">[7]CRITERIA!$AT$92:$BA$93</definedName>
    <definedName name="TS_DNG_UT_PER6">[7]CRITERIA!$BC$92:$BJ$93</definedName>
    <definedName name="TS_DNG_UT_PER7">[7]CRITERIA!$BL$92:$BS$93</definedName>
    <definedName name="TS_DNG_UT_PER8">[7]CRITERIA!$BU$92:$CB$93</definedName>
    <definedName name="TS_DNG_UT_PER9">[7]CRITERIA!$CD$92:$CK$93</definedName>
    <definedName name="TS_FL_UT_PER1">[8]CRITERIA!$J$205:$Q$206</definedName>
    <definedName name="TS_FL_UT_PER10">[8]CRITERIA!$CM$205:$CT$206</definedName>
    <definedName name="TS_FL_UT_PER11">[8]CRITERIA!$CV$205:$DC$206</definedName>
    <definedName name="TS_FL_UT_PER12">[8]CRITERIA!$DE$205:$DL$206</definedName>
    <definedName name="TS_FL_UT_PER2">[8]CRITERIA!$S$205:$Z$206</definedName>
    <definedName name="TS_FL_UT_PER3">[8]CRITERIA!$AB$205:$AI$206</definedName>
    <definedName name="TS_FL_UT_PER4">[8]CRITERIA!$AK$205:$AR$206</definedName>
    <definedName name="TS_FL_UT_PER5">[8]CRITERIA!$AT$205:$BA$206</definedName>
    <definedName name="TS_FL_UT_PER6">[8]CRITERIA!$BC$205:$BJ$206</definedName>
    <definedName name="TS_FL_UT_PER7">[8]CRITERIA!$BL$205:$BS$206</definedName>
    <definedName name="TS_FL_UT_PER8">[8]CRITERIA!$BU$205:$CB$206</definedName>
    <definedName name="TS_FL_UT_PER9">[8]CRITERIA!$CD$205:$CK$206</definedName>
    <definedName name="UT_CIS_PER1">[7]CRITERIA!$J$190:$Q$191</definedName>
    <definedName name="UT_CIS_PER10">[7]CRITERIA!$CM$190:$CT$191</definedName>
    <definedName name="UT_CIS_PER11">[7]CRITERIA!$CV$190:$DC$191</definedName>
    <definedName name="UT_CIS_PER12">[7]CRITERIA!$DE$190:$DL$191</definedName>
    <definedName name="UT_CIS_PER2">[7]CRITERIA!$S$190:$Z$191</definedName>
    <definedName name="UT_CIS_PER3">[7]CRITERIA!$AB$190:$AI$191</definedName>
    <definedName name="UT_CIS_PER4">[7]CRITERIA!$AK$190:$AR$191</definedName>
    <definedName name="UT_CIS_PER5">[7]CRITERIA!$AT$190:$BA$191</definedName>
    <definedName name="UT_CIS_PER6">[7]CRITERIA!$BC$190:$BJ$191</definedName>
    <definedName name="UT_CIS_PER7">[7]CRITERIA!$BL$190:$BS$191</definedName>
    <definedName name="UT_CIS_PER8">[7]CRITERIA!$BU$190:$CB$191</definedName>
    <definedName name="UT_CIS_PER9">[7]CRITERIA!$CD$190:$CK$191</definedName>
    <definedName name="UT_E1">[1]Criteria!$H$27:$I$28</definedName>
    <definedName name="UT_F1">[1]Criteria!$A$30:$C$31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FT1">[1]Criteria!$E$20:$F$21</definedName>
    <definedName name="UT_FT1L">[1]Criteria!$H$35:$I$36</definedName>
    <definedName name="UT_GS_SUMMER">[4]Criteria!$A$10:$C$17</definedName>
    <definedName name="UT_GS_WINTER">[4]Criteria!$A$2:$C$7</definedName>
    <definedName name="UT_GSC_SUMMER">[11]Criteria!$E$38:$G$45</definedName>
    <definedName name="UT_GSC_WINTER">[11]Criteria!$A$38:$C$43</definedName>
    <definedName name="UT_GSR">[1]Criteria!$A$10:$C$11</definedName>
    <definedName name="UT_GSR_SUMMER">[11]Criteria!$A$10:$C$17</definedName>
    <definedName name="UT_GSR_WINTER">[11]Criteria!$A$2:$C$7</definedName>
    <definedName name="UT_GSS_SUMMER">[4]Criteria!$A$28:$C$35</definedName>
    <definedName name="UT_GSS_WINTER">[4]Criteria!$A$20:$C$25</definedName>
    <definedName name="UT_I2">[4]Criteria!$L$2:$M$3</definedName>
    <definedName name="UT_I2I4">[1]Criteria!$E$10:$F$12</definedName>
    <definedName name="UT_I4">[4]Criteria!$L$6:$M$7</definedName>
    <definedName name="UT_IS2">[4]Criteria!$L$10:$M$11</definedName>
    <definedName name="UT_IS4">[4]Criteria!$L$14:$M$15</definedName>
    <definedName name="UT_IT">[1]Criteria!$H$10:$I$15</definedName>
    <definedName name="UT_IT2">[4]Criteria!$L$22:$M$23</definedName>
    <definedName name="UT_MT">[1]Criteria!$H$6:$I$7</definedName>
    <definedName name="UT_NGV">[1]Criteria!$E$6:$F$7</definedName>
    <definedName name="UT_TSP">[1]Criteria!$H$39:$I$40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WEX_ADJ_108_PROD">[1]Wexpro!$H$22</definedName>
    <definedName name="WEX_ADJ_111_PROD">[1]Wexpro!$H$23</definedName>
    <definedName name="WINTER_UT_F1">[1]Criteria!$A$22:$C$23</definedName>
    <definedName name="Winter_UT_GSR">[1]Criteria!$A$2:$C$3</definedName>
    <definedName name="WY_CET_PER1">[7]CRITERIA!$J$184:$Q$185</definedName>
    <definedName name="WY_CET_PER10">[7]CRITERIA!$CM$184:$CT$185</definedName>
    <definedName name="WY_CET_PER11">[7]CRITERIA!$CV$184:$DC$185</definedName>
    <definedName name="WY_CET_PER12">[7]CRITERIA!$DE$184:$DL$185</definedName>
    <definedName name="WY_CET_PER2">[7]CRITERIA!$S$184:$Z$185</definedName>
    <definedName name="WY_CET_PER3">[7]CRITERIA!$AB$184:$AI$185</definedName>
    <definedName name="WY_CET_PER4">[7]CRITERIA!$AK$184:$AR$185</definedName>
    <definedName name="WY_CET_PER5">[7]CRITERIA!$AT$184:$BA$185</definedName>
    <definedName name="WY_CET_PER6">[7]CRITERIA!$BC$184:$BJ$185</definedName>
    <definedName name="WY_CET_PER7">[7]CRITERIA!$BL$184:$BS$185</definedName>
    <definedName name="WY_CET_PER8">[7]CRITERIA!$BU$184:$CB$185</definedName>
    <definedName name="WY_CET_PER9">[7]CRITERIA!$CD$184:$CK$185</definedName>
    <definedName name="WY_CIS_PER1">[8]CRITERIA!$J$211:$Q$212</definedName>
    <definedName name="WY_CIS_PER10">[8]CRITERIA!$CM$211:$CT$212</definedName>
    <definedName name="WY_CIS_PER11">[8]CRITERIA!$CV$211:$DC$212</definedName>
    <definedName name="WY_CIS_PER12">[8]CRITERIA!$DE$211:$DL$212</definedName>
    <definedName name="WY_CIS_PER2">[8]CRITERIA!$S$211:$Z$212</definedName>
    <definedName name="WY_CIS_PER3">[8]CRITERIA!$AB$211:$AI$212</definedName>
    <definedName name="WY_CIS_PER4">[8]CRITERIA!$AK$211:$AR$212</definedName>
    <definedName name="WY_CIS_PER5">[8]CRITERIA!$AT$211:$BA$212</definedName>
    <definedName name="WY_CIS_PER6">[8]CRITERIA!$BC$211:$BJ$212</definedName>
    <definedName name="WY_CIS_PER7">[8]CRITERIA!$BL$211:$BS$212</definedName>
    <definedName name="WY_CIS_PER8">[8]CRITERIA!$BU$211:$CB$212</definedName>
    <definedName name="WY_CIS_PER9">[8]CRITERIA!$CD$211:$CK$212</definedName>
    <definedName name="WY_DSM_PER1">[7]CRITERIA!$J$187:$Q$188</definedName>
    <definedName name="WY_DSM_PER10">[7]CRITERIA!$CM$187:$CT$188</definedName>
    <definedName name="WY_DSM_PER11">[7]CRITERIA!$CV$187:$DC$188</definedName>
    <definedName name="WY_DSM_PER12">[7]CRITERIA!$DE$187:$DL$188</definedName>
    <definedName name="WY_DSM_PER2">[7]CRITERIA!$S$187:$Z$188</definedName>
    <definedName name="WY_DSM_PER3">[7]CRITERIA!$AB$187:$AI$188</definedName>
    <definedName name="WY_DSM_PER4">[7]CRITERIA!$AK$187:$AR$188</definedName>
    <definedName name="WY_DSM_PER5">[7]CRITERIA!$AT$187:$BA$188</definedName>
    <definedName name="WY_DSM_PER6">[7]CRITERIA!$BC$187:$BJ$188</definedName>
    <definedName name="WY_DSM_PER7">[7]CRITERIA!$BL$187:$BS$188</definedName>
    <definedName name="WY_DSM_PER8">[7]CRITERIA!$BU$187:$CB$188</definedName>
    <definedName name="WY_DSM_PER9">[7]CRITERIA!$CD$187:$CK$188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6" l="1"/>
  <c r="R49" i="11"/>
  <c r="R50" i="11"/>
  <c r="R60" i="11"/>
  <c r="N20" i="6"/>
  <c r="N22" i="6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AA35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P37" i="4"/>
  <c r="A18" i="7"/>
  <c r="A19" i="7"/>
  <c r="N4" i="17"/>
  <c r="N8" i="6"/>
  <c r="N7" i="6"/>
  <c r="N6" i="6"/>
  <c r="N5" i="6"/>
  <c r="N4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E2" i="17" l="1"/>
  <c r="F2" i="17" s="1"/>
  <c r="G2" i="17" s="1"/>
  <c r="H2" i="17" s="1"/>
  <c r="I2" i="17" s="1"/>
  <c r="J2" i="17" s="1"/>
  <c r="K2" i="17" s="1"/>
  <c r="L2" i="17" s="1"/>
  <c r="M2" i="17" s="1"/>
  <c r="D6" i="17"/>
  <c r="E6" i="17"/>
  <c r="F6" i="17"/>
  <c r="G6" i="17"/>
  <c r="H6" i="17"/>
  <c r="I6" i="17"/>
  <c r="J6" i="17"/>
  <c r="K6" i="17"/>
  <c r="L6" i="17"/>
  <c r="M6" i="17"/>
  <c r="C1" i="4"/>
  <c r="C2" i="4"/>
  <c r="C3" i="4"/>
  <c r="C4" i="4"/>
  <c r="N14" i="6" l="1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M14" i="4"/>
  <c r="M15" i="4" s="1"/>
  <c r="BC15" i="4" s="1"/>
  <c r="AP29" i="4" l="1"/>
  <c r="AX29" i="4"/>
  <c r="AH29" i="4"/>
  <c r="AO29" i="4"/>
  <c r="AQ29" i="4"/>
  <c r="AM29" i="4"/>
  <c r="AI29" i="4"/>
  <c r="AR29" i="4"/>
  <c r="AB29" i="4"/>
  <c r="AJ29" i="4"/>
  <c r="AC29" i="4"/>
  <c r="AK29" i="4"/>
  <c r="AG29" i="4"/>
  <c r="AS29" i="4"/>
  <c r="AT29" i="4"/>
  <c r="AD29" i="4"/>
  <c r="AL29" i="4"/>
  <c r="AU29" i="4"/>
  <c r="AE29" i="4"/>
  <c r="AA29" i="4"/>
  <c r="AN29" i="4"/>
  <c r="AV29" i="4"/>
  <c r="AF29" i="4"/>
  <c r="AW29" i="4"/>
  <c r="P29" i="4"/>
  <c r="X29" i="4"/>
  <c r="H29" i="4"/>
  <c r="Q29" i="4"/>
  <c r="I29" i="4"/>
  <c r="D29" i="4"/>
  <c r="R29" i="4"/>
  <c r="Z29" i="4"/>
  <c r="J29" i="4"/>
  <c r="S29" i="4"/>
  <c r="O29" i="4"/>
  <c r="K29" i="4"/>
  <c r="T29" i="4"/>
  <c r="L29" i="4"/>
  <c r="U29" i="4"/>
  <c r="E29" i="4"/>
  <c r="M29" i="4"/>
  <c r="V29" i="4"/>
  <c r="F29" i="4"/>
  <c r="N29" i="4"/>
  <c r="W29" i="4"/>
  <c r="G29" i="4"/>
  <c r="C29" i="4"/>
  <c r="Y29" i="4"/>
  <c r="R45" i="11"/>
  <c r="D39" i="10"/>
  <c r="C39" i="10"/>
  <c r="N11" i="17" l="1"/>
  <c r="O11" i="17"/>
  <c r="P11" i="17"/>
  <c r="Q11" i="17"/>
  <c r="R11" i="17"/>
  <c r="S11" i="17"/>
  <c r="T11" i="17"/>
  <c r="U11" i="17"/>
  <c r="V11" i="17"/>
  <c r="W11" i="17"/>
  <c r="X11" i="17"/>
  <c r="Y11" i="17"/>
  <c r="Z11" i="17"/>
  <c r="C23" i="16" l="1"/>
  <c r="D7" i="16"/>
  <c r="E7" i="16" s="1"/>
  <c r="F7" i="16" s="1"/>
  <c r="G7" i="16" s="1"/>
  <c r="H7" i="16" s="1"/>
  <c r="I7" i="16" s="1"/>
  <c r="J7" i="16" s="1"/>
  <c r="K7" i="16" s="1"/>
  <c r="L7" i="16" s="1"/>
  <c r="M7" i="16" s="1"/>
  <c r="N7" i="16" s="1"/>
  <c r="O7" i="16" s="1"/>
  <c r="P7" i="16" s="1"/>
  <c r="Q7" i="16" s="1"/>
  <c r="R7" i="16" s="1"/>
  <c r="S7" i="16" s="1"/>
  <c r="T7" i="16" s="1"/>
  <c r="U7" i="16" s="1"/>
  <c r="V7" i="16" s="1"/>
  <c r="W7" i="16" s="1"/>
  <c r="X7" i="16" s="1"/>
  <c r="Y7" i="16" s="1"/>
  <c r="Z7" i="16" s="1"/>
  <c r="AA7" i="16" s="1"/>
  <c r="AB7" i="16" s="1"/>
  <c r="AC7" i="16" s="1"/>
  <c r="AD7" i="16" s="1"/>
  <c r="AE7" i="16" s="1"/>
  <c r="AF7" i="16" s="1"/>
  <c r="AG7" i="16" s="1"/>
  <c r="AH7" i="16" s="1"/>
  <c r="AI7" i="16" s="1"/>
  <c r="AJ7" i="16" s="1"/>
  <c r="AK7" i="16" s="1"/>
  <c r="AL7" i="16" s="1"/>
  <c r="AM7" i="16" s="1"/>
  <c r="AN7" i="16" s="1"/>
  <c r="AO7" i="16" s="1"/>
  <c r="AP7" i="16" s="1"/>
  <c r="AQ7" i="16" s="1"/>
  <c r="AR7" i="16" s="1"/>
  <c r="AS7" i="16" s="1"/>
  <c r="AT7" i="16" s="1"/>
  <c r="AU7" i="16" s="1"/>
  <c r="AV7" i="16" s="1"/>
  <c r="AW7" i="16" s="1"/>
  <c r="AX7" i="16" s="1"/>
  <c r="AX23" i="16" s="1"/>
  <c r="C27" i="4"/>
  <c r="D7" i="4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  <c r="AJ7" i="4" s="1"/>
  <c r="AK7" i="4" s="1"/>
  <c r="AL7" i="4" s="1"/>
  <c r="AM7" i="4" s="1"/>
  <c r="AN7" i="4" s="1"/>
  <c r="AO7" i="4" s="1"/>
  <c r="AP7" i="4" s="1"/>
  <c r="AQ7" i="4" s="1"/>
  <c r="AR7" i="4" s="1"/>
  <c r="AS7" i="4" s="1"/>
  <c r="AT7" i="4" s="1"/>
  <c r="AU7" i="4" s="1"/>
  <c r="AV7" i="4" s="1"/>
  <c r="AW7" i="4" s="1"/>
  <c r="AX7" i="4" s="1"/>
  <c r="AX27" i="4" s="1"/>
  <c r="AG27" i="4" l="1"/>
  <c r="I27" i="4"/>
  <c r="AP23" i="16"/>
  <c r="AH23" i="16"/>
  <c r="Z23" i="16"/>
  <c r="R23" i="16"/>
  <c r="J23" i="16"/>
  <c r="AW27" i="4"/>
  <c r="AN27" i="4"/>
  <c r="AF27" i="4"/>
  <c r="X27" i="4"/>
  <c r="P27" i="4"/>
  <c r="H27" i="4"/>
  <c r="AW23" i="16"/>
  <c r="AO23" i="16"/>
  <c r="AG23" i="16"/>
  <c r="Y23" i="16"/>
  <c r="Q23" i="16"/>
  <c r="I23" i="16"/>
  <c r="AU27" i="4"/>
  <c r="AE27" i="4"/>
  <c r="G27" i="4"/>
  <c r="AV23" i="16"/>
  <c r="AN23" i="16"/>
  <c r="AF23" i="16"/>
  <c r="X23" i="16"/>
  <c r="P23" i="16"/>
  <c r="H23" i="16"/>
  <c r="Y27" i="4"/>
  <c r="O27" i="4"/>
  <c r="AD27" i="4"/>
  <c r="F27" i="4"/>
  <c r="AU23" i="16"/>
  <c r="AM23" i="16"/>
  <c r="AE23" i="16"/>
  <c r="W23" i="16"/>
  <c r="O23" i="16"/>
  <c r="G23" i="16"/>
  <c r="AV27" i="4"/>
  <c r="AM27" i="4"/>
  <c r="AT27" i="4"/>
  <c r="V27" i="4"/>
  <c r="AS27" i="4"/>
  <c r="AK27" i="4"/>
  <c r="AC27" i="4"/>
  <c r="U27" i="4"/>
  <c r="M27" i="4"/>
  <c r="E27" i="4"/>
  <c r="AT23" i="16"/>
  <c r="AL23" i="16"/>
  <c r="AD23" i="16"/>
  <c r="V23" i="16"/>
  <c r="N23" i="16"/>
  <c r="F23" i="16"/>
  <c r="AR27" i="4"/>
  <c r="AJ27" i="4"/>
  <c r="AB27" i="4"/>
  <c r="T27" i="4"/>
  <c r="L27" i="4"/>
  <c r="D27" i="4"/>
  <c r="AS23" i="16"/>
  <c r="AK23" i="16"/>
  <c r="AC23" i="16"/>
  <c r="U23" i="16"/>
  <c r="M23" i="16"/>
  <c r="E23" i="16"/>
  <c r="AR23" i="16"/>
  <c r="AJ23" i="16"/>
  <c r="AB23" i="16"/>
  <c r="T23" i="16"/>
  <c r="L23" i="16"/>
  <c r="D23" i="16"/>
  <c r="AO27" i="4"/>
  <c r="Q27" i="4"/>
  <c r="W27" i="4"/>
  <c r="AL27" i="4"/>
  <c r="N27" i="4"/>
  <c r="AQ27" i="4"/>
  <c r="AI27" i="4"/>
  <c r="AA27" i="4"/>
  <c r="S27" i="4"/>
  <c r="K27" i="4"/>
  <c r="AP27" i="4"/>
  <c r="AH27" i="4"/>
  <c r="Z27" i="4"/>
  <c r="R27" i="4"/>
  <c r="J27" i="4"/>
  <c r="AQ23" i="16"/>
  <c r="AI23" i="16"/>
  <c r="AA23" i="16"/>
  <c r="S23" i="16"/>
  <c r="K23" i="16"/>
  <c r="E8" i="10"/>
  <c r="I67" i="11" l="1"/>
  <c r="I60" i="11"/>
  <c r="I59" i="11"/>
  <c r="I58" i="11"/>
  <c r="I57" i="11"/>
  <c r="I56" i="11"/>
  <c r="I49" i="11"/>
  <c r="I48" i="11"/>
  <c r="I47" i="11"/>
  <c r="I46" i="11"/>
  <c r="I45" i="11"/>
  <c r="I38" i="11"/>
  <c r="I37" i="11"/>
  <c r="I36" i="11"/>
  <c r="I29" i="11"/>
  <c r="I28" i="11"/>
  <c r="I27" i="11"/>
  <c r="I25" i="11"/>
  <c r="I24" i="11"/>
  <c r="I23" i="11"/>
  <c r="I17" i="11"/>
  <c r="I11" i="11"/>
  <c r="I10" i="11"/>
  <c r="I8" i="11"/>
  <c r="I7" i="11"/>
  <c r="R7" i="11" l="1"/>
  <c r="N2" i="17" l="1"/>
  <c r="O2" i="17" s="1"/>
  <c r="P2" i="17" s="1"/>
  <c r="Q2" i="17" s="1"/>
  <c r="R2" i="17" s="1"/>
  <c r="S2" i="17" s="1"/>
  <c r="T2" i="17" s="1"/>
  <c r="U2" i="17" s="1"/>
  <c r="V2" i="17" s="1"/>
  <c r="W2" i="17" s="1"/>
  <c r="X2" i="17" s="1"/>
  <c r="Y2" i="17" s="1"/>
  <c r="Z2" i="17" s="1"/>
  <c r="AA2" i="17" s="1"/>
  <c r="AB2" i="17" s="1"/>
  <c r="AC2" i="17" s="1"/>
  <c r="AD2" i="17" s="1"/>
  <c r="AE2" i="17" s="1"/>
  <c r="AF2" i="17" s="1"/>
  <c r="AG2" i="17" s="1"/>
  <c r="AH2" i="17" s="1"/>
  <c r="AI2" i="17" s="1"/>
  <c r="AJ2" i="17" s="1"/>
  <c r="AK2" i="17" s="1"/>
  <c r="AL2" i="17" s="1"/>
  <c r="AM2" i="17" s="1"/>
  <c r="AN2" i="17" s="1"/>
  <c r="AO2" i="17" s="1"/>
  <c r="AP2" i="17" s="1"/>
  <c r="AQ2" i="17" s="1"/>
  <c r="AR2" i="17" s="1"/>
  <c r="AS2" i="17" s="1"/>
  <c r="AT2" i="17" s="1"/>
  <c r="AU2" i="17" s="1"/>
  <c r="AV2" i="17" s="1"/>
  <c r="AW2" i="17" s="1"/>
  <c r="AX2" i="17" s="1"/>
  <c r="AY2" i="17" s="1"/>
  <c r="E17" i="8" l="1"/>
  <c r="AY11" i="17" l="1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AY6" i="17" l="1"/>
  <c r="AX6" i="17"/>
  <c r="AW6" i="17"/>
  <c r="AV6" i="17"/>
  <c r="AU6" i="17"/>
  <c r="AT6" i="17"/>
  <c r="AS6" i="17"/>
  <c r="AR6" i="17"/>
  <c r="AQ6" i="17"/>
  <c r="AP6" i="17"/>
  <c r="AO6" i="17"/>
  <c r="AN6" i="17"/>
  <c r="AM6" i="17"/>
  <c r="AK6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AL4" i="17"/>
  <c r="AL6" i="17" s="1"/>
  <c r="AY11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E8" i="16"/>
  <c r="BD8" i="16"/>
  <c r="BC8" i="16"/>
  <c r="AY8" i="16"/>
  <c r="N4" i="16"/>
  <c r="M4" i="16"/>
  <c r="L4" i="16"/>
  <c r="K4" i="16"/>
  <c r="J4" i="16"/>
  <c r="I4" i="16"/>
  <c r="H4" i="16"/>
  <c r="G4" i="16"/>
  <c r="F4" i="16"/>
  <c r="E4" i="16"/>
  <c r="D4" i="16"/>
  <c r="C4" i="16"/>
  <c r="N3" i="16"/>
  <c r="M3" i="16"/>
  <c r="L3" i="16"/>
  <c r="K3" i="16"/>
  <c r="J3" i="16"/>
  <c r="I3" i="16"/>
  <c r="H3" i="16"/>
  <c r="G3" i="16"/>
  <c r="F3" i="16"/>
  <c r="E3" i="16"/>
  <c r="D3" i="16"/>
  <c r="C3" i="16"/>
  <c r="N2" i="16"/>
  <c r="M2" i="16"/>
  <c r="L2" i="16"/>
  <c r="K2" i="16"/>
  <c r="J2" i="16"/>
  <c r="I2" i="16"/>
  <c r="H2" i="16"/>
  <c r="G2" i="16"/>
  <c r="F2" i="16"/>
  <c r="E2" i="16"/>
  <c r="D2" i="16"/>
  <c r="C2" i="16"/>
  <c r="N1" i="16"/>
  <c r="M1" i="16"/>
  <c r="L1" i="16"/>
  <c r="K1" i="16"/>
  <c r="J1" i="16"/>
  <c r="I1" i="16"/>
  <c r="H1" i="16"/>
  <c r="G1" i="16"/>
  <c r="F1" i="16"/>
  <c r="E1" i="16"/>
  <c r="D1" i="16"/>
  <c r="C1" i="16"/>
  <c r="BE10" i="16" l="1"/>
  <c r="BC10" i="16"/>
  <c r="C28" i="16"/>
  <c r="BD10" i="16"/>
  <c r="AY10" i="16"/>
  <c r="P32" i="16"/>
  <c r="T25" i="16" l="1"/>
  <c r="T27" i="16" s="1"/>
  <c r="U13" i="17" s="1"/>
  <c r="AL25" i="16"/>
  <c r="AL27" i="16" s="1"/>
  <c r="AM13" i="17" s="1"/>
  <c r="AE25" i="16"/>
  <c r="AE27" i="16" s="1"/>
  <c r="AF13" i="17" s="1"/>
  <c r="AR25" i="16"/>
  <c r="AR27" i="16" s="1"/>
  <c r="AS13" i="17" s="1"/>
  <c r="AB25" i="16"/>
  <c r="AJ25" i="16"/>
  <c r="AJ27" i="16" s="1"/>
  <c r="AK13" i="17" s="1"/>
  <c r="AC25" i="16"/>
  <c r="AC27" i="16" s="1"/>
  <c r="AD13" i="17" s="1"/>
  <c r="AT25" i="16"/>
  <c r="AA25" i="16"/>
  <c r="AS25" i="16"/>
  <c r="AS27" i="16" s="1"/>
  <c r="AT13" i="17" s="1"/>
  <c r="AN25" i="16"/>
  <c r="AV25" i="16"/>
  <c r="AV27" i="16" s="1"/>
  <c r="AW13" i="17" s="1"/>
  <c r="AF25" i="16"/>
  <c r="AO25" i="16"/>
  <c r="AO27" i="16" s="1"/>
  <c r="AP13" i="17" s="1"/>
  <c r="AW25" i="16"/>
  <c r="AW27" i="16" s="1"/>
  <c r="AX13" i="17" s="1"/>
  <c r="AG25" i="16"/>
  <c r="AG27" i="16" s="1"/>
  <c r="AH13" i="17" s="1"/>
  <c r="AP25" i="16"/>
  <c r="AP27" i="16" s="1"/>
  <c r="AQ13" i="17" s="1"/>
  <c r="AX25" i="16"/>
  <c r="AX27" i="16" s="1"/>
  <c r="AY13" i="17" s="1"/>
  <c r="AH25" i="16"/>
  <c r="AQ25" i="16"/>
  <c r="AM25" i="16"/>
  <c r="AI25" i="16"/>
  <c r="AI27" i="16" s="1"/>
  <c r="AJ13" i="17" s="1"/>
  <c r="AK25" i="16"/>
  <c r="AK27" i="16" s="1"/>
  <c r="AL13" i="17" s="1"/>
  <c r="AD25" i="16"/>
  <c r="AU25" i="16"/>
  <c r="W25" i="16"/>
  <c r="W27" i="16" s="1"/>
  <c r="X13" i="17" s="1"/>
  <c r="D25" i="16"/>
  <c r="D27" i="16" s="1"/>
  <c r="S25" i="16"/>
  <c r="S27" i="16" s="1"/>
  <c r="V25" i="16"/>
  <c r="V27" i="16" s="1"/>
  <c r="H25" i="16"/>
  <c r="H27" i="16" s="1"/>
  <c r="N25" i="16"/>
  <c r="N27" i="16" s="1"/>
  <c r="O13" i="17" s="1"/>
  <c r="I25" i="16"/>
  <c r="I27" i="16" s="1"/>
  <c r="R25" i="16"/>
  <c r="R27" i="16" s="1"/>
  <c r="S13" i="17" s="1"/>
  <c r="J25" i="16"/>
  <c r="J27" i="16" s="1"/>
  <c r="O25" i="16"/>
  <c r="O27" i="16" s="1"/>
  <c r="E25" i="16"/>
  <c r="E27" i="16" s="1"/>
  <c r="Z25" i="16"/>
  <c r="Z27" i="16" s="1"/>
  <c r="AA13" i="17" s="1"/>
  <c r="M25" i="16"/>
  <c r="M27" i="16" s="1"/>
  <c r="N13" i="17" s="1"/>
  <c r="X25" i="16"/>
  <c r="X27" i="16" s="1"/>
  <c r="Y13" i="17" s="1"/>
  <c r="Q25" i="16"/>
  <c r="Q27" i="16" s="1"/>
  <c r="C25" i="16"/>
  <c r="C27" i="16" s="1"/>
  <c r="C29" i="16" s="1"/>
  <c r="C31" i="16" s="1"/>
  <c r="C35" i="16" s="1"/>
  <c r="L25" i="16"/>
  <c r="L27" i="16" s="1"/>
  <c r="U25" i="16"/>
  <c r="U27" i="16" s="1"/>
  <c r="V13" i="17" s="1"/>
  <c r="BC11" i="16"/>
  <c r="G25" i="16"/>
  <c r="G27" i="16" s="1"/>
  <c r="P25" i="16"/>
  <c r="P27" i="16" s="1"/>
  <c r="Q13" i="17" s="1"/>
  <c r="Y25" i="16"/>
  <c r="Y27" i="16" s="1"/>
  <c r="Z13" i="17" s="1"/>
  <c r="F25" i="16"/>
  <c r="F27" i="16" s="1"/>
  <c r="K25" i="16"/>
  <c r="K27" i="16" s="1"/>
  <c r="AB27" i="16"/>
  <c r="AC13" i="17" s="1"/>
  <c r="T13" i="17"/>
  <c r="AH27" i="16"/>
  <c r="AI13" i="17" s="1"/>
  <c r="AT27" i="16"/>
  <c r="AU13" i="17" s="1"/>
  <c r="AQ27" i="16"/>
  <c r="AR13" i="17" s="1"/>
  <c r="AN27" i="16"/>
  <c r="AO13" i="17" s="1"/>
  <c r="W13" i="17"/>
  <c r="P13" i="17"/>
  <c r="R13" i="17"/>
  <c r="AD27" i="16"/>
  <c r="AE13" i="17" s="1"/>
  <c r="AA27" i="16"/>
  <c r="AB13" i="17" s="1"/>
  <c r="AU27" i="16"/>
  <c r="AV13" i="17" s="1"/>
  <c r="AM27" i="16"/>
  <c r="AN13" i="17" s="1"/>
  <c r="AF27" i="16"/>
  <c r="AG13" i="17" s="1"/>
  <c r="D28" i="16"/>
  <c r="Q32" i="16"/>
  <c r="D29" i="16" l="1"/>
  <c r="D31" i="16" s="1"/>
  <c r="D35" i="16"/>
  <c r="R32" i="16"/>
  <c r="E28" i="16" l="1"/>
  <c r="E29" i="16" s="1"/>
  <c r="E31" i="16" s="1"/>
  <c r="E35" i="16" s="1"/>
  <c r="S32" i="16"/>
  <c r="F28" i="16" l="1"/>
  <c r="F29" i="16" s="1"/>
  <c r="F31" i="16" s="1"/>
  <c r="F35" i="16" s="1"/>
  <c r="T32" i="16"/>
  <c r="G28" i="16" l="1"/>
  <c r="G29" i="16" s="1"/>
  <c r="G31" i="16" s="1"/>
  <c r="G35" i="16" s="1"/>
  <c r="U32" i="16"/>
  <c r="H28" i="16" l="1"/>
  <c r="H29" i="16" s="1"/>
  <c r="H31" i="16" s="1"/>
  <c r="H35" i="16" s="1"/>
  <c r="V32" i="16"/>
  <c r="I28" i="16" l="1"/>
  <c r="I29" i="16" s="1"/>
  <c r="I31" i="16" s="1"/>
  <c r="I35" i="16" s="1"/>
  <c r="W32" i="16"/>
  <c r="J28" i="16" l="1"/>
  <c r="J29" i="16" s="1"/>
  <c r="J31" i="16" s="1"/>
  <c r="J35" i="16" s="1"/>
  <c r="X32" i="16"/>
  <c r="K28" i="16" l="1"/>
  <c r="K29" i="16" s="1"/>
  <c r="K31" i="16" s="1"/>
  <c r="K35" i="16" s="1"/>
  <c r="N10" i="17"/>
  <c r="N9" i="17"/>
  <c r="Y32" i="16"/>
  <c r="L28" i="16" l="1"/>
  <c r="L29" i="16" s="1"/>
  <c r="L31" i="16" s="1"/>
  <c r="L35" i="16" s="1"/>
  <c r="N12" i="17"/>
  <c r="N17" i="17" s="1"/>
  <c r="O10" i="17"/>
  <c r="O9" i="17"/>
  <c r="Z32" i="16"/>
  <c r="N14" i="17" l="1"/>
  <c r="M28" i="16"/>
  <c r="M29" i="16" s="1"/>
  <c r="M31" i="16" s="1"/>
  <c r="M35" i="16" s="1"/>
  <c r="P9" i="17"/>
  <c r="O12" i="17"/>
  <c r="O17" i="17" s="1"/>
  <c r="P10" i="17"/>
  <c r="AA32" i="16"/>
  <c r="O14" i="17" l="1"/>
  <c r="N28" i="16"/>
  <c r="N29" i="16" s="1"/>
  <c r="N31" i="16" s="1"/>
  <c r="N35" i="16" s="1"/>
  <c r="Q9" i="17"/>
  <c r="P12" i="17"/>
  <c r="Q10" i="17"/>
  <c r="Z33" i="16"/>
  <c r="U33" i="16"/>
  <c r="P33" i="16"/>
  <c r="Y33" i="16"/>
  <c r="X33" i="16"/>
  <c r="V33" i="16"/>
  <c r="W33" i="16"/>
  <c r="S33" i="16"/>
  <c r="T33" i="16"/>
  <c r="Q33" i="16"/>
  <c r="R33" i="16"/>
  <c r="AA33" i="16"/>
  <c r="P17" i="17" l="1"/>
  <c r="P14" i="17"/>
  <c r="O28" i="16"/>
  <c r="O29" i="16" s="1"/>
  <c r="O31" i="16" s="1"/>
  <c r="O35" i="16" s="1"/>
  <c r="R10" i="17"/>
  <c r="Q12" i="17"/>
  <c r="R9" i="17"/>
  <c r="Q17" i="17" l="1"/>
  <c r="Q14" i="17"/>
  <c r="P28" i="16"/>
  <c r="P29" i="16" s="1"/>
  <c r="P31" i="16" s="1"/>
  <c r="R12" i="17"/>
  <c r="S10" i="17"/>
  <c r="S9" i="17"/>
  <c r="R17" i="17" l="1"/>
  <c r="R14" i="17"/>
  <c r="Q28" i="16"/>
  <c r="Q29" i="16" s="1"/>
  <c r="Q31" i="16" s="1"/>
  <c r="P35" i="16"/>
  <c r="T9" i="17"/>
  <c r="S12" i="17"/>
  <c r="T10" i="17"/>
  <c r="S17" i="17" l="1"/>
  <c r="Q35" i="16"/>
  <c r="S14" i="17"/>
  <c r="R28" i="16"/>
  <c r="R29" i="16" s="1"/>
  <c r="R31" i="16" s="1"/>
  <c r="T12" i="17"/>
  <c r="U10" i="17"/>
  <c r="U9" i="17"/>
  <c r="T17" i="17" l="1"/>
  <c r="T14" i="17"/>
  <c r="S28" i="16"/>
  <c r="S29" i="16" s="1"/>
  <c r="S31" i="16" s="1"/>
  <c r="R35" i="16"/>
  <c r="V9" i="17"/>
  <c r="U12" i="17"/>
  <c r="V10" i="17"/>
  <c r="U17" i="17" l="1"/>
  <c r="S35" i="16"/>
  <c r="U14" i="17"/>
  <c r="T28" i="16"/>
  <c r="T29" i="16" s="1"/>
  <c r="T31" i="16" s="1"/>
  <c r="W10" i="17"/>
  <c r="V12" i="17"/>
  <c r="W9" i="17"/>
  <c r="V17" i="17" l="1"/>
  <c r="T35" i="16"/>
  <c r="V14" i="17"/>
  <c r="U28" i="16"/>
  <c r="U29" i="16" s="1"/>
  <c r="U31" i="16" s="1"/>
  <c r="X9" i="17"/>
  <c r="W12" i="17"/>
  <c r="W17" i="17" s="1"/>
  <c r="X10" i="17"/>
  <c r="W14" i="17" l="1"/>
  <c r="V28" i="16"/>
  <c r="V29" i="16" s="1"/>
  <c r="V31" i="16" s="1"/>
  <c r="U35" i="16"/>
  <c r="Y10" i="17"/>
  <c r="X12" i="17"/>
  <c r="X17" i="17" s="1"/>
  <c r="Y9" i="17"/>
  <c r="V35" i="16" l="1"/>
  <c r="X14" i="17"/>
  <c r="W28" i="16"/>
  <c r="W29" i="16" s="1"/>
  <c r="W31" i="16" s="1"/>
  <c r="Z10" i="17"/>
  <c r="Y12" i="17"/>
  <c r="Y17" i="17" s="1"/>
  <c r="Z9" i="17"/>
  <c r="N21" i="17"/>
  <c r="W35" i="16" l="1"/>
  <c r="Y14" i="17"/>
  <c r="X28" i="16"/>
  <c r="X29" i="16" s="1"/>
  <c r="X31" i="16" s="1"/>
  <c r="AA9" i="17"/>
  <c r="O20" i="17"/>
  <c r="O21" i="17" s="1"/>
  <c r="Z12" i="17"/>
  <c r="Z17" i="17" s="1"/>
  <c r="AA10" i="17"/>
  <c r="N18" i="17" l="1"/>
  <c r="Z14" i="17"/>
  <c r="Y28" i="16"/>
  <c r="Y29" i="16" s="1"/>
  <c r="Y31" i="16" s="1"/>
  <c r="X35" i="16"/>
  <c r="N19" i="17"/>
  <c r="AA12" i="17"/>
  <c r="AB10" i="17"/>
  <c r="AB9" i="17"/>
  <c r="P20" i="17"/>
  <c r="P21" i="17" s="1"/>
  <c r="AA17" i="17" l="1"/>
  <c r="H15" i="7"/>
  <c r="Y35" i="16"/>
  <c r="AA14" i="17"/>
  <c r="Z28" i="16"/>
  <c r="Z29" i="16" s="1"/>
  <c r="Z31" i="16" s="1"/>
  <c r="AC9" i="17"/>
  <c r="Q20" i="17"/>
  <c r="Q21" i="17" s="1"/>
  <c r="O18" i="17"/>
  <c r="AC10" i="17"/>
  <c r="AB12" i="17"/>
  <c r="O19" i="17"/>
  <c r="AB17" i="17" l="1"/>
  <c r="AB14" i="17"/>
  <c r="AA28" i="16"/>
  <c r="AA29" i="16" s="1"/>
  <c r="AA31" i="16" s="1"/>
  <c r="P18" i="17"/>
  <c r="Z35" i="16"/>
  <c r="AD10" i="17"/>
  <c r="AC12" i="17"/>
  <c r="P19" i="17"/>
  <c r="AD9" i="17"/>
  <c r="R20" i="17"/>
  <c r="R21" i="17" s="1"/>
  <c r="AC17" i="17" l="1"/>
  <c r="AC14" i="17"/>
  <c r="AC15" i="17" s="1"/>
  <c r="AB28" i="16"/>
  <c r="AB29" i="16" s="1"/>
  <c r="AB31" i="16" s="1"/>
  <c r="AB34" i="16" s="1"/>
  <c r="AD12" i="17"/>
  <c r="AE10" i="17"/>
  <c r="AE9" i="17"/>
  <c r="S20" i="17"/>
  <c r="S21" i="17" s="1"/>
  <c r="Q19" i="17"/>
  <c r="H10" i="7" s="1"/>
  <c r="AD17" i="17" l="1"/>
  <c r="AB35" i="16"/>
  <c r="AD14" i="17"/>
  <c r="AD15" i="17" s="1"/>
  <c r="AC28" i="16"/>
  <c r="AC29" i="16" s="1"/>
  <c r="AC31" i="16" s="1"/>
  <c r="AC34" i="16" s="1"/>
  <c r="R19" i="17"/>
  <c r="AF9" i="17"/>
  <c r="T20" i="17"/>
  <c r="T21" i="17" s="1"/>
  <c r="AE12" i="17"/>
  <c r="AE17" i="17" s="1"/>
  <c r="AF10" i="17"/>
  <c r="AE14" i="17" l="1"/>
  <c r="AE15" i="17" s="1"/>
  <c r="AD28" i="16"/>
  <c r="AD29" i="16" s="1"/>
  <c r="AD31" i="16" s="1"/>
  <c r="AD34" i="16" s="1"/>
  <c r="Q18" i="17"/>
  <c r="H11" i="7" s="1"/>
  <c r="AC35" i="16"/>
  <c r="AC16" i="17"/>
  <c r="AG9" i="17"/>
  <c r="U20" i="17"/>
  <c r="U21" i="17" s="1"/>
  <c r="AF12" i="17"/>
  <c r="AF17" i="17" s="1"/>
  <c r="AG10" i="17"/>
  <c r="S19" i="17"/>
  <c r="R18" i="17" l="1"/>
  <c r="AF14" i="17"/>
  <c r="AF15" i="17" s="1"/>
  <c r="AE28" i="16"/>
  <c r="AE29" i="16" s="1"/>
  <c r="AE31" i="16" s="1"/>
  <c r="AE34" i="16" s="1"/>
  <c r="AD35" i="16"/>
  <c r="AD16" i="17"/>
  <c r="AH9" i="17"/>
  <c r="V20" i="17"/>
  <c r="V21" i="17" s="1"/>
  <c r="T19" i="17"/>
  <c r="AH10" i="17"/>
  <c r="AG12" i="17"/>
  <c r="AG17" i="17" s="1"/>
  <c r="S18" i="17" l="1"/>
  <c r="AG14" i="17"/>
  <c r="AG15" i="17" s="1"/>
  <c r="AF28" i="16"/>
  <c r="AF29" i="16" s="1"/>
  <c r="AF31" i="16" s="1"/>
  <c r="AF34" i="16" s="1"/>
  <c r="AE35" i="16"/>
  <c r="AE16" i="17"/>
  <c r="U19" i="17"/>
  <c r="AH12" i="17"/>
  <c r="AH17" i="17" s="1"/>
  <c r="AI10" i="17"/>
  <c r="AI9" i="17"/>
  <c r="W20" i="17"/>
  <c r="W21" i="17" s="1"/>
  <c r="T18" i="17" l="1"/>
  <c r="AH14" i="17"/>
  <c r="AH15" i="17" s="1"/>
  <c r="AG28" i="16"/>
  <c r="AG29" i="16" s="1"/>
  <c r="AG31" i="16" s="1"/>
  <c r="AG34" i="16" s="1"/>
  <c r="AF35" i="16"/>
  <c r="AF16" i="17"/>
  <c r="AJ9" i="17"/>
  <c r="X20" i="17"/>
  <c r="X21" i="17" s="1"/>
  <c r="V19" i="17"/>
  <c r="AI12" i="17"/>
  <c r="AI17" i="17" s="1"/>
  <c r="AJ10" i="17"/>
  <c r="U18" i="17" l="1"/>
  <c r="AI14" i="17"/>
  <c r="AI15" i="17" s="1"/>
  <c r="AH28" i="16"/>
  <c r="AH29" i="16" s="1"/>
  <c r="AH31" i="16" s="1"/>
  <c r="AH34" i="16" s="1"/>
  <c r="AG35" i="16"/>
  <c r="AG16" i="17"/>
  <c r="W19" i="17"/>
  <c r="AK9" i="17"/>
  <c r="Y20" i="17"/>
  <c r="Y21" i="17" s="1"/>
  <c r="AJ12" i="17"/>
  <c r="AJ17" i="17" s="1"/>
  <c r="AK10" i="17"/>
  <c r="V18" i="17" l="1"/>
  <c r="AJ14" i="17"/>
  <c r="AJ15" i="17" s="1"/>
  <c r="AI28" i="16"/>
  <c r="AI29" i="16" s="1"/>
  <c r="AI31" i="16" s="1"/>
  <c r="AI34" i="16" s="1"/>
  <c r="AH35" i="16"/>
  <c r="AH16" i="17"/>
  <c r="AK12" i="17"/>
  <c r="AK17" i="17" s="1"/>
  <c r="AL10" i="17"/>
  <c r="AL9" i="17"/>
  <c r="Z20" i="17"/>
  <c r="Z21" i="17" s="1"/>
  <c r="X19" i="17"/>
  <c r="W18" i="17" l="1"/>
  <c r="AK14" i="17"/>
  <c r="AK15" i="17" s="1"/>
  <c r="AJ28" i="16"/>
  <c r="AJ29" i="16" s="1"/>
  <c r="AJ31" i="16" s="1"/>
  <c r="AJ34" i="16" s="1"/>
  <c r="AI35" i="16"/>
  <c r="AI16" i="17"/>
  <c r="AM9" i="17"/>
  <c r="AA20" i="17"/>
  <c r="AA21" i="17" s="1"/>
  <c r="AL12" i="17"/>
  <c r="AL17" i="17" s="1"/>
  <c r="AM10" i="17"/>
  <c r="Y19" i="17"/>
  <c r="X18" i="17" l="1"/>
  <c r="AJ35" i="16"/>
  <c r="AJ16" i="17"/>
  <c r="AL14" i="17"/>
  <c r="AL15" i="17" s="1"/>
  <c r="AK28" i="16"/>
  <c r="AK29" i="16" s="1"/>
  <c r="AK31" i="16" s="1"/>
  <c r="AM12" i="17"/>
  <c r="AM17" i="17" s="1"/>
  <c r="AN10" i="17"/>
  <c r="Z19" i="17"/>
  <c r="AN9" i="17"/>
  <c r="AB20" i="17"/>
  <c r="AB21" i="17" s="1"/>
  <c r="AK16" i="17" l="1"/>
  <c r="Z18" i="17" s="1"/>
  <c r="Y18" i="17"/>
  <c r="AM14" i="17"/>
  <c r="AM15" i="17" s="1"/>
  <c r="AL28" i="16"/>
  <c r="AL29" i="16" s="1"/>
  <c r="AL31" i="16" s="1"/>
  <c r="AK34" i="16"/>
  <c r="AK35" i="16"/>
  <c r="AA19" i="17"/>
  <c r="AO9" i="17"/>
  <c r="AC20" i="17"/>
  <c r="AC21" i="17" s="1"/>
  <c r="AO10" i="17"/>
  <c r="AN12" i="17"/>
  <c r="AN17" i="17" s="1"/>
  <c r="AN14" i="17" l="1"/>
  <c r="AN15" i="17" s="1"/>
  <c r="AM28" i="16"/>
  <c r="AM29" i="16" s="1"/>
  <c r="AM31" i="16" s="1"/>
  <c r="AM34" i="16" s="1"/>
  <c r="AL35" i="16"/>
  <c r="AL16" i="17"/>
  <c r="AP9" i="17"/>
  <c r="AD20" i="17"/>
  <c r="AD21" i="17" s="1"/>
  <c r="AB19" i="17"/>
  <c r="AP10" i="17"/>
  <c r="AO12" i="17"/>
  <c r="AO17" i="17" s="1"/>
  <c r="AO14" i="17" l="1"/>
  <c r="AO15" i="17" s="1"/>
  <c r="AN28" i="16"/>
  <c r="AN29" i="16" s="1"/>
  <c r="AN31" i="16" s="1"/>
  <c r="AN34" i="16" s="1"/>
  <c r="AM16" i="17"/>
  <c r="AA18" i="17"/>
  <c r="AM35" i="16"/>
  <c r="AQ9" i="17"/>
  <c r="AE20" i="17"/>
  <c r="AE21" i="17" s="1"/>
  <c r="AC19" i="17"/>
  <c r="AP12" i="17"/>
  <c r="AP17" i="17" s="1"/>
  <c r="AQ10" i="17"/>
  <c r="AN35" i="16" l="1"/>
  <c r="AP14" i="17"/>
  <c r="AP15" i="17" s="1"/>
  <c r="AO28" i="16"/>
  <c r="AO29" i="16" s="1"/>
  <c r="AO31" i="16" s="1"/>
  <c r="AO34" i="16" s="1"/>
  <c r="AN16" i="17"/>
  <c r="AB18" i="17"/>
  <c r="AD19" i="17"/>
  <c r="AQ12" i="17"/>
  <c r="AQ17" i="17" s="1"/>
  <c r="AR10" i="17"/>
  <c r="AR9" i="17"/>
  <c r="AF20" i="17"/>
  <c r="AF21" i="17" s="1"/>
  <c r="AO35" i="16" l="1"/>
  <c r="AO16" i="17"/>
  <c r="AC18" i="17"/>
  <c r="AQ14" i="17"/>
  <c r="AQ15" i="17" s="1"/>
  <c r="AP28" i="16"/>
  <c r="AP29" i="16" s="1"/>
  <c r="AP31" i="16" s="1"/>
  <c r="AP34" i="16" s="1"/>
  <c r="AS9" i="17"/>
  <c r="AG20" i="17"/>
  <c r="AG21" i="17" s="1"/>
  <c r="AE19" i="17"/>
  <c r="AS10" i="17"/>
  <c r="AR12" i="17"/>
  <c r="AR17" i="17" s="1"/>
  <c r="AR14" i="17" l="1"/>
  <c r="AR15" i="17" s="1"/>
  <c r="AQ28" i="16"/>
  <c r="AQ29" i="16" s="1"/>
  <c r="AQ31" i="16" s="1"/>
  <c r="AQ34" i="16" s="1"/>
  <c r="AP16" i="17"/>
  <c r="AD18" i="17"/>
  <c r="AP35" i="16"/>
  <c r="AF19" i="17"/>
  <c r="AT10" i="17"/>
  <c r="AS12" i="17"/>
  <c r="AS17" i="17" s="1"/>
  <c r="AT9" i="17"/>
  <c r="AH20" i="17"/>
  <c r="AH21" i="17" s="1"/>
  <c r="AQ16" i="17" l="1"/>
  <c r="AR16" i="17" s="1"/>
  <c r="AQ35" i="16"/>
  <c r="AS14" i="17"/>
  <c r="AS15" i="17" s="1"/>
  <c r="AR28" i="16"/>
  <c r="AR29" i="16" s="1"/>
  <c r="AR31" i="16" s="1"/>
  <c r="AR34" i="16" s="1"/>
  <c r="AE18" i="17"/>
  <c r="AU9" i="17"/>
  <c r="AI20" i="17"/>
  <c r="AI21" i="17" s="1"/>
  <c r="AG19" i="17"/>
  <c r="AT12" i="17"/>
  <c r="AT17" i="17" s="1"/>
  <c r="AU10" i="17"/>
  <c r="AG18" i="17" l="1"/>
  <c r="AS16" i="17"/>
  <c r="AF18" i="17"/>
  <c r="AR35" i="16"/>
  <c r="AT14" i="17"/>
  <c r="AT15" i="17" s="1"/>
  <c r="AS28" i="16"/>
  <c r="AS29" i="16" s="1"/>
  <c r="AS31" i="16" s="1"/>
  <c r="AS34" i="16" s="1"/>
  <c r="AH19" i="17"/>
  <c r="AU12" i="17"/>
  <c r="AU17" i="17" s="1"/>
  <c r="AV10" i="17"/>
  <c r="AV9" i="17"/>
  <c r="AJ20" i="17"/>
  <c r="AJ21" i="17" s="1"/>
  <c r="AT16" i="17" l="1"/>
  <c r="AI18" i="17" s="1"/>
  <c r="AH18" i="17"/>
  <c r="AU14" i="17"/>
  <c r="AU15" i="17" s="1"/>
  <c r="AT28" i="16"/>
  <c r="AT29" i="16" s="1"/>
  <c r="AT31" i="16" s="1"/>
  <c r="AT34" i="16" s="1"/>
  <c r="AS35" i="16"/>
  <c r="AW9" i="17"/>
  <c r="AK20" i="17"/>
  <c r="AK21" i="17" s="1"/>
  <c r="AI19" i="17"/>
  <c r="AV12" i="17"/>
  <c r="AV17" i="17" s="1"/>
  <c r="AW10" i="17"/>
  <c r="AU16" i="17" l="1"/>
  <c r="AJ18" i="17" s="1"/>
  <c r="H7" i="7"/>
  <c r="H9" i="7" s="1"/>
  <c r="AT35" i="16"/>
  <c r="AV14" i="17"/>
  <c r="AV15" i="17" s="1"/>
  <c r="AU28" i="16"/>
  <c r="AU29" i="16" s="1"/>
  <c r="AU31" i="16" s="1"/>
  <c r="AU34" i="16" s="1"/>
  <c r="AJ19" i="17"/>
  <c r="AX10" i="17"/>
  <c r="AW12" i="17"/>
  <c r="AW17" i="17" s="1"/>
  <c r="AX9" i="17"/>
  <c r="AL20" i="17"/>
  <c r="AL21" i="17" s="1"/>
  <c r="AV16" i="17" l="1"/>
  <c r="AK18" i="17" s="1"/>
  <c r="AU35" i="16"/>
  <c r="AW14" i="17"/>
  <c r="AW15" i="17" s="1"/>
  <c r="AV28" i="16"/>
  <c r="AV29" i="16" s="1"/>
  <c r="AV31" i="16" s="1"/>
  <c r="AV34" i="16" s="1"/>
  <c r="AY9" i="17"/>
  <c r="AV20" i="17" s="1"/>
  <c r="AV21" i="17" s="1"/>
  <c r="AM20" i="17"/>
  <c r="AM21" i="17" s="1"/>
  <c r="AK19" i="17"/>
  <c r="AX12" i="17"/>
  <c r="AX17" i="17" s="1"/>
  <c r="AY10" i="17"/>
  <c r="AY12" i="17" s="1"/>
  <c r="AW16" i="17" l="1"/>
  <c r="AL18" i="17" s="1"/>
  <c r="AY17" i="17"/>
  <c r="AX20" i="17"/>
  <c r="AX21" i="17" s="1"/>
  <c r="AW20" i="17"/>
  <c r="AW21" i="17" s="1"/>
  <c r="AU20" i="17"/>
  <c r="AU21" i="17" s="1"/>
  <c r="AN20" i="17"/>
  <c r="AN21" i="17" s="1"/>
  <c r="AO20" i="17"/>
  <c r="AO21" i="17" s="1"/>
  <c r="AP20" i="17"/>
  <c r="AP21" i="17" s="1"/>
  <c r="AQ20" i="17"/>
  <c r="AQ21" i="17" s="1"/>
  <c r="AT20" i="17"/>
  <c r="AT21" i="17" s="1"/>
  <c r="AR20" i="17"/>
  <c r="AR21" i="17" s="1"/>
  <c r="AS20" i="17"/>
  <c r="AS21" i="17" s="1"/>
  <c r="AY20" i="17"/>
  <c r="AY21" i="17" s="1"/>
  <c r="AX14" i="17"/>
  <c r="AX15" i="17" s="1"/>
  <c r="AW28" i="16"/>
  <c r="AW29" i="16" s="1"/>
  <c r="AW31" i="16" s="1"/>
  <c r="AW34" i="16" s="1"/>
  <c r="AY14" i="17"/>
  <c r="AY15" i="17" s="1"/>
  <c r="AX28" i="16"/>
  <c r="AX29" i="16" s="1"/>
  <c r="AX31" i="16" s="1"/>
  <c r="AX34" i="16" s="1"/>
  <c r="AV35" i="16"/>
  <c r="AL19" i="17"/>
  <c r="AX16" i="17" l="1"/>
  <c r="AY16" i="17" s="1"/>
  <c r="AT18" i="17" s="1"/>
  <c r="AW35" i="16"/>
  <c r="AX35" i="16" s="1"/>
  <c r="AY19" i="17"/>
  <c r="AM19" i="17"/>
  <c r="AM18" i="17" l="1"/>
  <c r="AU18" i="17"/>
  <c r="AW18" i="17"/>
  <c r="AT19" i="17"/>
  <c r="AN18" i="17"/>
  <c r="AO18" i="17"/>
  <c r="AP18" i="17"/>
  <c r="AQ18" i="17"/>
  <c r="AV18" i="17"/>
  <c r="AX19" i="17"/>
  <c r="AN19" i="17"/>
  <c r="AO19" i="17"/>
  <c r="AP19" i="17"/>
  <c r="AQ19" i="17"/>
  <c r="AR19" i="17"/>
  <c r="AS19" i="17"/>
  <c r="AY18" i="17"/>
  <c r="AU19" i="17"/>
  <c r="AX18" i="17"/>
  <c r="AV19" i="17"/>
  <c r="AS18" i="17"/>
  <c r="AW19" i="17"/>
  <c r="AR18" i="17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Y8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H12" i="7" l="1"/>
  <c r="H14" i="7" s="1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J10" i="6"/>
  <c r="AI10" i="6"/>
  <c r="AH10" i="6"/>
  <c r="AG10" i="6"/>
  <c r="AF10" i="6"/>
  <c r="AE10" i="6"/>
  <c r="AD10" i="6"/>
  <c r="AC10" i="6"/>
  <c r="AB10" i="6"/>
  <c r="BE14" i="4"/>
  <c r="BE8" i="4"/>
  <c r="BD14" i="4"/>
  <c r="BD8" i="4"/>
  <c r="H16" i="7" l="1"/>
  <c r="H17" i="7" s="1"/>
  <c r="H19" i="7" s="1"/>
  <c r="AA10" i="6" l="1"/>
  <c r="Z14" i="4"/>
  <c r="Y14" i="4"/>
  <c r="X14" i="4"/>
  <c r="W14" i="4"/>
  <c r="V14" i="4"/>
  <c r="U14" i="4"/>
  <c r="T14" i="4"/>
  <c r="S14" i="4"/>
  <c r="R14" i="4"/>
  <c r="Q14" i="4"/>
  <c r="P14" i="4"/>
  <c r="AK10" i="6" l="1"/>
  <c r="AL10" i="6"/>
  <c r="O14" i="4"/>
  <c r="R67" i="11" l="1"/>
  <c r="R59" i="11"/>
  <c r="R58" i="11"/>
  <c r="R57" i="11"/>
  <c r="R56" i="11"/>
  <c r="R48" i="11"/>
  <c r="R47" i="11"/>
  <c r="R46" i="11"/>
  <c r="R38" i="11"/>
  <c r="R37" i="11"/>
  <c r="R36" i="11"/>
  <c r="R29" i="11"/>
  <c r="R28" i="11"/>
  <c r="R27" i="11"/>
  <c r="R25" i="11"/>
  <c r="R24" i="11"/>
  <c r="R23" i="11"/>
  <c r="R17" i="11"/>
  <c r="R11" i="11"/>
  <c r="R10" i="11"/>
  <c r="R8" i="11"/>
  <c r="Z10" i="6" l="1"/>
  <c r="Y10" i="6"/>
  <c r="BC8" i="4" l="1"/>
  <c r="X10" i="6" l="1"/>
  <c r="W10" i="6"/>
  <c r="V10" i="6"/>
  <c r="U10" i="6"/>
  <c r="T10" i="6"/>
  <c r="S10" i="6"/>
  <c r="R10" i="6"/>
  <c r="Q10" i="6"/>
  <c r="P10" i="6"/>
  <c r="O10" i="6" l="1"/>
  <c r="N14" i="4" l="1"/>
  <c r="L14" i="4"/>
  <c r="K14" i="4"/>
  <c r="I14" i="4"/>
  <c r="H14" i="4"/>
  <c r="G14" i="4"/>
  <c r="F14" i="4"/>
  <c r="E14" i="4"/>
  <c r="D14" i="4"/>
  <c r="C14" i="4"/>
  <c r="J14" i="4" l="1"/>
  <c r="AY15" i="4"/>
  <c r="N4" i="4"/>
  <c r="M4" i="4"/>
  <c r="L4" i="4"/>
  <c r="K4" i="4"/>
  <c r="J4" i="4"/>
  <c r="I4" i="4"/>
  <c r="H4" i="4"/>
  <c r="G4" i="4"/>
  <c r="F4" i="4"/>
  <c r="E4" i="4"/>
  <c r="D4" i="4"/>
  <c r="N3" i="4"/>
  <c r="M3" i="4"/>
  <c r="L3" i="4"/>
  <c r="K3" i="4"/>
  <c r="J3" i="4"/>
  <c r="I3" i="4"/>
  <c r="H3" i="4"/>
  <c r="G3" i="4"/>
  <c r="F3" i="4"/>
  <c r="E3" i="4"/>
  <c r="D3" i="4"/>
  <c r="N2" i="4"/>
  <c r="M2" i="4"/>
  <c r="L2" i="4"/>
  <c r="K2" i="4"/>
  <c r="J2" i="4"/>
  <c r="I2" i="4"/>
  <c r="H2" i="4"/>
  <c r="G2" i="4"/>
  <c r="F2" i="4"/>
  <c r="E2" i="4"/>
  <c r="D2" i="4"/>
  <c r="N1" i="4"/>
  <c r="M1" i="4"/>
  <c r="L1" i="4"/>
  <c r="K1" i="4"/>
  <c r="J1" i="4"/>
  <c r="I1" i="4"/>
  <c r="H1" i="4"/>
  <c r="G1" i="4"/>
  <c r="F1" i="4"/>
  <c r="E1" i="4"/>
  <c r="D1" i="4"/>
  <c r="BC14" i="4" l="1"/>
  <c r="AV31" i="4" l="1"/>
  <c r="AR31" i="4"/>
  <c r="AN31" i="4"/>
  <c r="AJ31" i="4"/>
  <c r="AF31" i="4"/>
  <c r="AB31" i="4"/>
  <c r="AU31" i="4"/>
  <c r="AQ31" i="4"/>
  <c r="AM31" i="4"/>
  <c r="AI31" i="4"/>
  <c r="AE31" i="4"/>
  <c r="AA31" i="4"/>
  <c r="AX31" i="4"/>
  <c r="AT31" i="4"/>
  <c r="AP31" i="4"/>
  <c r="AL31" i="4"/>
  <c r="AH31" i="4"/>
  <c r="AD31" i="4"/>
  <c r="AW31" i="4"/>
  <c r="AS31" i="4"/>
  <c r="AO31" i="4"/>
  <c r="AK31" i="4"/>
  <c r="AG31" i="4"/>
  <c r="AC31" i="4"/>
  <c r="AY14" i="4" l="1"/>
  <c r="R61" i="11" l="1"/>
  <c r="D10" i="6" l="1"/>
  <c r="E10" i="6"/>
  <c r="F10" i="6"/>
  <c r="G10" i="6"/>
  <c r="H10" i="6"/>
  <c r="I10" i="6"/>
  <c r="J10" i="6"/>
  <c r="L10" i="6"/>
  <c r="N10" i="6"/>
  <c r="N13" i="6" s="1"/>
  <c r="M10" i="6" l="1"/>
  <c r="K10" i="6" l="1"/>
  <c r="G68" i="11" l="1"/>
  <c r="G39" i="11"/>
  <c r="G30" i="11"/>
  <c r="E29" i="11"/>
  <c r="D29" i="11"/>
  <c r="E28" i="11"/>
  <c r="D28" i="11"/>
  <c r="E27" i="11"/>
  <c r="D27" i="11"/>
  <c r="G12" i="11"/>
  <c r="E11" i="11"/>
  <c r="D11" i="11"/>
  <c r="E10" i="11"/>
  <c r="D10" i="11"/>
  <c r="A8" i="11"/>
  <c r="A10" i="11" s="1"/>
  <c r="A11" i="11" s="1"/>
  <c r="A12" i="11" s="1"/>
  <c r="A17" i="11" s="1"/>
  <c r="A23" i="11" s="1"/>
  <c r="A24" i="11" s="1"/>
  <c r="A25" i="11" s="1"/>
  <c r="A27" i="11" s="1"/>
  <c r="A28" i="11" s="1"/>
  <c r="A29" i="11" s="1"/>
  <c r="A30" i="11" s="1"/>
  <c r="A36" i="11" s="1"/>
  <c r="A37" i="11" s="1"/>
  <c r="A38" i="11" s="1"/>
  <c r="A39" i="11" s="1"/>
  <c r="A45" i="11" s="1"/>
  <c r="A46" i="11" s="1"/>
  <c r="A47" i="11" s="1"/>
  <c r="A48" i="11" s="1"/>
  <c r="A49" i="11" s="1"/>
  <c r="A50" i="11" s="1"/>
  <c r="A56" i="11" s="1"/>
  <c r="A57" i="11" s="1"/>
  <c r="A58" i="11" s="1"/>
  <c r="A59" i="11" s="1"/>
  <c r="A60" i="11" s="1"/>
  <c r="A61" i="11" s="1"/>
  <c r="A67" i="11" s="1"/>
  <c r="A68" i="11" s="1"/>
  <c r="A70" i="11" s="1"/>
  <c r="I30" i="11" l="1"/>
  <c r="I12" i="11"/>
  <c r="I39" i="11"/>
  <c r="I68" i="11"/>
  <c r="G14" i="8" l="1"/>
  <c r="G9" i="8"/>
  <c r="G15" i="8"/>
  <c r="G12" i="8"/>
  <c r="G11" i="8"/>
  <c r="G10" i="8"/>
  <c r="G13" i="8"/>
  <c r="E10" i="10" l="1"/>
  <c r="D24" i="10" l="1"/>
  <c r="E19" i="10"/>
  <c r="E18" i="10"/>
  <c r="E17" i="10"/>
  <c r="E16" i="10"/>
  <c r="E15" i="10"/>
  <c r="E14" i="10"/>
  <c r="E13" i="10"/>
  <c r="E21" i="10"/>
  <c r="E20" i="10"/>
  <c r="E12" i="10"/>
  <c r="E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4" i="10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E24" i="10" l="1"/>
  <c r="G17" i="8" l="1"/>
  <c r="E2" i="6" l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AT2" i="6" s="1"/>
  <c r="AU2" i="6" s="1"/>
  <c r="AV2" i="6" s="1"/>
  <c r="AW2" i="6" s="1"/>
  <c r="AX2" i="6" s="1"/>
  <c r="AY2" i="6" s="1"/>
  <c r="P36" i="4" l="1"/>
  <c r="Q36" i="4" l="1"/>
  <c r="R36" i="4" l="1"/>
  <c r="S36" i="4" l="1"/>
  <c r="T36" i="4" l="1"/>
  <c r="U36" i="4" l="1"/>
  <c r="V36" i="4" l="1"/>
  <c r="W36" i="4" l="1"/>
  <c r="X36" i="4" l="1"/>
  <c r="Y36" i="4" l="1"/>
  <c r="Z36" i="4" l="1"/>
  <c r="AA36" i="4" l="1"/>
  <c r="Z37" i="4" s="1"/>
  <c r="V37" i="4"/>
  <c r="S37" i="4"/>
  <c r="Y37" i="4"/>
  <c r="AA37" i="4"/>
  <c r="Q37" i="4"/>
  <c r="W37" i="4"/>
  <c r="X37" i="4"/>
  <c r="U37" i="4"/>
  <c r="T37" i="4"/>
  <c r="R37" i="4"/>
  <c r="Z31" i="4" l="1"/>
  <c r="X31" i="4"/>
  <c r="T31" i="4"/>
  <c r="P31" i="4"/>
  <c r="W31" i="4"/>
  <c r="S31" i="4"/>
  <c r="O31" i="4"/>
  <c r="V31" i="4"/>
  <c r="R31" i="4"/>
  <c r="Y31" i="4"/>
  <c r="U31" i="4"/>
  <c r="Q31" i="4"/>
  <c r="M31" i="4"/>
  <c r="H31" i="4"/>
  <c r="G31" i="4"/>
  <c r="N31" i="4"/>
  <c r="J31" i="4"/>
  <c r="F31" i="4"/>
  <c r="I31" i="4"/>
  <c r="E31" i="4"/>
  <c r="L31" i="4"/>
  <c r="D31" i="4"/>
  <c r="K31" i="4"/>
  <c r="C31" i="4"/>
  <c r="E13" i="6" l="1"/>
  <c r="C32" i="4" l="1"/>
  <c r="C33" i="4" s="1"/>
  <c r="C35" i="4" s="1"/>
  <c r="C39" i="4" s="1"/>
  <c r="F13" i="6"/>
  <c r="D32" i="4" l="1"/>
  <c r="D33" i="4" s="1"/>
  <c r="D35" i="4" s="1"/>
  <c r="E12" i="6"/>
  <c r="G13" i="6"/>
  <c r="D39" i="4" l="1"/>
  <c r="F12" i="6"/>
  <c r="E32" i="4"/>
  <c r="E33" i="4" s="1"/>
  <c r="E35" i="4" s="1"/>
  <c r="H13" i="6"/>
  <c r="E39" i="4" l="1"/>
  <c r="G12" i="6"/>
  <c r="I13" i="6"/>
  <c r="F32" i="4"/>
  <c r="F33" i="4" s="1"/>
  <c r="F35" i="4" s="1"/>
  <c r="F39" i="4" l="1"/>
  <c r="J13" i="6"/>
  <c r="G32" i="4"/>
  <c r="G33" i="4" s="1"/>
  <c r="G35" i="4" s="1"/>
  <c r="H12" i="6"/>
  <c r="G39" i="4" l="1"/>
  <c r="H32" i="4"/>
  <c r="H33" i="4" s="1"/>
  <c r="H35" i="4" s="1"/>
  <c r="K13" i="6"/>
  <c r="I12" i="6"/>
  <c r="H39" i="4" l="1"/>
  <c r="J12" i="6"/>
  <c r="L13" i="6"/>
  <c r="I32" i="4"/>
  <c r="I33" i="4" s="1"/>
  <c r="I35" i="4" s="1"/>
  <c r="M13" i="6" l="1"/>
  <c r="I39" i="4"/>
  <c r="J32" i="4"/>
  <c r="J33" i="4" s="1"/>
  <c r="J35" i="4" s="1"/>
  <c r="K12" i="6"/>
  <c r="J39" i="4" l="1"/>
  <c r="K32" i="4"/>
  <c r="K33" i="4" s="1"/>
  <c r="K35" i="4" s="1"/>
  <c r="L12" i="6"/>
  <c r="O13" i="6" l="1"/>
  <c r="K39" i="4"/>
  <c r="M12" i="6"/>
  <c r="L32" i="4"/>
  <c r="L33" i="4" s="1"/>
  <c r="L35" i="4" s="1"/>
  <c r="N17" i="6" l="1"/>
  <c r="O15" i="6"/>
  <c r="P13" i="6"/>
  <c r="L39" i="4"/>
  <c r="N12" i="6"/>
  <c r="M32" i="4"/>
  <c r="M33" i="4" s="1"/>
  <c r="M35" i="4" s="1"/>
  <c r="N18" i="6" s="1"/>
  <c r="O20" i="6" l="1"/>
  <c r="O17" i="6"/>
  <c r="N32" i="4"/>
  <c r="N33" i="4" s="1"/>
  <c r="N35" i="4" s="1"/>
  <c r="O18" i="6" s="1"/>
  <c r="P15" i="6"/>
  <c r="Q13" i="6"/>
  <c r="M39" i="4"/>
  <c r="N19" i="6" s="1"/>
  <c r="O12" i="6"/>
  <c r="P20" i="6" l="1"/>
  <c r="N39" i="4"/>
  <c r="O19" i="6" s="1"/>
  <c r="Q15" i="6"/>
  <c r="R13" i="6"/>
  <c r="P17" i="6"/>
  <c r="O32" i="4"/>
  <c r="O33" i="4" s="1"/>
  <c r="O35" i="4" s="1"/>
  <c r="P18" i="6" s="1"/>
  <c r="P12" i="6"/>
  <c r="P19" i="6" l="1"/>
  <c r="O39" i="4"/>
  <c r="Q20" i="6"/>
  <c r="R15" i="6"/>
  <c r="S13" i="6"/>
  <c r="Q17" i="6"/>
  <c r="P32" i="4"/>
  <c r="P33" i="4" s="1"/>
  <c r="P35" i="4" s="1"/>
  <c r="P38" i="4" s="1"/>
  <c r="Q18" i="6" s="1"/>
  <c r="Q12" i="6"/>
  <c r="Q19" i="6" l="1"/>
  <c r="R20" i="6"/>
  <c r="S15" i="6"/>
  <c r="T13" i="6"/>
  <c r="R17" i="6"/>
  <c r="Q32" i="4"/>
  <c r="Q33" i="4" s="1"/>
  <c r="Q35" i="4" s="1"/>
  <c r="Q38" i="4" s="1"/>
  <c r="R18" i="6" s="1"/>
  <c r="P39" i="4"/>
  <c r="R12" i="6"/>
  <c r="R19" i="6" l="1"/>
  <c r="S20" i="6"/>
  <c r="Q39" i="4"/>
  <c r="S17" i="6"/>
  <c r="R32" i="4"/>
  <c r="R33" i="4" s="1"/>
  <c r="R35" i="4" s="1"/>
  <c r="R38" i="4" s="1"/>
  <c r="S18" i="6" s="1"/>
  <c r="T15" i="6"/>
  <c r="U13" i="6"/>
  <c r="S12" i="6"/>
  <c r="S19" i="6" l="1"/>
  <c r="T20" i="6"/>
  <c r="U15" i="6"/>
  <c r="V13" i="6"/>
  <c r="T17" i="6"/>
  <c r="S32" i="4"/>
  <c r="S33" i="4" s="1"/>
  <c r="S35" i="4" s="1"/>
  <c r="S38" i="4" s="1"/>
  <c r="T18" i="6" s="1"/>
  <c r="R39" i="4"/>
  <c r="T12" i="6"/>
  <c r="U20" i="6" l="1"/>
  <c r="T19" i="6"/>
  <c r="S39" i="4"/>
  <c r="U17" i="6"/>
  <c r="T32" i="4"/>
  <c r="T33" i="4" s="1"/>
  <c r="T35" i="4" s="1"/>
  <c r="T38" i="4" s="1"/>
  <c r="U18" i="6" s="1"/>
  <c r="V15" i="6"/>
  <c r="W13" i="6"/>
  <c r="U12" i="6"/>
  <c r="V20" i="6" l="1"/>
  <c r="W15" i="6"/>
  <c r="X13" i="6"/>
  <c r="V17" i="6"/>
  <c r="U32" i="4"/>
  <c r="U33" i="4" s="1"/>
  <c r="U35" i="4" s="1"/>
  <c r="U38" i="4" s="1"/>
  <c r="V18" i="6" s="1"/>
  <c r="U19" i="6"/>
  <c r="T39" i="4"/>
  <c r="V12" i="6"/>
  <c r="W20" i="6" l="1"/>
  <c r="V19" i="6"/>
  <c r="Y13" i="6"/>
  <c r="X15" i="6"/>
  <c r="W17" i="6"/>
  <c r="V32" i="4"/>
  <c r="V33" i="4" s="1"/>
  <c r="V35" i="4" s="1"/>
  <c r="V38" i="4" s="1"/>
  <c r="W18" i="6" s="1"/>
  <c r="U39" i="4"/>
  <c r="W12" i="6"/>
  <c r="X20" i="6" l="1"/>
  <c r="W19" i="6"/>
  <c r="V39" i="4"/>
  <c r="X17" i="6"/>
  <c r="W32" i="4"/>
  <c r="W33" i="4" s="1"/>
  <c r="W35" i="4" s="1"/>
  <c r="W38" i="4" s="1"/>
  <c r="X18" i="6" s="1"/>
  <c r="Y15" i="6"/>
  <c r="Z13" i="6"/>
  <c r="X12" i="6"/>
  <c r="Y20" i="6" l="1"/>
  <c r="X19" i="6"/>
  <c r="W39" i="4"/>
  <c r="Z15" i="6"/>
  <c r="AA13" i="6"/>
  <c r="Y17" i="6"/>
  <c r="X32" i="4"/>
  <c r="X33" i="4" s="1"/>
  <c r="X35" i="4" s="1"/>
  <c r="X38" i="4" s="1"/>
  <c r="Y18" i="6" s="1"/>
  <c r="Y12" i="6"/>
  <c r="Z20" i="6" l="1"/>
  <c r="Y19" i="6"/>
  <c r="N21" i="6" s="1"/>
  <c r="AA15" i="6"/>
  <c r="AB13" i="6"/>
  <c r="Z17" i="6"/>
  <c r="Y32" i="4"/>
  <c r="Y33" i="4" s="1"/>
  <c r="Y35" i="4" s="1"/>
  <c r="Y38" i="4" s="1"/>
  <c r="Z18" i="6" s="1"/>
  <c r="X39" i="4"/>
  <c r="N24" i="6"/>
  <c r="Z12" i="6"/>
  <c r="O23" i="6" s="1"/>
  <c r="O24" i="6" l="1"/>
  <c r="AA20" i="6"/>
  <c r="E15" i="7"/>
  <c r="Z19" i="6"/>
  <c r="O21" i="6" s="1"/>
  <c r="Y39" i="4"/>
  <c r="AB15" i="6"/>
  <c r="AC13" i="6"/>
  <c r="AA17" i="6"/>
  <c r="Z32" i="4"/>
  <c r="Z33" i="4" s="1"/>
  <c r="Z35" i="4" s="1"/>
  <c r="Z38" i="4" s="1"/>
  <c r="AA18" i="6" s="1"/>
  <c r="O22" i="6"/>
  <c r="AA12" i="6"/>
  <c r="P23" i="6" s="1"/>
  <c r="AB12" i="6" l="1"/>
  <c r="Q23" i="6" s="1"/>
  <c r="AB20" i="6"/>
  <c r="AA19" i="6"/>
  <c r="P21" i="6" s="1"/>
  <c r="AC15" i="6"/>
  <c r="AD13" i="6"/>
  <c r="AB17" i="6"/>
  <c r="AA32" i="4"/>
  <c r="AA33" i="4" s="1"/>
  <c r="AA35" i="4" s="1"/>
  <c r="AA38" i="4" s="1"/>
  <c r="AB18" i="6" s="1"/>
  <c r="Z39" i="4"/>
  <c r="AA39" i="4" s="1"/>
  <c r="P22" i="6"/>
  <c r="Q24" i="6"/>
  <c r="P24" i="6"/>
  <c r="AC12" i="6" l="1"/>
  <c r="R23" i="6" s="1"/>
  <c r="R24" i="6" s="1"/>
  <c r="AC20" i="6"/>
  <c r="Q22" i="6"/>
  <c r="E10" i="7" s="1"/>
  <c r="AD15" i="6"/>
  <c r="AE13" i="6"/>
  <c r="AC17" i="6"/>
  <c r="AC18" i="6" s="1"/>
  <c r="AB32" i="4"/>
  <c r="AB33" i="4" s="1"/>
  <c r="AB35" i="4" s="1"/>
  <c r="AB38" i="4" s="1"/>
  <c r="AD12" i="6"/>
  <c r="S23" i="6" l="1"/>
  <c r="S24" i="6" s="1"/>
  <c r="AD20" i="6"/>
  <c r="AE15" i="6"/>
  <c r="AF13" i="6"/>
  <c r="AD17" i="6"/>
  <c r="AD18" i="6" s="1"/>
  <c r="AC32" i="4"/>
  <c r="AC33" i="4" s="1"/>
  <c r="AC35" i="4" s="1"/>
  <c r="AC38" i="4" s="1"/>
  <c r="AB19" i="6"/>
  <c r="Q21" i="6" s="1"/>
  <c r="E11" i="7" s="1"/>
  <c r="AB39" i="4"/>
  <c r="R22" i="6"/>
  <c r="AE12" i="6"/>
  <c r="T23" i="6" s="1"/>
  <c r="AE20" i="6" l="1"/>
  <c r="T22" i="6" s="1"/>
  <c r="S22" i="6"/>
  <c r="AF15" i="6"/>
  <c r="AG13" i="6"/>
  <c r="AC19" i="6"/>
  <c r="R21" i="6" s="1"/>
  <c r="AC39" i="4"/>
  <c r="AE17" i="6"/>
  <c r="AE18" i="6" s="1"/>
  <c r="AD32" i="4"/>
  <c r="AD33" i="4" s="1"/>
  <c r="AD35" i="4" s="1"/>
  <c r="AD38" i="4" s="1"/>
  <c r="T24" i="6"/>
  <c r="AF12" i="6"/>
  <c r="U23" i="6" l="1"/>
  <c r="U24" i="6" s="1"/>
  <c r="AF20" i="6"/>
  <c r="AD19" i="6"/>
  <c r="S21" i="6" s="1"/>
  <c r="AD39" i="4"/>
  <c r="AG15" i="6"/>
  <c r="AH13" i="6"/>
  <c r="AF17" i="6"/>
  <c r="AF18" i="6" s="1"/>
  <c r="AE32" i="4"/>
  <c r="AE33" i="4" s="1"/>
  <c r="AE35" i="4" s="1"/>
  <c r="AE38" i="4" s="1"/>
  <c r="AG12" i="6"/>
  <c r="V23" i="6" s="1"/>
  <c r="V24" i="6" l="1"/>
  <c r="AG20" i="6"/>
  <c r="U22" i="6"/>
  <c r="AH15" i="6"/>
  <c r="AI13" i="6"/>
  <c r="AG17" i="6"/>
  <c r="AG18" i="6" s="1"/>
  <c r="AF32" i="4"/>
  <c r="AF33" i="4" s="1"/>
  <c r="AF35" i="4" s="1"/>
  <c r="AF38" i="4" s="1"/>
  <c r="AE19" i="6"/>
  <c r="T21" i="6" s="1"/>
  <c r="AE39" i="4"/>
  <c r="AH12" i="6"/>
  <c r="W23" i="6" s="1"/>
  <c r="I50" i="11"/>
  <c r="G50" i="11"/>
  <c r="I61" i="11"/>
  <c r="G61" i="11"/>
  <c r="W24" i="6" l="1"/>
  <c r="AH20" i="6"/>
  <c r="W22" i="6" s="1"/>
  <c r="AF19" i="6"/>
  <c r="U21" i="6" s="1"/>
  <c r="AF39" i="4"/>
  <c r="AJ13" i="6"/>
  <c r="AI15" i="6"/>
  <c r="AG32" i="4"/>
  <c r="AG33" i="4" s="1"/>
  <c r="AG35" i="4" s="1"/>
  <c r="AG38" i="4" s="1"/>
  <c r="AH17" i="6"/>
  <c r="AH18" i="6" s="1"/>
  <c r="V22" i="6"/>
  <c r="AI12" i="6"/>
  <c r="X23" i="6" l="1"/>
  <c r="AI20" i="6"/>
  <c r="X22" i="6" s="1"/>
  <c r="AJ15" i="6"/>
  <c r="AK13" i="6"/>
  <c r="AG19" i="6"/>
  <c r="V21" i="6" s="1"/>
  <c r="AG39" i="4"/>
  <c r="AI17" i="6"/>
  <c r="AI18" i="6" s="1"/>
  <c r="AH32" i="4"/>
  <c r="AH33" i="4" s="1"/>
  <c r="AH35" i="4" s="1"/>
  <c r="AH38" i="4" s="1"/>
  <c r="X24" i="6"/>
  <c r="AJ12" i="6"/>
  <c r="Y23" i="6" l="1"/>
  <c r="Y24" i="6" s="1"/>
  <c r="AJ20" i="6"/>
  <c r="AH39" i="4"/>
  <c r="AL13" i="6"/>
  <c r="AK15" i="6"/>
  <c r="AJ17" i="6"/>
  <c r="AJ18" i="6" s="1"/>
  <c r="AI32" i="4"/>
  <c r="AI33" i="4" s="1"/>
  <c r="AI35" i="4" s="1"/>
  <c r="AI38" i="4" s="1"/>
  <c r="AK12" i="6"/>
  <c r="Z23" i="6" s="1"/>
  <c r="AK20" i="6" l="1"/>
  <c r="Z22" i="6" s="1"/>
  <c r="Y22" i="6"/>
  <c r="AI39" i="4"/>
  <c r="AJ32" i="4"/>
  <c r="AJ33" i="4" s="1"/>
  <c r="AJ35" i="4" s="1"/>
  <c r="AJ38" i="4" s="1"/>
  <c r="AK17" i="6"/>
  <c r="AK18" i="6" s="1"/>
  <c r="AL15" i="6"/>
  <c r="AM13" i="6"/>
  <c r="Z24" i="6"/>
  <c r="AL12" i="6"/>
  <c r="E7" i="7"/>
  <c r="AA23" i="6" l="1"/>
  <c r="AA24" i="6" s="1"/>
  <c r="AL20" i="6"/>
  <c r="AA22" i="6" s="1"/>
  <c r="AJ39" i="4"/>
  <c r="AM15" i="6"/>
  <c r="AN13" i="6"/>
  <c r="AK32" i="4"/>
  <c r="AK33" i="4" s="1"/>
  <c r="AK35" i="4" s="1"/>
  <c r="AK38" i="4" s="1"/>
  <c r="AL17" i="6"/>
  <c r="AL18" i="6" s="1"/>
  <c r="AM12" i="6"/>
  <c r="AB23" i="6" s="1"/>
  <c r="AM20" i="6" l="1"/>
  <c r="AB22" i="6" s="1"/>
  <c r="AK39" i="4"/>
  <c r="AO13" i="6"/>
  <c r="AN15" i="6"/>
  <c r="AL32" i="4"/>
  <c r="AL33" i="4" s="1"/>
  <c r="AL35" i="4" s="1"/>
  <c r="AM17" i="6"/>
  <c r="AM18" i="6" s="1"/>
  <c r="AB24" i="6"/>
  <c r="AN12" i="6"/>
  <c r="AC23" i="6" l="1"/>
  <c r="AC24" i="6" s="1"/>
  <c r="AN20" i="6"/>
  <c r="AC22" i="6" s="1"/>
  <c r="AN17" i="6"/>
  <c r="AN18" i="6" s="1"/>
  <c r="AM32" i="4"/>
  <c r="AM33" i="4" s="1"/>
  <c r="AM35" i="4" s="1"/>
  <c r="AM38" i="4" s="1"/>
  <c r="AL39" i="4"/>
  <c r="AO15" i="6"/>
  <c r="AP13" i="6"/>
  <c r="AO12" i="6"/>
  <c r="AD23" i="6" l="1"/>
  <c r="AO20" i="6"/>
  <c r="AD22" i="6" s="1"/>
  <c r="AP15" i="6"/>
  <c r="AQ13" i="6"/>
  <c r="AM39" i="4"/>
  <c r="AO17" i="6"/>
  <c r="AO18" i="6" s="1"/>
  <c r="AN32" i="4"/>
  <c r="AN33" i="4" s="1"/>
  <c r="AN35" i="4" s="1"/>
  <c r="AN38" i="4" s="1"/>
  <c r="AD24" i="6"/>
  <c r="AP12" i="6"/>
  <c r="AE23" i="6" l="1"/>
  <c r="AE24" i="6" s="1"/>
  <c r="AP20" i="6"/>
  <c r="AE22" i="6" s="1"/>
  <c r="AN39" i="4"/>
  <c r="AR13" i="6"/>
  <c r="AQ15" i="6"/>
  <c r="AO32" i="4"/>
  <c r="AO33" i="4" s="1"/>
  <c r="AO35" i="4" s="1"/>
  <c r="AO38" i="4" s="1"/>
  <c r="AP17" i="6"/>
  <c r="AP18" i="6" s="1"/>
  <c r="AQ12" i="6"/>
  <c r="AF23" i="6" s="1"/>
  <c r="AH19" i="6"/>
  <c r="W21" i="6" s="1"/>
  <c r="AQ20" i="6" l="1"/>
  <c r="AF22" i="6" s="1"/>
  <c r="AP32" i="4"/>
  <c r="AP33" i="4" s="1"/>
  <c r="AP35" i="4" s="1"/>
  <c r="AP38" i="4" s="1"/>
  <c r="AQ17" i="6"/>
  <c r="AQ18" i="6" s="1"/>
  <c r="AR15" i="6"/>
  <c r="AS13" i="6"/>
  <c r="AO39" i="4"/>
  <c r="AF24" i="6"/>
  <c r="AR12" i="6"/>
  <c r="AI19" i="6"/>
  <c r="X21" i="6" s="1"/>
  <c r="AG23" i="6" l="1"/>
  <c r="AG24" i="6" s="1"/>
  <c r="AR20" i="6"/>
  <c r="AT13" i="6"/>
  <c r="AS15" i="6"/>
  <c r="AP39" i="4"/>
  <c r="AR17" i="6"/>
  <c r="AR18" i="6" s="1"/>
  <c r="AQ32" i="4"/>
  <c r="AQ33" i="4" s="1"/>
  <c r="AQ35" i="4" s="1"/>
  <c r="AQ38" i="4" s="1"/>
  <c r="AS12" i="6"/>
  <c r="AH23" i="6" s="1"/>
  <c r="AJ19" i="6"/>
  <c r="Y21" i="6" s="1"/>
  <c r="AS20" i="6" l="1"/>
  <c r="AG22" i="6"/>
  <c r="AQ39" i="4"/>
  <c r="AR32" i="4"/>
  <c r="AR33" i="4" s="1"/>
  <c r="AR35" i="4" s="1"/>
  <c r="AR38" i="4" s="1"/>
  <c r="AS17" i="6"/>
  <c r="AS18" i="6" s="1"/>
  <c r="AT15" i="6"/>
  <c r="AU13" i="6"/>
  <c r="AH24" i="6"/>
  <c r="AT12" i="6"/>
  <c r="AK19" i="6"/>
  <c r="Z21" i="6" s="1"/>
  <c r="AI23" i="6" l="1"/>
  <c r="AT20" i="6"/>
  <c r="AS32" i="4"/>
  <c r="AS33" i="4" s="1"/>
  <c r="AS35" i="4" s="1"/>
  <c r="AS38" i="4" s="1"/>
  <c r="AT17" i="6"/>
  <c r="AT18" i="6" s="1"/>
  <c r="AR39" i="4"/>
  <c r="AH22" i="6"/>
  <c r="AV13" i="6"/>
  <c r="AU15" i="6"/>
  <c r="AI24" i="6"/>
  <c r="AU12" i="6"/>
  <c r="AJ23" i="6" s="1"/>
  <c r="AL19" i="6"/>
  <c r="AA21" i="6" s="1"/>
  <c r="AJ24" i="6" l="1"/>
  <c r="AU20" i="6"/>
  <c r="AJ22" i="6" s="1"/>
  <c r="AT32" i="4"/>
  <c r="AT33" i="4" s="1"/>
  <c r="AT35" i="4" s="1"/>
  <c r="AT38" i="4" s="1"/>
  <c r="AU17" i="6"/>
  <c r="AU18" i="6" s="1"/>
  <c r="AS39" i="4"/>
  <c r="AW13" i="6"/>
  <c r="AV15" i="6"/>
  <c r="AI22" i="6"/>
  <c r="AV12" i="6"/>
  <c r="AM19" i="6"/>
  <c r="AB21" i="6" s="1"/>
  <c r="AK23" i="6" l="1"/>
  <c r="AT39" i="4"/>
  <c r="AV20" i="6"/>
  <c r="AK22" i="6" s="1"/>
  <c r="AU32" i="4"/>
  <c r="AU33" i="4" s="1"/>
  <c r="AU35" i="4" s="1"/>
  <c r="AU38" i="4" s="1"/>
  <c r="AV17" i="6"/>
  <c r="AV18" i="6" s="1"/>
  <c r="AW15" i="6"/>
  <c r="AX13" i="6"/>
  <c r="AK24" i="6"/>
  <c r="AW12" i="6"/>
  <c r="AL23" i="6" s="1"/>
  <c r="AN19" i="6"/>
  <c r="AC21" i="6" s="1"/>
  <c r="AW20" i="6" l="1"/>
  <c r="AL22" i="6" s="1"/>
  <c r="AY13" i="6"/>
  <c r="AY15" i="6" s="1"/>
  <c r="AX15" i="6"/>
  <c r="AW17" i="6"/>
  <c r="AW18" i="6" s="1"/>
  <c r="AV32" i="4"/>
  <c r="AV33" i="4" s="1"/>
  <c r="AV35" i="4" s="1"/>
  <c r="AV38" i="4" s="1"/>
  <c r="AU39" i="4"/>
  <c r="AL24" i="6"/>
  <c r="AX12" i="6"/>
  <c r="AO19" i="6"/>
  <c r="AD21" i="6" s="1"/>
  <c r="AM23" i="6" l="1"/>
  <c r="AM24" i="6" s="1"/>
  <c r="AX20" i="6"/>
  <c r="AY20" i="6" s="1"/>
  <c r="AV39" i="4"/>
  <c r="AX17" i="6"/>
  <c r="AX18" i="6" s="1"/>
  <c r="AW32" i="4"/>
  <c r="AW33" i="4" s="1"/>
  <c r="AW35" i="4" s="1"/>
  <c r="AW38" i="4" s="1"/>
  <c r="AY17" i="6"/>
  <c r="AY18" i="6" s="1"/>
  <c r="AX32" i="4"/>
  <c r="AX33" i="4" s="1"/>
  <c r="AX35" i="4" s="1"/>
  <c r="AX38" i="4" s="1"/>
  <c r="E9" i="7"/>
  <c r="AY12" i="6"/>
  <c r="AP19" i="6"/>
  <c r="AE21" i="6" s="1"/>
  <c r="AR23" i="6" l="1"/>
  <c r="AP23" i="6"/>
  <c r="AY23" i="6"/>
  <c r="AY24" i="6" s="1"/>
  <c r="AV23" i="6"/>
  <c r="AV24" i="6" s="1"/>
  <c r="AT23" i="6"/>
  <c r="AX23" i="6"/>
  <c r="AU23" i="6"/>
  <c r="AU24" i="6" s="1"/>
  <c r="AP24" i="6"/>
  <c r="AO23" i="6"/>
  <c r="AO24" i="6" s="1"/>
  <c r="AS23" i="6"/>
  <c r="AS24" i="6" s="1"/>
  <c r="AQ23" i="6"/>
  <c r="AQ24" i="6" s="1"/>
  <c r="AN23" i="6"/>
  <c r="AN24" i="6" s="1"/>
  <c r="AW23" i="6"/>
  <c r="AW24" i="6" s="1"/>
  <c r="AY22" i="6"/>
  <c r="AP22" i="6"/>
  <c r="AQ22" i="6"/>
  <c r="AS22" i="6"/>
  <c r="AT22" i="6"/>
  <c r="AR22" i="6"/>
  <c r="AV22" i="6"/>
  <c r="AU22" i="6"/>
  <c r="AX22" i="6"/>
  <c r="AO22" i="6"/>
  <c r="AN22" i="6"/>
  <c r="AM22" i="6"/>
  <c r="AW22" i="6"/>
  <c r="AW39" i="4"/>
  <c r="AX39" i="4" s="1"/>
  <c r="AR24" i="6"/>
  <c r="AT24" i="6"/>
  <c r="AX24" i="6"/>
  <c r="AQ19" i="6"/>
  <c r="AF21" i="6" s="1"/>
  <c r="AR19" i="6" l="1"/>
  <c r="AG21" i="6" s="1"/>
  <c r="AS19" i="6" l="1"/>
  <c r="AH21" i="6" l="1"/>
  <c r="AT19" i="6"/>
  <c r="AI21" i="6" s="1"/>
  <c r="AU19" i="6" l="1"/>
  <c r="AJ21" i="6" s="1"/>
  <c r="AV19" i="6" l="1"/>
  <c r="AK21" i="6" s="1"/>
  <c r="AW19" i="6" l="1"/>
  <c r="AL21" i="6" l="1"/>
  <c r="AX19" i="6"/>
  <c r="AM21" i="6" s="1"/>
  <c r="AY19" i="6" l="1"/>
  <c r="AW21" i="6" s="1"/>
  <c r="AN21" i="6" l="1"/>
  <c r="AO21" i="6"/>
  <c r="AP21" i="6"/>
  <c r="AQ21" i="6"/>
  <c r="AR21" i="6"/>
  <c r="AV21" i="6"/>
  <c r="AS21" i="6"/>
  <c r="AU21" i="6"/>
  <c r="AT21" i="6"/>
  <c r="AX21" i="6"/>
  <c r="AY21" i="6"/>
  <c r="E12" i="7" l="1"/>
  <c r="E14" i="7" s="1"/>
  <c r="E16" i="7" l="1"/>
  <c r="E17" i="7" s="1"/>
  <c r="E19" i="7" s="1"/>
  <c r="K19" i="7" l="1"/>
  <c r="I17" i="8" s="1"/>
  <c r="I9" i="8" l="1"/>
  <c r="K12" i="11" s="1"/>
  <c r="L12" i="11" s="1"/>
  <c r="L7" i="11" s="1"/>
  <c r="M7" i="11" s="1"/>
  <c r="O7" i="11" s="1"/>
  <c r="X7" i="11" s="1"/>
  <c r="I15" i="8"/>
  <c r="K50" i="11" s="1"/>
  <c r="L50" i="11" s="1"/>
  <c r="L48" i="11" s="1"/>
  <c r="M48" i="11" s="1"/>
  <c r="K48" i="11" s="1"/>
  <c r="I12" i="8"/>
  <c r="K39" i="11" s="1"/>
  <c r="L39" i="11" s="1"/>
  <c r="L37" i="11" s="1"/>
  <c r="M37" i="11" s="1"/>
  <c r="O37" i="11" s="1"/>
  <c r="I13" i="8"/>
  <c r="K61" i="11" s="1"/>
  <c r="L61" i="11" s="1"/>
  <c r="L58" i="11" s="1"/>
  <c r="M58" i="11" s="1"/>
  <c r="O58" i="11" s="1"/>
  <c r="T58" i="11" s="1"/>
  <c r="I11" i="8"/>
  <c r="K17" i="11" s="1"/>
  <c r="L17" i="11" s="1"/>
  <c r="M17" i="11" s="1"/>
  <c r="O17" i="11" s="1"/>
  <c r="X17" i="11" s="1"/>
  <c r="I14" i="8"/>
  <c r="K67" i="11" s="1"/>
  <c r="L67" i="11" s="1"/>
  <c r="M67" i="11" s="1"/>
  <c r="O67" i="11" s="1"/>
  <c r="T67" i="11" s="1"/>
  <c r="I10" i="8"/>
  <c r="K30" i="11" s="1"/>
  <c r="L30" i="11" s="1"/>
  <c r="L23" i="11" s="1"/>
  <c r="M23" i="11" s="1"/>
  <c r="L8" i="11"/>
  <c r="M8" i="11" s="1"/>
  <c r="K8" i="11" s="1"/>
  <c r="L11" i="11"/>
  <c r="M11" i="11" s="1"/>
  <c r="O11" i="11" s="1"/>
  <c r="L36" i="11" l="1"/>
  <c r="M36" i="11" s="1"/>
  <c r="O36" i="11" s="1"/>
  <c r="X36" i="11" s="1"/>
  <c r="L10" i="11"/>
  <c r="M10" i="11" s="1"/>
  <c r="O10" i="11" s="1"/>
  <c r="X10" i="11" s="1"/>
  <c r="C36" i="10" s="1"/>
  <c r="K7" i="11"/>
  <c r="L46" i="11"/>
  <c r="M46" i="11" s="1"/>
  <c r="O46" i="11" s="1"/>
  <c r="T46" i="11" s="1"/>
  <c r="K37" i="11"/>
  <c r="L38" i="11"/>
  <c r="M38" i="11" s="1"/>
  <c r="K38" i="11" s="1"/>
  <c r="O48" i="11"/>
  <c r="T48" i="11" s="1"/>
  <c r="L56" i="11"/>
  <c r="M56" i="11" s="1"/>
  <c r="K56" i="11" s="1"/>
  <c r="K70" i="11"/>
  <c r="L59" i="11"/>
  <c r="M59" i="11" s="1"/>
  <c r="O59" i="11" s="1"/>
  <c r="T59" i="11" s="1"/>
  <c r="L47" i="11"/>
  <c r="M47" i="11" s="1"/>
  <c r="O47" i="11" s="1"/>
  <c r="T47" i="11" s="1"/>
  <c r="L49" i="11"/>
  <c r="M49" i="11" s="1"/>
  <c r="K49" i="11" s="1"/>
  <c r="L45" i="11"/>
  <c r="M45" i="11" s="1"/>
  <c r="K45" i="11" s="1"/>
  <c r="L27" i="11"/>
  <c r="M27" i="11" s="1"/>
  <c r="O27" i="11" s="1"/>
  <c r="T27" i="11" s="1"/>
  <c r="K58" i="11"/>
  <c r="L24" i="11"/>
  <c r="M24" i="11" s="1"/>
  <c r="O24" i="11" s="1"/>
  <c r="T24" i="11" s="1"/>
  <c r="T17" i="11"/>
  <c r="L25" i="11"/>
  <c r="M25" i="11" s="1"/>
  <c r="O25" i="11" s="1"/>
  <c r="X25" i="11" s="1"/>
  <c r="L28" i="11"/>
  <c r="M28" i="11" s="1"/>
  <c r="O28" i="11" s="1"/>
  <c r="T28" i="11" s="1"/>
  <c r="L29" i="11"/>
  <c r="M29" i="11" s="1"/>
  <c r="O29" i="11" s="1"/>
  <c r="X29" i="11" s="1"/>
  <c r="L57" i="11"/>
  <c r="M57" i="11" s="1"/>
  <c r="O57" i="11" s="1"/>
  <c r="T57" i="11" s="1"/>
  <c r="L60" i="11"/>
  <c r="M60" i="11" s="1"/>
  <c r="O60" i="11" s="1"/>
  <c r="T60" i="11" s="1"/>
  <c r="T61" i="11" s="1"/>
  <c r="K11" i="11"/>
  <c r="O8" i="11"/>
  <c r="X8" i="11" s="1"/>
  <c r="K23" i="11"/>
  <c r="O23" i="11"/>
  <c r="T23" i="11" s="1"/>
  <c r="D36" i="10"/>
  <c r="T7" i="11"/>
  <c r="K36" i="11"/>
  <c r="T37" i="11"/>
  <c r="X37" i="11"/>
  <c r="T11" i="11"/>
  <c r="X11" i="11"/>
  <c r="T36" i="11"/>
  <c r="K10" i="11" l="1"/>
  <c r="T10" i="11"/>
  <c r="K46" i="11"/>
  <c r="X24" i="11"/>
  <c r="O38" i="11"/>
  <c r="T38" i="11" s="1"/>
  <c r="O56" i="11"/>
  <c r="T56" i="11" s="1"/>
  <c r="K59" i="11"/>
  <c r="X27" i="11"/>
  <c r="O49" i="11"/>
  <c r="T49" i="11" s="1"/>
  <c r="T50" i="11" s="1"/>
  <c r="K47" i="11"/>
  <c r="K29" i="11"/>
  <c r="O45" i="11"/>
  <c r="T45" i="11" s="1"/>
  <c r="K25" i="11"/>
  <c r="T25" i="11"/>
  <c r="K27" i="11"/>
  <c r="K57" i="11"/>
  <c r="K60" i="11"/>
  <c r="T29" i="11"/>
  <c r="X28" i="11"/>
  <c r="K28" i="11"/>
  <c r="K24" i="11"/>
  <c r="T8" i="11"/>
  <c r="X23" i="11"/>
  <c r="G14" i="10"/>
  <c r="I14" i="10" s="1"/>
  <c r="G17" i="10"/>
  <c r="I17" i="10" s="1"/>
  <c r="G16" i="10"/>
  <c r="I16" i="10" s="1"/>
  <c r="G13" i="10"/>
  <c r="I13" i="10" s="1"/>
  <c r="G18" i="10"/>
  <c r="I18" i="10" s="1"/>
  <c r="G19" i="10"/>
  <c r="I19" i="10" s="1"/>
  <c r="G15" i="10"/>
  <c r="I15" i="10" s="1"/>
  <c r="G12" i="10"/>
  <c r="I12" i="10" s="1"/>
  <c r="G10" i="10"/>
  <c r="G20" i="10"/>
  <c r="I20" i="10" s="1"/>
  <c r="G21" i="10"/>
  <c r="I21" i="10" s="1"/>
  <c r="G11" i="10"/>
  <c r="I11" i="10" s="1"/>
  <c r="X38" i="11" l="1"/>
  <c r="G24" i="10"/>
  <c r="I10" i="10"/>
  <c r="I24" i="10" s="1"/>
  <c r="I26" i="10" s="1"/>
</calcChain>
</file>

<file path=xl/sharedStrings.xml><?xml version="1.0" encoding="utf-8"?>
<sst xmlns="http://schemas.openxmlformats.org/spreadsheetml/2006/main" count="527" uniqueCount="233">
  <si>
    <t>Project</t>
  </si>
  <si>
    <t>Grand Total</t>
  </si>
  <si>
    <t>Amounts Closed</t>
  </si>
  <si>
    <t>Costs Incurred</t>
  </si>
  <si>
    <t>Total</t>
  </si>
  <si>
    <t>RATES</t>
  </si>
  <si>
    <t>100% Bonus Deferred Tax Rate</t>
  </si>
  <si>
    <t>50% Bonus Deferred Tax Rate (15 yr)</t>
  </si>
  <si>
    <t>50% Bouns Deferred Tax Rate (20 yr)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</si>
  <si>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</si>
  <si>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</si>
  <si>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</si>
  <si>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</si>
  <si>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</si>
  <si>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</si>
  <si>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</si>
  <si>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</si>
  <si>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</si>
  <si>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</si>
  <si>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</si>
  <si>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</si>
  <si>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</si>
  <si>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</si>
  <si>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</si>
  <si>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</si>
  <si>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</si>
  <si>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</si>
  <si>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</si>
  <si>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</si>
  <si>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Yr21</t>
  </si>
  <si>
    <t>Tax Depreciation Calculations</t>
  </si>
  <si>
    <t>Description</t>
  </si>
  <si>
    <t>Total Net Investment (101)</t>
  </si>
  <si>
    <t>Cumulative Plant Balances</t>
  </si>
  <si>
    <t>Book Depreciation Rate per Month</t>
  </si>
  <si>
    <t>Book Depreciation</t>
  </si>
  <si>
    <t>Accumulated Depreciation</t>
  </si>
  <si>
    <t>Temporary Difference (Book/Tax Depr)</t>
  </si>
  <si>
    <t>ADIT</t>
  </si>
  <si>
    <t>Calculation of Revenue Requirement</t>
  </si>
  <si>
    <t>Revenue</t>
  </si>
  <si>
    <t>Requirement</t>
  </si>
  <si>
    <t>Total Net Investment</t>
  </si>
  <si>
    <t>1/</t>
  </si>
  <si>
    <t>Less: Amount currently in rates</t>
  </si>
  <si>
    <t>2/</t>
  </si>
  <si>
    <t xml:space="preserve">              Less:  Accumulated Depreciation</t>
  </si>
  <si>
    <t xml:space="preserve">                        Accumulated Deferred Income Tax</t>
  </si>
  <si>
    <t xml:space="preserve">     Net Rate Base</t>
  </si>
  <si>
    <t xml:space="preserve">     Current Commission-Allowed Pre-Tax Rate of Return</t>
  </si>
  <si>
    <t xml:space="preserve">     Allowed Pre-Tax Return (Line 6 x Line 7)</t>
  </si>
  <si>
    <t xml:space="preserve">               Plus:  Net Depreciation Expense</t>
  </si>
  <si>
    <t xml:space="preserve">                        Net Taxes Other Than Income (1.2% x Line 6)</t>
  </si>
  <si>
    <t>Cost of Service Allocation</t>
  </si>
  <si>
    <t>A</t>
  </si>
  <si>
    <t>B</t>
  </si>
  <si>
    <t>C</t>
  </si>
  <si>
    <t>Commission Ordered</t>
  </si>
  <si>
    <t xml:space="preserve">Percent </t>
  </si>
  <si>
    <t>Revenue Requirement</t>
  </si>
  <si>
    <t>of Total</t>
  </si>
  <si>
    <t>GS</t>
  </si>
  <si>
    <t>FS</t>
  </si>
  <si>
    <t>NGV</t>
  </si>
  <si>
    <t>IS</t>
  </si>
  <si>
    <t>MT</t>
  </si>
  <si>
    <t>Totals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</si>
  <si>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</si>
  <si>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</si>
  <si>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</si>
  <si>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</si>
  <si>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</si>
  <si>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</si>
  <si>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</si>
  <si>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</si>
  <si>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</si>
  <si>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>Current Rates</t>
  </si>
  <si>
    <t>(I - J)</t>
  </si>
  <si>
    <t xml:space="preserve">Percentage </t>
  </si>
  <si>
    <t>Difference</t>
  </si>
  <si>
    <t>Volumetric Rates</t>
  </si>
  <si>
    <t>Dth</t>
  </si>
  <si>
    <t>Revenues</t>
  </si>
  <si>
    <t>Increase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</si>
  <si>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</si>
  <si>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</si>
  <si>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</si>
  <si>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</si>
  <si>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</si>
  <si>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</si>
  <si>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</si>
  <si>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</si>
  <si>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</si>
  <si>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All Usage</t>
  </si>
  <si>
    <t>All Over</t>
  </si>
  <si>
    <t>Utah FS</t>
  </si>
  <si>
    <t>Block 3</t>
  </si>
  <si>
    <t>Total Winter</t>
  </si>
  <si>
    <t>Utah IS</t>
  </si>
  <si>
    <t>Block 4</t>
  </si>
  <si>
    <t xml:space="preserve">Annual Demand Charges per Dth of </t>
  </si>
  <si>
    <t>Contract Firm Transportation</t>
  </si>
  <si>
    <t>Utah MT</t>
  </si>
  <si>
    <t>EFFECT ON GS TYPICAL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</si>
  <si>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</si>
  <si>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</si>
  <si>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</si>
  <si>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</si>
  <si>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</si>
  <si>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</si>
  <si>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</si>
  <si>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</si>
  <si>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</si>
  <si>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</si>
  <si>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</si>
  <si>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</si>
  <si>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</si>
  <si>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</si>
  <si>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</si>
  <si>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</si>
  <si>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</si>
  <si>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</si>
  <si>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</si>
  <si>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</si>
  <si>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</si>
  <si>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</si>
  <si>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</si>
  <si>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</si>
  <si>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</si>
  <si>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</si>
  <si>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</si>
  <si>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</si>
  <si>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</si>
  <si>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</si>
  <si>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</si>
  <si>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</si>
  <si>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</si>
  <si>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</si>
  <si>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</si>
  <si>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</si>
  <si>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Tax Depreciation</t>
  </si>
  <si>
    <t>DIT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</si>
  <si>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</si>
  <si>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</si>
  <si>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</si>
  <si>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</si>
  <si>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</si>
  <si>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</si>
  <si>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</si>
  <si>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</si>
  <si>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</si>
  <si>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</si>
  <si>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</si>
  <si>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1/ ADIT is calculated using a 13 month average covering the test period.</t>
  </si>
  <si>
    <t>Temporary Difference</t>
  </si>
  <si>
    <t>Tax Rate</t>
  </si>
  <si>
    <t>Total Revenue Requirement</t>
  </si>
  <si>
    <t>Plant Balance Date</t>
  </si>
  <si>
    <t>Test Period Beginning</t>
  </si>
  <si>
    <t>Normal Deferred Tax Rate (20yr)</t>
  </si>
  <si>
    <t>Removal Cost</t>
  </si>
  <si>
    <t>Tariff Updater</t>
  </si>
  <si>
    <t>Current Total DNG</t>
  </si>
  <si>
    <t>New Total DNG</t>
  </si>
  <si>
    <t>Current TOTAL</t>
  </si>
  <si>
    <t>NEW TOTAL</t>
  </si>
  <si>
    <t>Over</t>
  </si>
  <si>
    <t>Removal Cost (Increases Tax DPR)</t>
  </si>
  <si>
    <t>Tracker</t>
  </si>
  <si>
    <t>Previous Revenue Requirement</t>
  </si>
  <si>
    <t>Incremental Revenue Requirement</t>
  </si>
  <si>
    <t xml:space="preserve">Updated Base DNG Rates </t>
  </si>
  <si>
    <t>Base Rate</t>
  </si>
  <si>
    <t xml:space="preserve">Base DNG Rates </t>
  </si>
  <si>
    <t>Closed 0% pd, incurred any pd</t>
  </si>
  <si>
    <t>Monthly Deferred taxes</t>
  </si>
  <si>
    <t>Prorated Deferred Taxes</t>
  </si>
  <si>
    <t>Prorated ADIT</t>
  </si>
  <si>
    <t>13 Month Avg (ADIT) 1/</t>
  </si>
  <si>
    <t>13 Month Avg (Accum Depr)</t>
  </si>
  <si>
    <t>13 Month Avg (Plant Additions)</t>
  </si>
  <si>
    <t>13 Month Avg (Net Plant)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</si>
  <si>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</si>
  <si>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</si>
  <si>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</si>
  <si>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</si>
  <si>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</si>
  <si>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</si>
  <si>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</si>
  <si>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</si>
  <si>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</si>
  <si>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</si>
  <si>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Utah TBF</t>
  </si>
  <si>
    <t>Utah TSF &amp; TSI</t>
  </si>
  <si>
    <t>TSF &amp; TSI</t>
  </si>
  <si>
    <t>TBF</t>
  </si>
  <si>
    <t>AK</t>
  </si>
  <si>
    <t>AL</t>
  </si>
  <si>
    <t>Days of Month</t>
  </si>
  <si>
    <t>Proration %</t>
  </si>
  <si>
    <t>TOTAL 2021</t>
  </si>
  <si>
    <t>TOTAL 2022</t>
  </si>
  <si>
    <t>2021</t>
  </si>
  <si>
    <t>Eureka Mains</t>
  </si>
  <si>
    <t>Mains Revenue</t>
  </si>
  <si>
    <t>Services Revenue</t>
  </si>
  <si>
    <t>Total Revenue</t>
  </si>
  <si>
    <t>Eureka Services</t>
  </si>
  <si>
    <t>D</t>
  </si>
  <si>
    <t>1/ Per Docket 19-057-02, Report and Order</t>
  </si>
  <si>
    <t>Rate Calculation</t>
  </si>
  <si>
    <t>Rural</t>
  </si>
  <si>
    <t>Expansion</t>
  </si>
  <si>
    <t>WA1593-INST NEW EUREKA GATE ON ML104</t>
  </si>
  <si>
    <t>FL138-INST 9 MI OF 6" HP PIPE WA1593</t>
  </si>
  <si>
    <t>IHP MAIN-INST EUREKA EXPANSION</t>
  </si>
  <si>
    <t>EU0001-PURCH PROP NEW REG STA EUREKA</t>
  </si>
  <si>
    <t>EU0001-INST DIST REG STA EUREKA FL138</t>
  </si>
  <si>
    <t>NEW IHP SERVICES-INST EUREKA EXPANSION</t>
  </si>
  <si>
    <t>Project #s</t>
  </si>
  <si>
    <t>Depreciable Plant</t>
  </si>
  <si>
    <t>Project #</t>
  </si>
  <si>
    <t>L</t>
  </si>
  <si>
    <t>M</t>
  </si>
  <si>
    <t>N</t>
  </si>
  <si>
    <t>O</t>
  </si>
  <si>
    <t>2/ Total calculated surcharge amount from Exhibit 1.3, Column D, line 13</t>
  </si>
  <si>
    <t>2/ Cumultaive Depreciable Plant Balances is calculated without depreciaiton on purchased property</t>
  </si>
  <si>
    <t>Cumulative Depreciable Plant Balances 2/</t>
  </si>
  <si>
    <t xml:space="preserve">Book Depreciation </t>
  </si>
  <si>
    <t xml:space="preserve">     Replacement Rural Expansion in Tracker</t>
  </si>
  <si>
    <t>Service Lines Project Summary</t>
  </si>
  <si>
    <t>Main Lines Project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</si>
</sst>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  <numFmt numFmtId="168" formatCode="#,##0.00000_);\(#,##0.00000\)"/>
    <numFmt numFmtId="169" formatCode="0.0000000_)"/>
    <numFmt numFmtId="170" formatCode="#,##0.00000"/>
    <numFmt numFmtId="171" formatCode="&quot;$&quot;#,##0.00000_);\(&quot;$&quot;#,##0.00000\)"/>
    <numFmt numFmtId="172" formatCode="#,##0.0"/>
    <numFmt numFmtId="173" formatCode="#,##0.0_);\(#,##0.0\)"/>
    <numFmt numFmtId="174" formatCode="0.00_);\(0.00\)"/>
    <numFmt numFmtId="175" formatCode="[$-409]d\-mmm\-yy;@"/>
    <numFmt numFmtId="176" formatCode="0.00000"/>
    <numFmt numFmtId="177" formatCode="_(* #,##0.00000_);_(* \(#,##0.00000\);_(* &quot;-&quot;??_);_(@_)"/>
    <numFmt numFmtId="178" formatCode="#,##0.0000_);\(#,##0.0000\)"/>
    <numFmt numFmtId="179" formatCode="_(* #,##0.0000_);_(* \(#,##0.0000\);_(* &quot;-&quot;??_);_(@_)"/>
    <numFmt numFmtId="180" formatCode="_(* #,##0.000_);_(* \(#,##0.000\);_(* &quot;-&quot;??_);_(@_)"/>
  </numFmts>
  <fonts count="25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LinePrinter"/>
    </font>
    <font>
      <b/>
      <sz val="10"/>
      <color indexed="12"/>
      <name val="Arial"/>
      <family val="2"/>
    </font>
    <font>
      <sz val="10"/>
      <name val="Arial Unicode MS"/>
      <family val="2"/>
    </font>
    <font>
      <sz val="12"/>
      <name val="Times New Roman"/>
      <family val="1"/>
    </font>
    <font>
      <sz val="10"/>
      <name val="Arial Narrow"/>
      <family val="2"/>
    </font>
    <font>
      <b/>
      <sz val="10"/>
      <name val="MS Sans Serif"/>
      <family val="2"/>
    </font>
    <font>
      <sz val="12"/>
      <name val="Arial"/>
      <family val="2"/>
    </font>
    <font>
      <sz val="12"/>
      <name val="MS Sans Serif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3">
    <xf numFmtId="164" fontId="0" fillId="0" borderId="0"/>
    <xf numFmtId="164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4" fontId="4" fillId="0" borderId="1">
      <alignment horizontal="center"/>
    </xf>
    <xf numFmtId="3" fontId="5" fillId="0" borderId="0" applyFont="0" applyFill="0" applyBorder="0" applyAlignment="0" applyProtection="0"/>
    <xf numFmtId="164" fontId="5" fillId="2" borderId="0" applyNumberFormat="0" applyFon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Protection="0"/>
    <xf numFmtId="0" fontId="8" fillId="0" borderId="0"/>
    <xf numFmtId="9" fontId="8" fillId="0" borderId="0" applyFont="0" applyFill="0" applyBorder="0" applyAlignment="0" applyProtection="0"/>
    <xf numFmtId="0" fontId="15" fillId="0" borderId="0"/>
    <xf numFmtId="0" fontId="17" fillId="0" borderId="0"/>
    <xf numFmtId="43" fontId="8" fillId="0" borderId="0" applyFont="0" applyFill="0" applyBorder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Protection="0"/>
    <xf numFmtId="43" fontId="8" fillId="0" borderId="0" applyFont="0" applyFill="0" applyBorder="0" applyProtection="0"/>
    <xf numFmtId="44" fontId="3" fillId="0" borderId="0" applyFont="0" applyFill="0" applyBorder="0" applyAlignment="0" applyProtection="0"/>
    <xf numFmtId="0" fontId="1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</cellStyleXfs>
  <cellXfs count="268">
    <xf numFmtId="164" fontId="0" fillId="0" borderId="0" xfId="0"/>
    <xf numFmtId="164" fontId="6" fillId="0" borderId="0" xfId="0" applyFont="1"/>
    <xf numFmtId="164" fontId="7" fillId="0" borderId="0" xfId="0" applyFont="1"/>
    <xf numFmtId="164" fontId="0" fillId="0" borderId="0" xfId="0" applyBorder="1"/>
    <xf numFmtId="164" fontId="0" fillId="0" borderId="0" xfId="0" applyFill="1"/>
    <xf numFmtId="43" fontId="0" fillId="0" borderId="0" xfId="7" applyFont="1" applyFill="1"/>
    <xf numFmtId="43" fontId="0" fillId="0" borderId="0" xfId="7" applyFont="1"/>
    <xf numFmtId="1" fontId="0" fillId="0" borderId="0" xfId="0" applyNumberFormat="1"/>
    <xf numFmtId="165" fontId="0" fillId="0" borderId="0" xfId="7" applyNumberFormat="1" applyFont="1"/>
    <xf numFmtId="166" fontId="0" fillId="0" borderId="0" xfId="8" applyNumberFormat="1" applyFont="1"/>
    <xf numFmtId="43" fontId="7" fillId="0" borderId="2" xfId="7" applyFont="1" applyBorder="1"/>
    <xf numFmtId="165" fontId="0" fillId="0" borderId="3" xfId="7" applyNumberFormat="1" applyFont="1" applyBorder="1"/>
    <xf numFmtId="164" fontId="9" fillId="0" borderId="0" xfId="0" applyFont="1" applyAlignment="1"/>
    <xf numFmtId="164" fontId="9" fillId="0" borderId="0" xfId="0" applyFont="1" applyBorder="1" applyAlignment="1"/>
    <xf numFmtId="6" fontId="0" fillId="0" borderId="0" xfId="0" applyNumberFormat="1" applyFill="1" applyBorder="1"/>
    <xf numFmtId="0" fontId="0" fillId="0" borderId="0" xfId="0" applyNumberFormat="1"/>
    <xf numFmtId="0" fontId="8" fillId="0" borderId="0" xfId="9" applyFont="1" applyAlignment="1">
      <alignment horizontal="center"/>
    </xf>
    <xf numFmtId="168" fontId="12" fillId="0" borderId="0" xfId="12" applyNumberFormat="1" applyFont="1" applyFill="1" applyAlignment="1" applyProtection="1"/>
    <xf numFmtId="0" fontId="8" fillId="0" borderId="0" xfId="14" applyFont="1" applyFill="1" applyProtection="1"/>
    <xf numFmtId="0" fontId="10" fillId="0" borderId="0" xfId="14" applyFont="1" applyFill="1" applyAlignment="1" applyProtection="1">
      <alignment horizontal="center"/>
    </xf>
    <xf numFmtId="0" fontId="8" fillId="0" borderId="0" xfId="14" applyFont="1" applyFill="1" applyAlignment="1" applyProtection="1">
      <alignment horizontal="center"/>
    </xf>
    <xf numFmtId="0" fontId="8" fillId="0" borderId="0" xfId="14" quotePrefix="1" applyFont="1" applyFill="1" applyAlignment="1" applyProtection="1">
      <alignment horizontal="center"/>
    </xf>
    <xf numFmtId="0" fontId="8" fillId="0" borderId="0" xfId="14" quotePrefix="1" applyFont="1" applyFill="1" applyAlignment="1" applyProtection="1">
      <alignment horizontal="right"/>
    </xf>
    <xf numFmtId="0" fontId="10" fillId="0" borderId="0" xfId="14" applyFont="1" applyFill="1" applyProtection="1"/>
    <xf numFmtId="0" fontId="8" fillId="0" borderId="0" xfId="14" applyFont="1" applyFill="1" applyAlignment="1" applyProtection="1">
      <alignment vertical="center"/>
    </xf>
    <xf numFmtId="0" fontId="10" fillId="0" borderId="0" xfId="14" applyFont="1" applyFill="1" applyAlignment="1" applyProtection="1">
      <alignment horizontal="center" vertical="center"/>
    </xf>
    <xf numFmtId="0" fontId="10" fillId="0" borderId="0" xfId="14" quotePrefix="1" applyFont="1" applyFill="1" applyAlignment="1" applyProtection="1">
      <alignment horizontal="right" vertical="center"/>
    </xf>
    <xf numFmtId="0" fontId="10" fillId="0" borderId="0" xfId="14" applyFont="1" applyFill="1" applyAlignment="1" applyProtection="1">
      <alignment vertical="center"/>
    </xf>
    <xf numFmtId="0" fontId="8" fillId="0" borderId="0" xfId="14" applyFont="1" applyFill="1" applyAlignment="1" applyProtection="1">
      <alignment vertical="top"/>
    </xf>
    <xf numFmtId="0" fontId="10" fillId="0" borderId="1" xfId="14" applyFont="1" applyFill="1" applyBorder="1" applyAlignment="1" applyProtection="1">
      <alignment horizontal="center" vertical="top"/>
    </xf>
    <xf numFmtId="0" fontId="10" fillId="0" borderId="1" xfId="14" quotePrefix="1" applyFont="1" applyFill="1" applyBorder="1" applyAlignment="1" applyProtection="1">
      <alignment horizontal="right" vertical="top"/>
    </xf>
    <xf numFmtId="0" fontId="10" fillId="0" borderId="1" xfId="14" applyFont="1" applyFill="1" applyBorder="1" applyAlignment="1" applyProtection="1">
      <alignment horizontal="right" vertical="top"/>
    </xf>
    <xf numFmtId="172" fontId="12" fillId="0" borderId="0" xfId="9" applyNumberFormat="1" applyFont="1" applyAlignment="1" applyProtection="1">
      <alignment horizontal="right"/>
    </xf>
    <xf numFmtId="7" fontId="8" fillId="0" borderId="0" xfId="14" applyNumberFormat="1" applyFont="1" applyFill="1" applyAlignment="1" applyProtection="1">
      <alignment horizontal="right"/>
    </xf>
    <xf numFmtId="39" fontId="8" fillId="0" borderId="0" xfId="14" applyNumberFormat="1" applyFont="1" applyFill="1" applyAlignment="1" applyProtection="1">
      <alignment horizontal="right"/>
    </xf>
    <xf numFmtId="173" fontId="8" fillId="0" borderId="5" xfId="14" applyNumberFormat="1" applyFont="1" applyFill="1" applyBorder="1" applyAlignment="1" applyProtection="1">
      <alignment horizontal="center"/>
    </xf>
    <xf numFmtId="7" fontId="8" fillId="0" borderId="5" xfId="14" applyNumberFormat="1" applyFont="1" applyFill="1" applyBorder="1" applyAlignment="1" applyProtection="1">
      <alignment horizontal="center"/>
    </xf>
    <xf numFmtId="39" fontId="8" fillId="0" borderId="5" xfId="14" applyNumberFormat="1" applyFont="1" applyFill="1" applyBorder="1" applyAlignment="1" applyProtection="1">
      <alignment horizontal="center"/>
    </xf>
    <xf numFmtId="39" fontId="8" fillId="0" borderId="0" xfId="14" applyNumberFormat="1" applyFont="1" applyFill="1" applyBorder="1" applyAlignment="1" applyProtection="1">
      <alignment horizontal="center"/>
    </xf>
    <xf numFmtId="173" fontId="8" fillId="0" borderId="0" xfId="14" applyNumberFormat="1" applyFont="1" applyFill="1" applyAlignment="1" applyProtection="1">
      <alignment horizontal="center"/>
    </xf>
    <xf numFmtId="7" fontId="8" fillId="0" borderId="0" xfId="14" applyNumberFormat="1" applyFont="1" applyFill="1" applyAlignment="1" applyProtection="1">
      <alignment horizontal="center"/>
    </xf>
    <xf numFmtId="173" fontId="8" fillId="0" borderId="0" xfId="14" applyNumberFormat="1" applyFont="1" applyFill="1" applyAlignment="1">
      <alignment horizontal="center"/>
    </xf>
    <xf numFmtId="173" fontId="8" fillId="0" borderId="0" xfId="14" applyNumberFormat="1" applyFont="1" applyFill="1" applyAlignment="1" applyProtection="1">
      <alignment horizontal="right"/>
    </xf>
    <xf numFmtId="7" fontId="8" fillId="0" borderId="0" xfId="14" applyNumberFormat="1" applyFont="1" applyFill="1" applyProtection="1"/>
    <xf numFmtId="0" fontId="8" fillId="0" borderId="0" xfId="14" applyFont="1" applyFill="1" applyAlignment="1" applyProtection="1">
      <alignment horizontal="right"/>
    </xf>
    <xf numFmtId="174" fontId="8" fillId="0" borderId="0" xfId="13" applyNumberFormat="1" applyFont="1" applyFill="1" applyAlignment="1" applyProtection="1">
      <alignment horizontal="right"/>
    </xf>
    <xf numFmtId="0" fontId="8" fillId="0" borderId="0" xfId="14" quotePrefix="1" applyFont="1" applyFill="1" applyAlignment="1" applyProtection="1">
      <alignment horizontal="left"/>
    </xf>
    <xf numFmtId="175" fontId="8" fillId="0" borderId="0" xfId="9" applyNumberFormat="1" applyBorder="1"/>
    <xf numFmtId="0" fontId="8" fillId="0" borderId="0" xfId="9" applyBorder="1"/>
    <xf numFmtId="0" fontId="8" fillId="0" borderId="1" xfId="9" applyFont="1" applyBorder="1"/>
    <xf numFmtId="0" fontId="8" fillId="0" borderId="1" xfId="9" quotePrefix="1" applyFont="1" applyBorder="1" applyAlignment="1">
      <alignment horizontal="center"/>
    </xf>
    <xf numFmtId="0" fontId="8" fillId="0" borderId="0" xfId="9" applyFont="1" applyBorder="1"/>
    <xf numFmtId="2" fontId="8" fillId="0" borderId="0" xfId="9" applyNumberFormat="1" applyBorder="1"/>
    <xf numFmtId="176" fontId="8" fillId="0" borderId="0" xfId="9" applyNumberFormat="1" applyBorder="1"/>
    <xf numFmtId="0" fontId="8" fillId="0" borderId="0" xfId="9" quotePrefix="1" applyFont="1" applyBorder="1" applyAlignment="1">
      <alignment horizontal="center"/>
    </xf>
    <xf numFmtId="14" fontId="16" fillId="0" borderId="0" xfId="14" quotePrefix="1" applyNumberFormat="1" applyFont="1" applyFill="1" applyBorder="1" applyAlignment="1" applyProtection="1">
      <alignment horizontal="center" vertical="top"/>
    </xf>
    <xf numFmtId="176" fontId="8" fillId="0" borderId="0" xfId="9" applyNumberFormat="1" applyFont="1" applyBorder="1"/>
    <xf numFmtId="164" fontId="5" fillId="0" borderId="0" xfId="0" applyFont="1"/>
    <xf numFmtId="165" fontId="0" fillId="0" borderId="0" xfId="7" applyNumberFormat="1" applyFont="1" applyFill="1"/>
    <xf numFmtId="164" fontId="9" fillId="0" borderId="0" xfId="0" applyFont="1" applyFill="1" applyBorder="1" applyAlignment="1">
      <alignment horizontal="left" vertical="top"/>
    </xf>
    <xf numFmtId="164" fontId="0" fillId="3" borderId="0" xfId="0" applyFill="1"/>
    <xf numFmtId="177" fontId="0" fillId="0" borderId="0" xfId="7" applyNumberFormat="1" applyFont="1"/>
    <xf numFmtId="168" fontId="13" fillId="0" borderId="0" xfId="12" applyNumberFormat="1" applyFont="1" applyFill="1" applyAlignment="1" applyProtection="1"/>
    <xf numFmtId="164" fontId="4" fillId="0" borderId="0" xfId="0" applyFont="1"/>
    <xf numFmtId="177" fontId="12" fillId="0" borderId="0" xfId="7" applyNumberFormat="1" applyFont="1" applyFill="1" applyAlignment="1" applyProtection="1"/>
    <xf numFmtId="43" fontId="5" fillId="0" borderId="0" xfId="7" applyFont="1"/>
    <xf numFmtId="10" fontId="0" fillId="0" borderId="0" xfId="8" applyNumberFormat="1" applyFont="1"/>
    <xf numFmtId="164" fontId="9" fillId="0" borderId="0" xfId="0" applyNumberFormat="1" applyFont="1" applyAlignment="1"/>
    <xf numFmtId="164" fontId="22" fillId="0" borderId="0" xfId="0" applyFont="1"/>
    <xf numFmtId="5" fontId="0" fillId="0" borderId="0" xfId="0" applyNumberFormat="1" applyBorder="1"/>
    <xf numFmtId="164" fontId="7" fillId="0" borderId="0" xfId="0" applyFont="1" applyFill="1"/>
    <xf numFmtId="164" fontId="5" fillId="0" borderId="0" xfId="0" applyFont="1" applyFill="1"/>
    <xf numFmtId="164" fontId="6" fillId="0" borderId="0" xfId="0" applyFont="1" applyFill="1"/>
    <xf numFmtId="164" fontId="0" fillId="0" borderId="0" xfId="0" quotePrefix="1" applyFont="1" applyFill="1" applyAlignment="1">
      <alignment horizontal="left" indent="1"/>
    </xf>
    <xf numFmtId="164" fontId="5" fillId="0" borderId="0" xfId="0" quotePrefix="1" applyFont="1" applyFill="1" applyAlignment="1">
      <alignment horizontal="left"/>
    </xf>
    <xf numFmtId="164" fontId="4" fillId="0" borderId="0" xfId="0" applyFont="1" applyFill="1" applyAlignment="1">
      <alignment horizontal="left"/>
    </xf>
    <xf numFmtId="164" fontId="0" fillId="0" borderId="0" xfId="0" applyFont="1" applyFill="1" applyAlignment="1">
      <alignment horizontal="left"/>
    </xf>
    <xf numFmtId="43" fontId="0" fillId="4" borderId="0" xfId="7" applyFont="1" applyFill="1"/>
    <xf numFmtId="164" fontId="0" fillId="0" borderId="0" xfId="0" quotePrefix="1" applyFont="1" applyFill="1" applyBorder="1"/>
    <xf numFmtId="10" fontId="0" fillId="0" borderId="0" xfId="0" applyNumberFormat="1"/>
    <xf numFmtId="10" fontId="0" fillId="0" borderId="0" xfId="7" applyNumberFormat="1" applyFont="1"/>
    <xf numFmtId="43" fontId="5" fillId="4" borderId="0" xfId="7" applyFont="1" applyFill="1"/>
    <xf numFmtId="179" fontId="0" fillId="4" borderId="0" xfId="7" applyNumberFormat="1" applyFont="1" applyFill="1" applyBorder="1"/>
    <xf numFmtId="164" fontId="0" fillId="0" borderId="4" xfId="0" applyBorder="1"/>
    <xf numFmtId="4" fontId="0" fillId="0" borderId="0" xfId="0" applyNumberFormat="1" applyFill="1"/>
    <xf numFmtId="164" fontId="9" fillId="0" borderId="0" xfId="0" applyFont="1" applyAlignment="1">
      <alignment vertical="top"/>
    </xf>
    <xf numFmtId="4" fontId="0" fillId="0" borderId="0" xfId="0" applyNumberFormat="1"/>
    <xf numFmtId="43" fontId="0" fillId="0" borderId="0" xfId="7" applyNumberFormat="1" applyFont="1" applyFill="1"/>
    <xf numFmtId="168" fontId="12" fillId="5" borderId="0" xfId="12" applyNumberFormat="1" applyFont="1" applyFill="1" applyAlignment="1" applyProtection="1"/>
    <xf numFmtId="177" fontId="12" fillId="5" borderId="0" xfId="7" applyNumberFormat="1" applyFont="1" applyFill="1" applyAlignment="1" applyProtection="1"/>
    <xf numFmtId="5" fontId="8" fillId="0" borderId="0" xfId="9" applyNumberFormat="1" applyFont="1" applyFill="1"/>
    <xf numFmtId="180" fontId="0" fillId="0" borderId="0" xfId="7" applyNumberFormat="1" applyFont="1"/>
    <xf numFmtId="0" fontId="0" fillId="0" borderId="0" xfId="0" quotePrefix="1" applyNumberFormat="1" applyFont="1" applyFill="1" applyBorder="1"/>
    <xf numFmtId="165" fontId="0" fillId="0" borderId="0" xfId="0" applyNumberFormat="1"/>
    <xf numFmtId="14" fontId="8" fillId="0" borderId="0" xfId="9" applyNumberFormat="1" applyFont="1" applyBorder="1"/>
    <xf numFmtId="164" fontId="7" fillId="0" borderId="0" xfId="0" applyFont="1" applyFill="1" applyAlignment="1"/>
    <xf numFmtId="0" fontId="7" fillId="0" borderId="0" xfId="0" applyNumberFormat="1" applyFont="1" applyFill="1" applyAlignment="1">
      <alignment horizontal="center"/>
    </xf>
    <xf numFmtId="164" fontId="20" fillId="0" borderId="0" xfId="0" applyFont="1" applyFill="1" applyAlignment="1">
      <alignment horizontal="center"/>
    </xf>
    <xf numFmtId="164" fontId="7" fillId="0" borderId="0" xfId="0" applyFont="1" applyFill="1" applyAlignment="1">
      <alignment horizontal="center"/>
    </xf>
    <xf numFmtId="164" fontId="4" fillId="0" borderId="0" xfId="0" applyFont="1" applyFill="1" applyAlignment="1">
      <alignment horizontal="center"/>
    </xf>
    <xf numFmtId="0" fontId="9" fillId="0" borderId="0" xfId="0" applyNumberFormat="1" applyFont="1" applyFill="1"/>
    <xf numFmtId="164" fontId="9" fillId="0" borderId="0" xfId="0" applyFont="1" applyFill="1" applyAlignment="1">
      <alignment horizontal="center"/>
    </xf>
    <xf numFmtId="164" fontId="9" fillId="0" borderId="0" xfId="0" applyFont="1" applyFill="1" applyAlignment="1"/>
    <xf numFmtId="164" fontId="9" fillId="0" borderId="4" xfId="0" applyFont="1" applyFill="1" applyBorder="1" applyAlignment="1">
      <alignment horizontal="center"/>
    </xf>
    <xf numFmtId="6" fontId="9" fillId="0" borderId="0" xfId="0" applyNumberFormat="1" applyFont="1" applyFill="1"/>
    <xf numFmtId="164" fontId="9" fillId="0" borderId="0" xfId="0" applyFont="1" applyFill="1"/>
    <xf numFmtId="5" fontId="9" fillId="0" borderId="0" xfId="0" applyNumberFormat="1" applyFont="1" applyFill="1"/>
    <xf numFmtId="5" fontId="9" fillId="0" borderId="0" xfId="0" applyNumberFormat="1" applyFont="1" applyFill="1" applyBorder="1"/>
    <xf numFmtId="6" fontId="9" fillId="0" borderId="2" xfId="0" applyNumberFormat="1" applyFont="1" applyFill="1" applyBorder="1"/>
    <xf numFmtId="6" fontId="9" fillId="0" borderId="0" xfId="0" applyNumberFormat="1" applyFont="1" applyFill="1" applyBorder="1"/>
    <xf numFmtId="165" fontId="9" fillId="0" borderId="4" xfId="0" applyNumberFormat="1" applyFont="1" applyFill="1" applyBorder="1"/>
    <xf numFmtId="165" fontId="9" fillId="0" borderId="0" xfId="0" applyNumberFormat="1" applyFont="1" applyFill="1" applyBorder="1"/>
    <xf numFmtId="6" fontId="9" fillId="0" borderId="4" xfId="0" applyNumberFormat="1" applyFont="1" applyFill="1" applyBorder="1"/>
    <xf numFmtId="10" fontId="9" fillId="0" borderId="0" xfId="8" applyNumberFormat="1" applyFont="1" applyFill="1"/>
    <xf numFmtId="10" fontId="9" fillId="0" borderId="0" xfId="8" applyNumberFormat="1" applyFont="1" applyFill="1" applyBorder="1"/>
    <xf numFmtId="5" fontId="8" fillId="0" borderId="0" xfId="32" applyNumberFormat="1" applyFont="1" applyFill="1" applyBorder="1"/>
    <xf numFmtId="0" fontId="0" fillId="0" borderId="0" xfId="0" applyNumberFormat="1" applyFill="1"/>
    <xf numFmtId="0" fontId="21" fillId="0" borderId="0" xfId="9" applyFont="1" applyFill="1"/>
    <xf numFmtId="5" fontId="21" fillId="0" borderId="0" xfId="9" applyNumberFormat="1" applyFont="1" applyFill="1"/>
    <xf numFmtId="0" fontId="21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164" fontId="22" fillId="0" borderId="0" xfId="0" applyFont="1" applyFill="1"/>
    <xf numFmtId="0" fontId="8" fillId="0" borderId="0" xfId="9" applyFont="1" applyFill="1"/>
    <xf numFmtId="0" fontId="21" fillId="0" borderId="0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21" fillId="0" borderId="4" xfId="9" applyFont="1" applyFill="1" applyBorder="1" applyAlignment="1">
      <alignment horizontal="center"/>
    </xf>
    <xf numFmtId="167" fontId="23" fillId="0" borderId="0" xfId="10" applyNumberFormat="1" applyFont="1" applyFill="1" applyBorder="1"/>
    <xf numFmtId="167" fontId="23" fillId="0" borderId="2" xfId="10" applyNumberFormat="1" applyFont="1" applyFill="1" applyBorder="1"/>
    <xf numFmtId="10" fontId="23" fillId="0" borderId="0" xfId="8" applyNumberFormat="1" applyFont="1" applyFill="1" applyBorder="1"/>
    <xf numFmtId="167" fontId="9" fillId="0" borderId="0" xfId="10" applyNumberFormat="1" applyFont="1" applyFill="1" applyBorder="1"/>
    <xf numFmtId="165" fontId="23" fillId="0" borderId="0" xfId="11" applyNumberFormat="1" applyFont="1" applyFill="1" applyBorder="1"/>
    <xf numFmtId="165" fontId="9" fillId="0" borderId="0" xfId="11" applyNumberFormat="1" applyFont="1" applyFill="1" applyBorder="1"/>
    <xf numFmtId="167" fontId="23" fillId="0" borderId="4" xfId="10" applyNumberFormat="1" applyFont="1" applyFill="1" applyBorder="1"/>
    <xf numFmtId="167" fontId="23" fillId="0" borderId="0" xfId="10" applyNumberFormat="1" applyFont="1" applyFill="1"/>
    <xf numFmtId="167" fontId="9" fillId="0" borderId="0" xfId="10" applyNumberFormat="1" applyFont="1" applyFill="1"/>
    <xf numFmtId="9" fontId="23" fillId="0" borderId="0" xfId="8" applyFont="1" applyFill="1"/>
    <xf numFmtId="0" fontId="8" fillId="0" borderId="0" xfId="9" applyFill="1"/>
    <xf numFmtId="0" fontId="10" fillId="0" borderId="0" xfId="12" applyFont="1" applyFill="1" applyAlignment="1">
      <alignment horizontal="center"/>
    </xf>
    <xf numFmtId="0" fontId="8" fillId="0" borderId="0" xfId="12" applyFont="1" applyFill="1" applyAlignment="1"/>
    <xf numFmtId="3" fontId="8" fillId="0" borderId="0" xfId="12" applyNumberFormat="1" applyFont="1" applyFill="1" applyAlignment="1">
      <alignment horizontal="center"/>
    </xf>
    <xf numFmtId="0" fontId="8" fillId="0" borderId="0" xfId="12" applyFont="1" applyFill="1" applyBorder="1" applyAlignment="1"/>
    <xf numFmtId="3" fontId="10" fillId="0" borderId="0" xfId="12" applyNumberFormat="1" applyFont="1" applyFill="1" applyAlignment="1">
      <alignment horizontal="center"/>
    </xf>
    <xf numFmtId="0" fontId="10" fillId="0" borderId="0" xfId="12" applyFont="1" applyFill="1" applyBorder="1" applyAlignment="1">
      <alignment horizontal="center"/>
    </xf>
    <xf numFmtId="0" fontId="10" fillId="0" borderId="0" xfId="12" quotePrefix="1" applyFont="1" applyFill="1" applyBorder="1" applyAlignment="1" applyProtection="1">
      <alignment horizontal="left"/>
    </xf>
    <xf numFmtId="0" fontId="8" fillId="0" borderId="0" xfId="12" applyFont="1" applyFill="1" applyBorder="1" applyAlignment="1" applyProtection="1"/>
    <xf numFmtId="3" fontId="8" fillId="0" borderId="0" xfId="12" applyNumberFormat="1" applyFont="1" applyFill="1" applyBorder="1" applyAlignment="1" applyProtection="1">
      <alignment horizontal="center"/>
    </xf>
    <xf numFmtId="0" fontId="10" fillId="0" borderId="0" xfId="12" applyFont="1" applyFill="1" applyAlignment="1" applyProtection="1">
      <alignment horizontal="center"/>
    </xf>
    <xf numFmtId="0" fontId="10" fillId="0" borderId="0" xfId="12" applyFont="1" applyFill="1" applyAlignment="1" applyProtection="1"/>
    <xf numFmtId="0" fontId="10" fillId="0" borderId="1" xfId="12" applyFont="1" applyFill="1" applyBorder="1" applyAlignment="1"/>
    <xf numFmtId="0" fontId="10" fillId="0" borderId="1" xfId="12" applyFont="1" applyFill="1" applyBorder="1" applyAlignment="1" applyProtection="1"/>
    <xf numFmtId="3" fontId="10" fillId="0" borderId="1" xfId="12" applyNumberFormat="1" applyFont="1" applyFill="1" applyBorder="1" applyAlignment="1" applyProtection="1">
      <alignment horizontal="center"/>
    </xf>
    <xf numFmtId="3" fontId="10" fillId="0" borderId="0" xfId="12" applyNumberFormat="1" applyFont="1" applyFill="1" applyBorder="1" applyAlignment="1" applyProtection="1">
      <alignment horizontal="center"/>
    </xf>
    <xf numFmtId="0" fontId="10" fillId="0" borderId="1" xfId="12" applyFont="1" applyFill="1" applyBorder="1" applyAlignment="1" applyProtection="1">
      <alignment horizontal="center"/>
    </xf>
    <xf numFmtId="0" fontId="10" fillId="0" borderId="1" xfId="12" quotePrefix="1" applyFont="1" applyFill="1" applyBorder="1" applyAlignment="1" applyProtection="1">
      <alignment horizontal="center"/>
    </xf>
    <xf numFmtId="0" fontId="12" fillId="0" borderId="0" xfId="12" quotePrefix="1" applyFont="1" applyFill="1" applyBorder="1" applyAlignment="1" applyProtection="1">
      <alignment horizontal="left"/>
    </xf>
    <xf numFmtId="37" fontId="12" fillId="0" borderId="0" xfId="12" quotePrefix="1" applyNumberFormat="1" applyFont="1" applyFill="1" applyBorder="1" applyAlignment="1" applyProtection="1">
      <alignment horizontal="center"/>
    </xf>
    <xf numFmtId="37" fontId="12" fillId="0" borderId="0" xfId="12" applyNumberFormat="1" applyFont="1" applyFill="1" applyAlignment="1"/>
    <xf numFmtId="168" fontId="12" fillId="0" borderId="0" xfId="12" applyNumberFormat="1" applyFont="1" applyFill="1" applyAlignment="1"/>
    <xf numFmtId="37" fontId="12" fillId="0" borderId="0" xfId="12" applyNumberFormat="1" applyFont="1" applyFill="1" applyAlignment="1" applyProtection="1"/>
    <xf numFmtId="4" fontId="8" fillId="0" borderId="0" xfId="12" applyNumberFormat="1" applyFont="1" applyFill="1" applyBorder="1" applyAlignment="1" applyProtection="1"/>
    <xf numFmtId="10" fontId="12" fillId="0" borderId="0" xfId="13" applyNumberFormat="1" applyFont="1" applyFill="1" applyAlignment="1"/>
    <xf numFmtId="169" fontId="8" fillId="0" borderId="0" xfId="12" applyNumberFormat="1" applyFont="1" applyFill="1" applyBorder="1" applyAlignment="1" applyProtection="1"/>
    <xf numFmtId="0" fontId="12" fillId="0" borderId="0" xfId="12" applyFont="1" applyFill="1" applyAlignment="1"/>
    <xf numFmtId="3" fontId="12" fillId="0" borderId="0" xfId="12" quotePrefix="1" applyNumberFormat="1" applyFont="1" applyFill="1" applyBorder="1" applyAlignment="1" applyProtection="1">
      <alignment horizontal="center"/>
    </xf>
    <xf numFmtId="0" fontId="12" fillId="0" borderId="0" xfId="12" applyFont="1" applyFill="1" applyBorder="1" applyAlignment="1" applyProtection="1"/>
    <xf numFmtId="0" fontId="13" fillId="0" borderId="0" xfId="12" quotePrefix="1" applyFont="1" applyFill="1" applyBorder="1" applyAlignment="1" applyProtection="1">
      <alignment horizontal="left"/>
    </xf>
    <xf numFmtId="37" fontId="12" fillId="0" borderId="3" xfId="12" applyNumberFormat="1" applyFont="1" applyFill="1" applyBorder="1" applyAlignment="1"/>
    <xf numFmtId="168" fontId="12" fillId="0" borderId="3" xfId="12" applyNumberFormat="1" applyFont="1" applyFill="1" applyBorder="1" applyAlignment="1"/>
    <xf numFmtId="170" fontId="8" fillId="0" borderId="0" xfId="12" applyNumberFormat="1" applyFont="1" applyFill="1" applyBorder="1" applyAlignment="1" applyProtection="1"/>
    <xf numFmtId="10" fontId="12" fillId="0" borderId="3" xfId="13" applyNumberFormat="1" applyFont="1" applyFill="1" applyBorder="1" applyAlignment="1"/>
    <xf numFmtId="0" fontId="8" fillId="0" borderId="1" xfId="12" applyFont="1" applyFill="1" applyBorder="1" applyAlignment="1" applyProtection="1"/>
    <xf numFmtId="3" fontId="8" fillId="0" borderId="1" xfId="12" applyNumberFormat="1" applyFont="1" applyFill="1" applyBorder="1" applyAlignment="1" applyProtection="1">
      <alignment horizontal="center"/>
    </xf>
    <xf numFmtId="37" fontId="8" fillId="0" borderId="1" xfId="12" applyNumberFormat="1" applyFont="1" applyFill="1" applyBorder="1" applyAlignment="1" applyProtection="1"/>
    <xf numFmtId="37" fontId="8" fillId="0" borderId="0" xfId="12" applyNumberFormat="1" applyFont="1" applyFill="1" applyBorder="1" applyAlignment="1" applyProtection="1"/>
    <xf numFmtId="0" fontId="12" fillId="0" borderId="0" xfId="12" applyFont="1" applyFill="1" applyBorder="1" applyAlignment="1" applyProtection="1">
      <alignment horizontal="left"/>
    </xf>
    <xf numFmtId="10" fontId="12" fillId="0" borderId="2" xfId="13" applyNumberFormat="1" applyFont="1" applyFill="1" applyBorder="1" applyAlignment="1"/>
    <xf numFmtId="10" fontId="12" fillId="0" borderId="0" xfId="13" applyNumberFormat="1" applyFont="1" applyFill="1" applyBorder="1" applyAlignment="1"/>
    <xf numFmtId="5" fontId="12" fillId="0" borderId="1" xfId="12" applyNumberFormat="1" applyFont="1" applyFill="1" applyBorder="1" applyAlignment="1" applyProtection="1"/>
    <xf numFmtId="5" fontId="8" fillId="0" borderId="1" xfId="12" applyNumberFormat="1" applyFont="1" applyFill="1" applyBorder="1" applyAlignment="1" applyProtection="1"/>
    <xf numFmtId="5" fontId="12" fillId="0" borderId="0" xfId="12" applyNumberFormat="1" applyFont="1" applyFill="1" applyBorder="1" applyAlignment="1" applyProtection="1"/>
    <xf numFmtId="5" fontId="8" fillId="0" borderId="0" xfId="12" applyNumberFormat="1" applyFont="1" applyFill="1" applyBorder="1" applyAlignment="1" applyProtection="1"/>
    <xf numFmtId="10" fontId="12" fillId="0" borderId="0" xfId="13" applyNumberFormat="1" applyFont="1" applyFill="1" applyAlignment="1" applyProtection="1"/>
    <xf numFmtId="171" fontId="12" fillId="0" borderId="0" xfId="12" applyNumberFormat="1" applyFont="1" applyFill="1" applyAlignment="1"/>
    <xf numFmtId="37" fontId="12" fillId="0" borderId="2" xfId="12" applyNumberFormat="1" applyFont="1" applyFill="1" applyBorder="1" applyAlignment="1"/>
    <xf numFmtId="171" fontId="12" fillId="0" borderId="2" xfId="12" applyNumberFormat="1" applyFont="1" applyFill="1" applyBorder="1" applyAlignment="1"/>
    <xf numFmtId="37" fontId="12" fillId="0" borderId="0" xfId="12" applyNumberFormat="1" applyFont="1" applyFill="1" applyBorder="1" applyAlignment="1"/>
    <xf numFmtId="171" fontId="12" fillId="0" borderId="0" xfId="12" applyNumberFormat="1" applyFont="1" applyFill="1" applyBorder="1" applyAlignment="1"/>
    <xf numFmtId="37" fontId="12" fillId="0" borderId="0" xfId="12" applyNumberFormat="1" applyFont="1" applyFill="1" applyAlignment="1">
      <alignment horizontal="center"/>
    </xf>
    <xf numFmtId="37" fontId="12" fillId="0" borderId="0" xfId="12" applyNumberFormat="1" applyFont="1" applyFill="1" applyBorder="1" applyAlignment="1">
      <alignment horizontal="center"/>
    </xf>
    <xf numFmtId="0" fontId="14" fillId="0" borderId="1" xfId="12" applyFont="1" applyFill="1" applyBorder="1" applyAlignment="1" applyProtection="1"/>
    <xf numFmtId="0" fontId="8" fillId="0" borderId="1" xfId="12" quotePrefix="1" applyFont="1" applyFill="1" applyBorder="1" applyAlignment="1" applyProtection="1">
      <alignment horizontal="left"/>
    </xf>
    <xf numFmtId="3" fontId="8" fillId="0" borderId="1" xfId="12" quotePrefix="1" applyNumberFormat="1" applyFont="1" applyFill="1" applyBorder="1" applyAlignment="1" applyProtection="1">
      <alignment horizontal="center"/>
    </xf>
    <xf numFmtId="3" fontId="8" fillId="0" borderId="0" xfId="12" quotePrefix="1" applyNumberFormat="1" applyFont="1" applyFill="1" applyBorder="1" applyAlignment="1" applyProtection="1">
      <alignment horizontal="center"/>
    </xf>
    <xf numFmtId="37" fontId="8" fillId="0" borderId="1" xfId="12" applyNumberFormat="1" applyFont="1" applyFill="1" applyBorder="1" applyAlignment="1"/>
    <xf numFmtId="171" fontId="8" fillId="0" borderId="1" xfId="12" applyNumberFormat="1" applyFont="1" applyFill="1" applyBorder="1" applyAlignment="1"/>
    <xf numFmtId="0" fontId="14" fillId="0" borderId="0" xfId="12" applyFont="1" applyFill="1" applyBorder="1" applyAlignment="1" applyProtection="1"/>
    <xf numFmtId="0" fontId="8" fillId="0" borderId="0" xfId="12" quotePrefix="1" applyFont="1" applyFill="1" applyBorder="1" applyAlignment="1" applyProtection="1">
      <alignment horizontal="left"/>
    </xf>
    <xf numFmtId="37" fontId="8" fillId="0" borderId="0" xfId="12" applyNumberFormat="1" applyFont="1" applyFill="1" applyBorder="1" applyAlignment="1"/>
    <xf numFmtId="171" fontId="8" fillId="0" borderId="0" xfId="12" applyNumberFormat="1" applyFont="1" applyFill="1" applyBorder="1" applyAlignment="1"/>
    <xf numFmtId="0" fontId="8" fillId="0" borderId="0" xfId="12" applyFont="1" applyFill="1" applyBorder="1" applyAlignment="1">
      <alignment horizontal="left"/>
    </xf>
    <xf numFmtId="43" fontId="12" fillId="0" borderId="0" xfId="7" applyFont="1" applyFill="1" applyBorder="1" applyAlignment="1"/>
    <xf numFmtId="3" fontId="14" fillId="0" borderId="0" xfId="12" applyNumberFormat="1" applyFont="1" applyFill="1" applyBorder="1" applyAlignment="1" applyProtection="1">
      <alignment horizontal="center"/>
    </xf>
    <xf numFmtId="10" fontId="8" fillId="0" borderId="0" xfId="13" applyNumberFormat="1" applyFont="1" applyFill="1" applyBorder="1" applyAlignment="1" applyProtection="1"/>
    <xf numFmtId="168" fontId="12" fillId="0" borderId="0" xfId="12" applyNumberFormat="1" applyFont="1" applyFill="1" applyBorder="1" applyAlignment="1"/>
    <xf numFmtId="37" fontId="12" fillId="0" borderId="4" xfId="12" applyNumberFormat="1" applyFont="1" applyFill="1" applyBorder="1" applyAlignment="1"/>
    <xf numFmtId="10" fontId="8" fillId="0" borderId="4" xfId="13" applyNumberFormat="1" applyFont="1" applyFill="1" applyBorder="1" applyAlignment="1" applyProtection="1"/>
    <xf numFmtId="168" fontId="12" fillId="0" borderId="4" xfId="12" applyNumberFormat="1" applyFont="1" applyFill="1" applyBorder="1" applyAlignment="1"/>
    <xf numFmtId="168" fontId="12" fillId="0" borderId="2" xfId="12" applyNumberFormat="1" applyFont="1" applyFill="1" applyBorder="1" applyAlignment="1"/>
    <xf numFmtId="7" fontId="8" fillId="0" borderId="0" xfId="12" applyNumberFormat="1" applyFont="1" applyFill="1" applyBorder="1" applyAlignment="1" applyProtection="1"/>
    <xf numFmtId="0" fontId="12" fillId="0" borderId="1" xfId="12" applyFont="1" applyFill="1" applyBorder="1" applyAlignment="1" applyProtection="1"/>
    <xf numFmtId="3" fontId="14" fillId="0" borderId="1" xfId="12" applyNumberFormat="1" applyFont="1" applyFill="1" applyBorder="1" applyAlignment="1" applyProtection="1">
      <alignment horizontal="center"/>
    </xf>
    <xf numFmtId="37" fontId="12" fillId="0" borderId="1" xfId="12" applyNumberFormat="1" applyFont="1" applyFill="1" applyBorder="1" applyAlignment="1"/>
    <xf numFmtId="7" fontId="8" fillId="0" borderId="1" xfId="12" applyNumberFormat="1" applyFont="1" applyFill="1" applyBorder="1" applyAlignment="1" applyProtection="1"/>
    <xf numFmtId="37" fontId="12" fillId="0" borderId="2" xfId="12" applyNumberFormat="1" applyFont="1" applyFill="1" applyBorder="1" applyAlignment="1">
      <alignment horizontal="right"/>
    </xf>
    <xf numFmtId="171" fontId="12" fillId="0" borderId="2" xfId="12" applyNumberFormat="1" applyFont="1" applyFill="1" applyBorder="1" applyAlignment="1">
      <alignment horizontal="center"/>
    </xf>
    <xf numFmtId="37" fontId="12" fillId="0" borderId="0" xfId="12" applyNumberFormat="1" applyFont="1" applyFill="1" applyBorder="1" applyAlignment="1">
      <alignment horizontal="right"/>
    </xf>
    <xf numFmtId="37" fontId="8" fillId="0" borderId="0" xfId="12" applyNumberFormat="1" applyFont="1" applyFill="1" applyAlignment="1"/>
    <xf numFmtId="171" fontId="8" fillId="0" borderId="0" xfId="12" applyNumberFormat="1" applyFont="1" applyFill="1" applyAlignment="1"/>
    <xf numFmtId="37" fontId="8" fillId="0" borderId="0" xfId="12" applyNumberFormat="1" applyFont="1" applyFill="1" applyAlignment="1" applyProtection="1"/>
    <xf numFmtId="0" fontId="8" fillId="0" borderId="0" xfId="12" applyFont="1" applyFill="1" applyAlignment="1">
      <alignment horizontal="right"/>
    </xf>
    <xf numFmtId="5" fontId="10" fillId="0" borderId="5" xfId="12" applyNumberFormat="1" applyFont="1" applyFill="1" applyBorder="1" applyAlignment="1"/>
    <xf numFmtId="7" fontId="8" fillId="0" borderId="0" xfId="12" applyNumberFormat="1" applyFont="1" applyFill="1" applyAlignment="1"/>
    <xf numFmtId="0" fontId="0" fillId="0" borderId="0" xfId="7" applyNumberFormat="1" applyFont="1"/>
    <xf numFmtId="43" fontId="0" fillId="6" borderId="0" xfId="7" applyFont="1" applyFill="1"/>
    <xf numFmtId="164" fontId="8" fillId="0" borderId="0" xfId="0" applyFont="1"/>
    <xf numFmtId="43" fontId="8" fillId="0" borderId="0" xfId="7" applyFont="1" applyAlignment="1">
      <alignment horizontal="center"/>
    </xf>
    <xf numFmtId="164" fontId="8" fillId="0" borderId="0" xfId="7" applyNumberFormat="1" applyFont="1" applyAlignment="1">
      <alignment horizontal="center"/>
    </xf>
    <xf numFmtId="164" fontId="10" fillId="0" borderId="0" xfId="0" applyFont="1"/>
    <xf numFmtId="0" fontId="8" fillId="0" borderId="0" xfId="0" quotePrefix="1" applyNumberFormat="1" applyFont="1"/>
    <xf numFmtId="0" fontId="8" fillId="0" borderId="0" xfId="0" quotePrefix="1" applyNumberFormat="1" applyFont="1" applyFill="1" applyBorder="1"/>
    <xf numFmtId="164" fontId="8" fillId="0" borderId="0" xfId="0" applyFont="1" applyFill="1"/>
    <xf numFmtId="165" fontId="8" fillId="0" borderId="0" xfId="7" applyNumberFormat="1" applyFont="1"/>
    <xf numFmtId="165" fontId="8" fillId="0" borderId="0" xfId="7" applyNumberFormat="1" applyFont="1" applyFill="1"/>
    <xf numFmtId="0" fontId="8" fillId="0" borderId="0" xfId="0" applyNumberFormat="1" applyFont="1"/>
    <xf numFmtId="165" fontId="8" fillId="0" borderId="3" xfId="7" applyNumberFormat="1" applyFont="1" applyBorder="1"/>
    <xf numFmtId="1" fontId="8" fillId="0" borderId="0" xfId="0" applyNumberFormat="1" applyFont="1"/>
    <xf numFmtId="37" fontId="8" fillId="0" borderId="0" xfId="0" applyNumberFormat="1" applyFont="1"/>
    <xf numFmtId="178" fontId="8" fillId="0" borderId="0" xfId="8" applyNumberFormat="1" applyFont="1"/>
    <xf numFmtId="37" fontId="8" fillId="0" borderId="0" xfId="7" applyNumberFormat="1" applyFont="1"/>
    <xf numFmtId="37" fontId="8" fillId="0" borderId="0" xfId="0" applyNumberFormat="1" applyFont="1" applyFill="1"/>
    <xf numFmtId="0" fontId="8" fillId="0" borderId="0" xfId="0" applyNumberFormat="1" applyFont="1" applyFill="1"/>
    <xf numFmtId="38" fontId="8" fillId="0" borderId="0" xfId="0" applyNumberFormat="1" applyFont="1" applyFill="1"/>
    <xf numFmtId="38" fontId="8" fillId="0" borderId="0" xfId="0" applyNumberFormat="1" applyFont="1"/>
    <xf numFmtId="43" fontId="8" fillId="0" borderId="0" xfId="7" applyFont="1" applyFill="1" applyAlignment="1">
      <alignment horizontal="center"/>
    </xf>
    <xf numFmtId="164" fontId="8" fillId="0" borderId="0" xfId="7" applyNumberFormat="1" applyFont="1" applyFill="1" applyAlignment="1">
      <alignment horizontal="center"/>
    </xf>
    <xf numFmtId="164" fontId="10" fillId="0" borderId="0" xfId="0" applyFont="1" applyFill="1"/>
    <xf numFmtId="165" fontId="8" fillId="0" borderId="0" xfId="0" applyNumberFormat="1" applyFont="1" applyFill="1"/>
    <xf numFmtId="0" fontId="8" fillId="0" borderId="0" xfId="7" applyNumberFormat="1" applyFont="1" applyFill="1"/>
    <xf numFmtId="165" fontId="8" fillId="0" borderId="3" xfId="7" applyNumberFormat="1" applyFont="1" applyFill="1" applyBorder="1"/>
    <xf numFmtId="1" fontId="8" fillId="0" borderId="0" xfId="0" applyNumberFormat="1" applyFont="1" applyFill="1"/>
    <xf numFmtId="178" fontId="8" fillId="0" borderId="0" xfId="8" applyNumberFormat="1" applyFont="1" applyFill="1"/>
    <xf numFmtId="37" fontId="8" fillId="0" borderId="0" xfId="7" applyNumberFormat="1" applyFont="1" applyFill="1"/>
    <xf numFmtId="164" fontId="8" fillId="0" borderId="0" xfId="0" applyFont="1" applyFill="1" applyAlignment="1">
      <alignment horizontal="left" vertical="top" wrapText="1"/>
    </xf>
    <xf numFmtId="164" fontId="7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5" fontId="11" fillId="0" borderId="0" xfId="9" applyNumberFormat="1" applyFont="1" applyFill="1" applyAlignment="1">
      <alignment horizontal="center"/>
    </xf>
    <xf numFmtId="0" fontId="11" fillId="0" borderId="0" xfId="12" applyFont="1" applyFill="1" applyAlignment="1">
      <alignment horizontal="center"/>
    </xf>
    <xf numFmtId="3" fontId="10" fillId="0" borderId="0" xfId="12" applyNumberFormat="1" applyFont="1" applyFill="1" applyAlignment="1">
      <alignment horizontal="center"/>
    </xf>
    <xf numFmtId="0" fontId="10" fillId="0" borderId="0" xfId="14" quotePrefix="1" applyFont="1" applyFill="1" applyAlignment="1" applyProtection="1">
      <alignment horizontal="center" vertical="center"/>
    </xf>
    <xf numFmtId="0" fontId="10" fillId="0" borderId="0" xfId="14" applyFont="1" applyFill="1" applyAlignment="1" applyProtection="1">
      <alignment horizontal="center" vertical="center"/>
    </xf>
    <xf numFmtId="0" fontId="10" fillId="0" borderId="0" xfId="14" quotePrefix="1" applyFont="1" applyFill="1" applyAlignment="1">
      <alignment horizontal="center" vertical="center"/>
    </xf>
    <xf numFmtId="0" fontId="10" fillId="0" borderId="0" xfId="14" applyFont="1" applyFill="1" applyAlignment="1">
      <alignment horizontal="center" vertical="center"/>
    </xf>
    <xf numFmtId="14" fontId="10" fillId="0" borderId="1" xfId="14" quotePrefix="1" applyNumberFormat="1" applyFont="1" applyFill="1" applyBorder="1" applyAlignment="1" applyProtection="1">
      <alignment horizontal="left" vertical="top" indent="4"/>
    </xf>
    <xf numFmtId="0" fontId="10" fillId="0" borderId="1" xfId="14" quotePrefix="1" applyFont="1" applyFill="1" applyBorder="1" applyAlignment="1" applyProtection="1">
      <alignment horizontal="center" vertical="top"/>
    </xf>
    <xf numFmtId="0" fontId="10" fillId="0" borderId="1" xfId="14" applyFont="1" applyFill="1" applyBorder="1" applyAlignment="1" applyProtection="1">
      <alignment horizontal="center" vertical="top"/>
    </xf>
    <xf numFmtId="0" fontId="10" fillId="0" borderId="0" xfId="14" quotePrefix="1" applyFont="1" applyFill="1" applyAlignment="1" applyProtection="1">
      <alignment horizontal="center"/>
    </xf>
    <xf numFmtId="0" fontId="10" fillId="0" borderId="0" xfId="14" applyFont="1" applyFill="1" applyAlignment="1" applyProtection="1">
      <alignment horizontal="center"/>
    </xf>
    <xf numFmtId="0" fontId="8" fillId="0" borderId="0" xfId="14" quotePrefix="1" applyFont="1" applyFill="1" applyAlignment="1" applyProtection="1">
      <alignment horizontal="center"/>
    </xf>
  </cellXfs>
  <cellStyles count="133">
    <cellStyle name="Comma" xfId="7" builtinId="3"/>
    <cellStyle name="Comma 10" xfId="16"/>
    <cellStyle name="Comma 2" xfId="11"/>
    <cellStyle name="Comma 2 2" xfId="17"/>
    <cellStyle name="Comma 2 2 2" xfId="126"/>
    <cellStyle name="Comma 3" xfId="18"/>
    <cellStyle name="Comma 3 2" xfId="19"/>
    <cellStyle name="Comma 4" xfId="20"/>
    <cellStyle name="Comma 5" xfId="21"/>
    <cellStyle name="Comma 6" xfId="22"/>
    <cellStyle name="Comma 7" xfId="23"/>
    <cellStyle name="Comma 8" xfId="24"/>
    <cellStyle name="Comma 9" xfId="125"/>
    <cellStyle name="Comma 9 2" xfId="131"/>
    <cellStyle name="Currency 2" xfId="10"/>
    <cellStyle name="Currency 3" xfId="25"/>
    <cellStyle name="Currency 3 2" xfId="127"/>
    <cellStyle name="Normal" xfId="0" builtinId="0"/>
    <cellStyle name="Normal 10" xfId="26"/>
    <cellStyle name="Normal 11" xfId="27"/>
    <cellStyle name="Normal 12" xfId="28"/>
    <cellStyle name="Normal 13" xfId="29"/>
    <cellStyle name="Normal 14" xfId="30"/>
    <cellStyle name="Normal 15" xfId="31"/>
    <cellStyle name="Normal 16" xfId="32"/>
    <cellStyle name="Normal 17" xfId="33"/>
    <cellStyle name="Normal 17 2" xfId="128"/>
    <cellStyle name="Normal 18" xfId="124"/>
    <cellStyle name="Normal 18 2" xfId="130"/>
    <cellStyle name="Normal 19" xfId="34"/>
    <cellStyle name="Normal 19 2" xfId="35"/>
    <cellStyle name="Normal 2" xfId="15"/>
    <cellStyle name="Normal 2 2" xfId="36"/>
    <cellStyle name="Normal 2 2 2" xfId="129"/>
    <cellStyle name="Normal 20" xfId="132"/>
    <cellStyle name="Normal 3" xfId="9"/>
    <cellStyle name="Normal 3 2" xfId="37"/>
    <cellStyle name="Normal 4" xfId="38"/>
    <cellStyle name="Normal 4 2" xfId="12"/>
    <cellStyle name="Normal 5" xfId="39"/>
    <cellStyle name="Normal 6" xfId="40"/>
    <cellStyle name="Normal 6 2" xfId="41"/>
    <cellStyle name="Normal 7" xfId="42"/>
    <cellStyle name="Normal 8" xfId="43"/>
    <cellStyle name="Normal 9" xfId="44"/>
    <cellStyle name="Normal_Pass-Through Model 11_2007 - 10_2008" xfId="14"/>
    <cellStyle name="Percent" xfId="8" builtinId="5"/>
    <cellStyle name="Percent 2" xfId="13"/>
    <cellStyle name="Percent 3" xfId="45"/>
    <cellStyle name="Percent 3 2" xfId="46"/>
    <cellStyle name="Percent 4" xfId="47"/>
    <cellStyle name="Percent 5" xfId="48"/>
    <cellStyle name="Percent 6" xfId="49"/>
    <cellStyle name="PSChar" xfId="1"/>
    <cellStyle name="PSChar 10" xfId="50"/>
    <cellStyle name="PSChar 2" xfId="51"/>
    <cellStyle name="PSChar 3" xfId="52"/>
    <cellStyle name="PSChar 4" xfId="53"/>
    <cellStyle name="PSChar 5" xfId="54"/>
    <cellStyle name="PSChar 6" xfId="55"/>
    <cellStyle name="PSChar 7" xfId="56"/>
    <cellStyle name="PSChar 7 2" xfId="57"/>
    <cellStyle name="PSChar 8" xfId="58"/>
    <cellStyle name="PSChar 8 2" xfId="59"/>
    <cellStyle name="PSChar 9" xfId="60"/>
    <cellStyle name="PSChar 9 2" xfId="61"/>
    <cellStyle name="PSDate" xfId="2"/>
    <cellStyle name="PSDate 10" xfId="62"/>
    <cellStyle name="PSDate 2" xfId="63"/>
    <cellStyle name="PSDate 3" xfId="64"/>
    <cellStyle name="PSDate 4" xfId="65"/>
    <cellStyle name="PSDate 5" xfId="66"/>
    <cellStyle name="PSDate 6" xfId="67"/>
    <cellStyle name="PSDate 7" xfId="68"/>
    <cellStyle name="PSDate 7 2" xfId="69"/>
    <cellStyle name="PSDate 8" xfId="70"/>
    <cellStyle name="PSDate 8 2" xfId="71"/>
    <cellStyle name="PSDate 9" xfId="72"/>
    <cellStyle name="PSDate 9 2" xfId="73"/>
    <cellStyle name="PSDec" xfId="3"/>
    <cellStyle name="PSDec 10" xfId="74"/>
    <cellStyle name="PSDec 2" xfId="75"/>
    <cellStyle name="PSDec 3" xfId="76"/>
    <cellStyle name="PSDec 4" xfId="77"/>
    <cellStyle name="PSDec 5" xfId="78"/>
    <cellStyle name="PSDec 6" xfId="79"/>
    <cellStyle name="PSDec 7" xfId="80"/>
    <cellStyle name="PSDec 7 2" xfId="81"/>
    <cellStyle name="PSDec 8" xfId="82"/>
    <cellStyle name="PSDec 8 2" xfId="83"/>
    <cellStyle name="PSDec 9" xfId="84"/>
    <cellStyle name="PSDec 9 2" xfId="85"/>
    <cellStyle name="PSHeading" xfId="4"/>
    <cellStyle name="PSHeading 10" xfId="86"/>
    <cellStyle name="PSHeading 2" xfId="87"/>
    <cellStyle name="PSHeading 2 2" xfId="88"/>
    <cellStyle name="PSHeading 3" xfId="89"/>
    <cellStyle name="PSHeading 3 2" xfId="90"/>
    <cellStyle name="PSHeading 4" xfId="91"/>
    <cellStyle name="PSHeading 4 2" xfId="92"/>
    <cellStyle name="PSHeading 5" xfId="93"/>
    <cellStyle name="PSHeading 5 2" xfId="94"/>
    <cellStyle name="PSHeading 6" xfId="95"/>
    <cellStyle name="PSHeading 6 2" xfId="96"/>
    <cellStyle name="PSHeading 7" xfId="97"/>
    <cellStyle name="PSHeading 7 2" xfId="98"/>
    <cellStyle name="PSHeading 8" xfId="99"/>
    <cellStyle name="PSHeading 8 2" xfId="100"/>
    <cellStyle name="PSHeading 9" xfId="101"/>
    <cellStyle name="PSInt" xfId="5"/>
    <cellStyle name="PSInt 2" xfId="102"/>
    <cellStyle name="PSInt 3" xfId="103"/>
    <cellStyle name="PSInt 4" xfId="104"/>
    <cellStyle name="PSInt 5" xfId="105"/>
    <cellStyle name="PSInt 6" xfId="106"/>
    <cellStyle name="PSInt 6 2" xfId="107"/>
    <cellStyle name="PSInt 7" xfId="108"/>
    <cellStyle name="PSInt 7 2" xfId="109"/>
    <cellStyle name="PSInt 8" xfId="110"/>
    <cellStyle name="PSInt 8 2" xfId="111"/>
    <cellStyle name="PSInt 9" xfId="112"/>
    <cellStyle name="PSSpacer" xfId="6"/>
    <cellStyle name="PSSpacer 2" xfId="113"/>
    <cellStyle name="PSSpacer 3" xfId="114"/>
    <cellStyle name="PSSpacer 4" xfId="115"/>
    <cellStyle name="PSSpacer 5" xfId="116"/>
    <cellStyle name="PSSpacer 6" xfId="117"/>
    <cellStyle name="PSSpacer 6 2" xfId="118"/>
    <cellStyle name="PSSpacer 7" xfId="119"/>
    <cellStyle name="PSSpacer 7 2" xfId="120"/>
    <cellStyle name="PSSpacer 8" xfId="121"/>
    <cellStyle name="PSSpacer 8 2" xfId="122"/>
    <cellStyle name="PSSpacer 9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13-057-19%20UT%20Depreciation\13-057-19%20Depreciation%20Settlement%20Model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  <sheetName val="13-057-19 Depreciation Settleme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R11" t="str">
            <v>Utah</v>
          </cell>
          <cell r="S11">
            <v>0</v>
          </cell>
          <cell r="T11" t="str">
            <v>Utah</v>
          </cell>
          <cell r="U11">
            <v>0</v>
          </cell>
          <cell r="V11" t="str">
            <v>Utah</v>
          </cell>
          <cell r="W11">
            <v>0</v>
          </cell>
          <cell r="X11" t="str">
            <v>Utah</v>
          </cell>
          <cell r="Y11">
            <v>0</v>
          </cell>
          <cell r="Z11" t="str">
            <v>Utah</v>
          </cell>
          <cell r="AA11">
            <v>0</v>
          </cell>
          <cell r="AC11" t="str">
            <v>Utah</v>
          </cell>
          <cell r="AD11">
            <v>0</v>
          </cell>
          <cell r="AF11" t="str">
            <v>Utah</v>
          </cell>
          <cell r="AG11">
            <v>0</v>
          </cell>
          <cell r="AI11">
            <v>2</v>
          </cell>
        </row>
        <row r="12">
          <cell r="H12">
            <v>41274</v>
          </cell>
          <cell r="I12">
            <v>0</v>
          </cell>
          <cell r="J12">
            <v>41274</v>
          </cell>
          <cell r="K12">
            <v>0</v>
          </cell>
          <cell r="L12">
            <v>41639</v>
          </cell>
          <cell r="M12">
            <v>0</v>
          </cell>
          <cell r="N12">
            <v>41639</v>
          </cell>
          <cell r="O12">
            <v>0</v>
          </cell>
          <cell r="P12">
            <v>42004</v>
          </cell>
          <cell r="Q12">
            <v>0</v>
          </cell>
          <cell r="R12">
            <v>42004</v>
          </cell>
          <cell r="S12">
            <v>0</v>
          </cell>
          <cell r="T12">
            <v>42004</v>
          </cell>
          <cell r="U12">
            <v>0</v>
          </cell>
          <cell r="V12">
            <v>42004</v>
          </cell>
          <cell r="W12">
            <v>0</v>
          </cell>
          <cell r="X12">
            <v>42004</v>
          </cell>
          <cell r="Y12">
            <v>0</v>
          </cell>
          <cell r="Z12">
            <v>42004</v>
          </cell>
          <cell r="AA12">
            <v>0</v>
          </cell>
          <cell r="AC12">
            <v>42004</v>
          </cell>
          <cell r="AD12">
            <v>0</v>
          </cell>
          <cell r="AF12">
            <v>42004</v>
          </cell>
          <cell r="AG12">
            <v>0</v>
          </cell>
          <cell r="AI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I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I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I15">
            <v>6</v>
          </cell>
        </row>
        <row r="16">
          <cell r="H16" t="str">
            <v>DEC 2012 Unadjusted Avg Results</v>
          </cell>
          <cell r="I16">
            <v>0</v>
          </cell>
          <cell r="J16" t="str">
            <v>DEC 2012 Adjusted Avg Results</v>
          </cell>
          <cell r="K16">
            <v>0</v>
          </cell>
          <cell r="L16" t="str">
            <v>DEC 2013 Adjusted Avg Results</v>
          </cell>
          <cell r="M16">
            <v>0</v>
          </cell>
          <cell r="N16" t="str">
            <v>DEC 2013 Adjusted Y.E  Results</v>
          </cell>
          <cell r="O16">
            <v>0</v>
          </cell>
          <cell r="P16" t="str">
            <v>DEC 2014 Adjusted Avg  Results</v>
          </cell>
          <cell r="Q16">
            <v>0</v>
          </cell>
          <cell r="R16" t="str">
            <v>DEC 2014 Adjusted Y.E.  Results</v>
          </cell>
          <cell r="S16">
            <v>0</v>
          </cell>
          <cell r="T16" t="str">
            <v>Division</v>
          </cell>
          <cell r="U16">
            <v>0</v>
          </cell>
          <cell r="V16" t="str">
            <v>OCS</v>
          </cell>
          <cell r="W16">
            <v>0</v>
          </cell>
          <cell r="X16" t="str">
            <v>UAE</v>
          </cell>
          <cell r="Y16">
            <v>0</v>
          </cell>
          <cell r="Z16" t="str">
            <v>13-057-05 Model</v>
          </cell>
          <cell r="AA16">
            <v>0</v>
          </cell>
          <cell r="AC16" t="str">
            <v>Filed DPR Study</v>
          </cell>
          <cell r="AD16">
            <v>0</v>
          </cell>
          <cell r="AF16" t="str">
            <v>Settlement DPR Study</v>
          </cell>
          <cell r="AG16">
            <v>0</v>
          </cell>
          <cell r="AI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F17">
            <v>0</v>
          </cell>
          <cell r="AG17">
            <v>0</v>
          </cell>
          <cell r="AI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9</v>
          </cell>
        </row>
        <row r="19">
          <cell r="H19">
            <v>0.10349999999999999</v>
          </cell>
          <cell r="I19">
            <v>0</v>
          </cell>
          <cell r="J19">
            <v>0.10349999999999999</v>
          </cell>
          <cell r="K19">
            <v>0</v>
          </cell>
          <cell r="L19">
            <v>0.10349999999999999</v>
          </cell>
          <cell r="M19">
            <v>0</v>
          </cell>
          <cell r="N19">
            <v>0.10349999999999999</v>
          </cell>
          <cell r="O19">
            <v>0</v>
          </cell>
          <cell r="P19">
            <v>0.10349999999999999</v>
          </cell>
          <cell r="Q19">
            <v>0</v>
          </cell>
          <cell r="R19">
            <v>9.5000000000000001E-2</v>
          </cell>
          <cell r="S19">
            <v>0</v>
          </cell>
          <cell r="T19">
            <v>9.8000000000000004E-2</v>
          </cell>
          <cell r="U19">
            <v>0</v>
          </cell>
          <cell r="V19">
            <v>9.2999999999999999E-2</v>
          </cell>
          <cell r="W19">
            <v>0</v>
          </cell>
          <cell r="X19">
            <v>0.10349999999999999</v>
          </cell>
          <cell r="Y19">
            <v>0</v>
          </cell>
          <cell r="Z19">
            <v>9.8500000000000004E-2</v>
          </cell>
          <cell r="AA19">
            <v>0</v>
          </cell>
          <cell r="AC19">
            <v>9.8500000000000004E-2</v>
          </cell>
          <cell r="AD19">
            <v>0</v>
          </cell>
          <cell r="AF19">
            <v>9.8500000000000004E-2</v>
          </cell>
          <cell r="AG19">
            <v>0</v>
          </cell>
          <cell r="AI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I20">
            <v>11</v>
          </cell>
        </row>
        <row r="21">
          <cell r="H21">
            <v>2.681</v>
          </cell>
          <cell r="I21">
            <v>0</v>
          </cell>
          <cell r="J21">
            <v>2.681</v>
          </cell>
          <cell r="K21">
            <v>0</v>
          </cell>
          <cell r="L21">
            <v>1.0149999999999999</v>
          </cell>
          <cell r="M21">
            <v>0</v>
          </cell>
          <cell r="N21">
            <v>1.0149999999999999</v>
          </cell>
          <cell r="O21">
            <v>0</v>
          </cell>
          <cell r="P21">
            <v>1.0149999999999999</v>
          </cell>
          <cell r="Q21">
            <v>0</v>
          </cell>
          <cell r="R21">
            <v>1.0149999999999999</v>
          </cell>
          <cell r="S21">
            <v>0</v>
          </cell>
          <cell r="T21">
            <v>0.18</v>
          </cell>
          <cell r="U21">
            <v>0</v>
          </cell>
          <cell r="V21">
            <v>1.0149999999999999</v>
          </cell>
          <cell r="W21">
            <v>0</v>
          </cell>
          <cell r="X21">
            <v>1.0149999999999999</v>
          </cell>
          <cell r="Y21">
            <v>0</v>
          </cell>
          <cell r="Z21">
            <v>-1.1717103480690274</v>
          </cell>
          <cell r="AA21">
            <v>0</v>
          </cell>
          <cell r="AC21">
            <v>-1.1717103480690274</v>
          </cell>
          <cell r="AD21">
            <v>0</v>
          </cell>
          <cell r="AF21">
            <v>-1.1717103480690274</v>
          </cell>
          <cell r="AG21">
            <v>0</v>
          </cell>
          <cell r="AI21">
            <v>12</v>
          </cell>
        </row>
        <row r="22">
          <cell r="H22">
            <v>2.3171463210467629E-3</v>
          </cell>
          <cell r="I22">
            <v>0</v>
          </cell>
          <cell r="J22">
            <v>2.3171463210467629E-3</v>
          </cell>
          <cell r="K22">
            <v>0</v>
          </cell>
          <cell r="L22">
            <v>2.3171463210467629E-3</v>
          </cell>
          <cell r="M22">
            <v>0</v>
          </cell>
          <cell r="N22">
            <v>2.3171463210467629E-3</v>
          </cell>
          <cell r="O22">
            <v>0</v>
          </cell>
          <cell r="P22">
            <v>2.3171463210467629E-3</v>
          </cell>
          <cell r="Q22">
            <v>0</v>
          </cell>
          <cell r="R22">
            <v>2.3171463210467629E-3</v>
          </cell>
          <cell r="S22">
            <v>0</v>
          </cell>
          <cell r="T22">
            <v>2.3171463210467629E-3</v>
          </cell>
          <cell r="U22">
            <v>0</v>
          </cell>
          <cell r="V22">
            <v>2.3171463210467629E-3</v>
          </cell>
          <cell r="W22">
            <v>0</v>
          </cell>
          <cell r="X22">
            <v>2.3171463210467629E-3</v>
          </cell>
          <cell r="Y22">
            <v>0</v>
          </cell>
          <cell r="Z22">
            <v>2.3171463210467629E-3</v>
          </cell>
          <cell r="AA22">
            <v>0</v>
          </cell>
          <cell r="AC22">
            <v>2.3171463210467629E-3</v>
          </cell>
          <cell r="AD22">
            <v>0</v>
          </cell>
          <cell r="AF22">
            <v>2.3171463210467629E-3</v>
          </cell>
          <cell r="AG22">
            <v>0</v>
          </cell>
          <cell r="AI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I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I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0</v>
          </cell>
          <cell r="AG26">
            <v>0</v>
          </cell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>
            <v>0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>
            <v>0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>
            <v>0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>
            <v>0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>
            <v>0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>
            <v>0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>
            <v>0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>
            <v>0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>
            <v>0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>
            <v>0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>
            <v>0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>
            <v>0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>
            <v>0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>
            <v>0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>
            <v>0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>
            <v>0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>
            <v>0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>
            <v>0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>
            <v>0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>
            <v>0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>
            <v>0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>
            <v>0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>
            <v>0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>
            <v>0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>
            <v>0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>
            <v>0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>
            <v>0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>
            <v>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>
            <v>0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>
            <v>0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>
            <v>0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>
            <v>0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>
            <v>0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>
            <v>0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>
            <v>0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>
            <v>0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>
            <v>0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>
            <v>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>
            <v>0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>
            <v>0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>
            <v>0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>
            <v>0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>
            <v>0</v>
          </cell>
          <cell r="E71" t="str">
            <v>y</v>
          </cell>
          <cell r="F71" t="str">
            <v>Rate Base Settlement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>
            <v>0</v>
          </cell>
          <cell r="E72" t="str">
            <v>y</v>
          </cell>
          <cell r="F72" t="str">
            <v xml:space="preserve"> Settlement Adj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>
            <v>0</v>
          </cell>
          <cell r="E73" t="str">
            <v>y</v>
          </cell>
          <cell r="F73" t="str">
            <v>QC Employees Settlement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>
            <v>0</v>
          </cell>
          <cell r="E74" t="str">
            <v>y</v>
          </cell>
          <cell r="F74" t="str">
            <v>QGC Employees Settlement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>
            <v>0</v>
          </cell>
          <cell r="E75" t="str">
            <v>Y</v>
          </cell>
          <cell r="F75" t="str">
            <v>108 Product Adjustment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>
            <v>0</v>
          </cell>
          <cell r="E76">
            <v>0</v>
          </cell>
          <cell r="F76" t="str">
            <v>Dist Gas Effective 2012</v>
          </cell>
          <cell r="H76" t="str">
            <v>Dist Gas Effective 2012</v>
          </cell>
          <cell r="I76">
            <v>0</v>
          </cell>
          <cell r="J76" t="str">
            <v>Dist Gas Effective 2012</v>
          </cell>
          <cell r="K76">
            <v>0</v>
          </cell>
          <cell r="L76" t="str">
            <v>Dist Gas Effective 2012</v>
          </cell>
          <cell r="M76">
            <v>0</v>
          </cell>
          <cell r="N76" t="str">
            <v>Dist Gas Effective 2012</v>
          </cell>
          <cell r="O76">
            <v>0</v>
          </cell>
          <cell r="P76" t="str">
            <v>Dist Gas Effective 2012</v>
          </cell>
          <cell r="Q76">
            <v>0</v>
          </cell>
          <cell r="R76" t="str">
            <v>Dist Gas Effective 2012</v>
          </cell>
          <cell r="S76">
            <v>0</v>
          </cell>
          <cell r="T76" t="str">
            <v>Dist Gas Effective 2012</v>
          </cell>
          <cell r="U76">
            <v>0</v>
          </cell>
          <cell r="V76" t="str">
            <v>Dist Gas Effective 2012</v>
          </cell>
          <cell r="W76">
            <v>0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  <cell r="AF77">
            <v>0</v>
          </cell>
          <cell r="AG77">
            <v>0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>
            <v>0</v>
          </cell>
          <cell r="E78">
            <v>0</v>
          </cell>
          <cell r="F78" t="str">
            <v>UPDATE AVG CAP STR DEC 14</v>
          </cell>
          <cell r="H78" t="str">
            <v>AVG CAP STR DEC 12</v>
          </cell>
          <cell r="I78">
            <v>0</v>
          </cell>
          <cell r="J78" t="str">
            <v>AVG CAP STR DEC 12</v>
          </cell>
          <cell r="K78">
            <v>0</v>
          </cell>
          <cell r="L78" t="str">
            <v>AVG CAP STR DEC 13</v>
          </cell>
          <cell r="M78">
            <v>0</v>
          </cell>
          <cell r="N78" t="str">
            <v>YE CAP STR DEC 13</v>
          </cell>
          <cell r="O78">
            <v>0</v>
          </cell>
          <cell r="P78" t="str">
            <v>FILED AVG CAP STR DEC 14</v>
          </cell>
          <cell r="Q78">
            <v>0</v>
          </cell>
          <cell r="R78" t="str">
            <v>UPDATE AVG CAP STR DEC 14</v>
          </cell>
          <cell r="S78">
            <v>0</v>
          </cell>
          <cell r="T78" t="str">
            <v>UPDATE AVG CAP STR DEC 14</v>
          </cell>
          <cell r="U78">
            <v>0</v>
          </cell>
          <cell r="V78" t="str">
            <v>FILED AVG CAP STR DEC 14</v>
          </cell>
          <cell r="W78">
            <v>0</v>
          </cell>
          <cell r="X78" t="str">
            <v>FILED AVG CAP STR DEC 14</v>
          </cell>
          <cell r="Y78">
            <v>0</v>
          </cell>
          <cell r="Z78" t="str">
            <v>UPDATE AVG CAP STR DEC 14</v>
          </cell>
          <cell r="AA78">
            <v>0</v>
          </cell>
          <cell r="AC78" t="str">
            <v>UPDATE AVG CAP STR DEC 14</v>
          </cell>
          <cell r="AD78">
            <v>0</v>
          </cell>
          <cell r="AF78" t="str">
            <v>UPDATE AVG CAP STR DEC 14</v>
          </cell>
          <cell r="AG78">
            <v>0</v>
          </cell>
          <cell r="AI78">
            <v>69</v>
          </cell>
        </row>
        <row r="79">
          <cell r="A79">
            <v>53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2">
          <cell r="C82">
            <v>0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>
            <v>0</v>
          </cell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>
            <v>0</v>
          </cell>
          <cell r="AN141">
            <v>0</v>
          </cell>
          <cell r="AO141">
            <v>0</v>
          </cell>
          <cell r="AP141">
            <v>0</v>
          </cell>
        </row>
        <row r="142">
          <cell r="AM142">
            <v>0</v>
          </cell>
          <cell r="AN142">
            <v>0</v>
          </cell>
          <cell r="AO142">
            <v>0</v>
          </cell>
          <cell r="AP142">
            <v>0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>
            <v>0</v>
          </cell>
        </row>
        <row r="161"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>
            <v>0</v>
          </cell>
          <cell r="AK280">
            <v>0</v>
          </cell>
          <cell r="AL280">
            <v>0</v>
          </cell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>
            <v>0</v>
          </cell>
          <cell r="J6" t="str">
            <v>QGC Expense Dec 2014</v>
          </cell>
        </row>
        <row r="7">
          <cell r="F7">
            <v>0</v>
          </cell>
          <cell r="G7">
            <v>0</v>
          </cell>
          <cell r="H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J9" t="str">
            <v>Adjustment</v>
          </cell>
        </row>
        <row r="10">
          <cell r="F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>
            <v>0</v>
          </cell>
          <cell r="G56">
            <v>0</v>
          </cell>
          <cell r="H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>
            <v>0</v>
          </cell>
          <cell r="G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>
            <v>0</v>
          </cell>
          <cell r="G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>
            <v>0</v>
          </cell>
          <cell r="G96">
            <v>0</v>
          </cell>
          <cell r="H96">
            <v>0</v>
          </cell>
          <cell r="J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>
            <v>0</v>
          </cell>
          <cell r="G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J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>
            <v>0</v>
          </cell>
          <cell r="G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>
            <v>0</v>
          </cell>
          <cell r="G129">
            <v>0</v>
          </cell>
          <cell r="H129">
            <v>0</v>
          </cell>
          <cell r="J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>
            <v>0</v>
          </cell>
          <cell r="G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J137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J150">
            <v>0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>
            <v>0</v>
          </cell>
          <cell r="G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J160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>
            <v>0</v>
          </cell>
          <cell r="G164">
            <v>0</v>
          </cell>
          <cell r="H164">
            <v>0</v>
          </cell>
          <cell r="J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J165">
            <v>0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>
            <v>0</v>
          </cell>
          <cell r="G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J175">
            <v>0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>
            <v>0</v>
          </cell>
          <cell r="G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>
            <v>0</v>
          </cell>
          <cell r="G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J195">
            <v>0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J200">
            <v>0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>
            <v>0</v>
          </cell>
          <cell r="G204">
            <v>0</v>
          </cell>
          <cell r="H204">
            <v>0</v>
          </cell>
          <cell r="J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J205">
            <v>0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>
            <v>0</v>
          </cell>
          <cell r="G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J210">
            <v>0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>
            <v>0</v>
          </cell>
          <cell r="G219">
            <v>0</v>
          </cell>
          <cell r="H219">
            <v>0</v>
          </cell>
          <cell r="J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J220">
            <v>0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>
            <v>0</v>
          </cell>
          <cell r="G224">
            <v>0</v>
          </cell>
          <cell r="H224">
            <v>0</v>
          </cell>
          <cell r="J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J225">
            <v>0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>
            <v>0</v>
          </cell>
          <cell r="G229">
            <v>0</v>
          </cell>
          <cell r="H229">
            <v>0</v>
          </cell>
          <cell r="J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J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J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J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J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J240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>
            <v>0</v>
          </cell>
          <cell r="G243">
            <v>0</v>
          </cell>
          <cell r="H243">
            <v>0</v>
          </cell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J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J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J248">
            <v>0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>
            <v>0</v>
          </cell>
          <cell r="G252">
            <v>0</v>
          </cell>
          <cell r="H252">
            <v>0</v>
          </cell>
          <cell r="J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>
            <v>0</v>
          </cell>
          <cell r="G257">
            <v>0</v>
          </cell>
          <cell r="H257">
            <v>0</v>
          </cell>
          <cell r="J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J258">
            <v>0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>
            <v>0</v>
          </cell>
          <cell r="G262">
            <v>0</v>
          </cell>
          <cell r="H262">
            <v>0</v>
          </cell>
          <cell r="J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J263">
            <v>0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>
            <v>0</v>
          </cell>
          <cell r="G267">
            <v>0</v>
          </cell>
          <cell r="H267">
            <v>0</v>
          </cell>
          <cell r="J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J268">
            <v>0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>
            <v>0</v>
          </cell>
          <cell r="G272">
            <v>0</v>
          </cell>
          <cell r="H272">
            <v>0</v>
          </cell>
          <cell r="J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J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J278">
            <v>0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>
            <v>0</v>
          </cell>
          <cell r="G282">
            <v>0</v>
          </cell>
          <cell r="H282">
            <v>0</v>
          </cell>
          <cell r="J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J283">
            <v>0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>
            <v>0</v>
          </cell>
          <cell r="G287">
            <v>0</v>
          </cell>
          <cell r="H287">
            <v>0</v>
          </cell>
          <cell r="J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J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J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J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J294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>
            <v>0</v>
          </cell>
          <cell r="G297">
            <v>0</v>
          </cell>
          <cell r="H297">
            <v>0</v>
          </cell>
          <cell r="J297">
            <v>0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>
            <v>0</v>
          </cell>
          <cell r="G299">
            <v>0</v>
          </cell>
          <cell r="H299">
            <v>0</v>
          </cell>
          <cell r="J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J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J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J302">
            <v>0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>
            <v>0</v>
          </cell>
          <cell r="G306">
            <v>0</v>
          </cell>
          <cell r="H306">
            <v>0</v>
          </cell>
          <cell r="J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J307">
            <v>0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>
            <v>0</v>
          </cell>
          <cell r="G311">
            <v>0</v>
          </cell>
          <cell r="H311">
            <v>0</v>
          </cell>
          <cell r="J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J312">
            <v>0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>
            <v>0</v>
          </cell>
          <cell r="G316">
            <v>0</v>
          </cell>
          <cell r="H316">
            <v>0</v>
          </cell>
          <cell r="J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J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J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J322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>
            <v>0</v>
          </cell>
          <cell r="G325">
            <v>0</v>
          </cell>
          <cell r="H325">
            <v>0</v>
          </cell>
          <cell r="J325">
            <v>0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>
            <v>0</v>
          </cell>
          <cell r="G327">
            <v>0</v>
          </cell>
          <cell r="H327">
            <v>0</v>
          </cell>
          <cell r="J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J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J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J330">
            <v>0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>
            <v>0</v>
          </cell>
          <cell r="G334">
            <v>0</v>
          </cell>
          <cell r="H334">
            <v>0</v>
          </cell>
          <cell r="J334">
            <v>0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>
            <v>0</v>
          </cell>
          <cell r="G338">
            <v>0</v>
          </cell>
          <cell r="H338">
            <v>0</v>
          </cell>
          <cell r="J338">
            <v>0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>
            <v>0</v>
          </cell>
          <cell r="G342">
            <v>0</v>
          </cell>
          <cell r="H342">
            <v>0</v>
          </cell>
          <cell r="J342">
            <v>0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>
            <v>0</v>
          </cell>
          <cell r="G346">
            <v>0</v>
          </cell>
          <cell r="H346">
            <v>0</v>
          </cell>
          <cell r="J346">
            <v>0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>
            <v>0</v>
          </cell>
          <cell r="G350">
            <v>0</v>
          </cell>
          <cell r="H350">
            <v>0</v>
          </cell>
          <cell r="J350">
            <v>0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>
            <v>0</v>
          </cell>
          <cell r="G354">
            <v>0</v>
          </cell>
          <cell r="H354">
            <v>0</v>
          </cell>
          <cell r="J354">
            <v>0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>
            <v>0</v>
          </cell>
          <cell r="G358">
            <v>0</v>
          </cell>
          <cell r="H358">
            <v>0</v>
          </cell>
          <cell r="J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J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J366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>
            <v>0</v>
          </cell>
          <cell r="G370">
            <v>0</v>
          </cell>
          <cell r="H370">
            <v>0</v>
          </cell>
          <cell r="J370">
            <v>0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>
            <v>0</v>
          </cell>
          <cell r="G374">
            <v>0</v>
          </cell>
          <cell r="H374">
            <v>0</v>
          </cell>
          <cell r="J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J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J379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>
            <v>0</v>
          </cell>
          <cell r="G384">
            <v>0</v>
          </cell>
          <cell r="H384">
            <v>0</v>
          </cell>
          <cell r="J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J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J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J387">
            <v>0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>
            <v>0</v>
          </cell>
          <cell r="G393">
            <v>48850784.704817034</v>
          </cell>
          <cell r="H393">
            <v>53903714.677990109</v>
          </cell>
          <cell r="J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J394">
            <v>0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>
            <v>0</v>
          </cell>
          <cell r="G402">
            <v>0</v>
          </cell>
          <cell r="H402">
            <v>0</v>
          </cell>
          <cell r="J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J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J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>
            <v>0</v>
          </cell>
          <cell r="G410">
            <v>0</v>
          </cell>
          <cell r="H410">
            <v>0</v>
          </cell>
          <cell r="J410">
            <v>0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>
            <v>0</v>
          </cell>
          <cell r="G412">
            <v>0</v>
          </cell>
          <cell r="H412">
            <v>0</v>
          </cell>
          <cell r="J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J414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>
            <v>0</v>
          </cell>
          <cell r="G416">
            <v>0</v>
          </cell>
          <cell r="H416">
            <v>0</v>
          </cell>
          <cell r="J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J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J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J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J424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>
            <v>0</v>
          </cell>
          <cell r="G426">
            <v>0</v>
          </cell>
          <cell r="H426">
            <v>0</v>
          </cell>
          <cell r="J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J427">
            <v>0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>
            <v>0</v>
          </cell>
          <cell r="G429">
            <v>0</v>
          </cell>
          <cell r="H429">
            <v>0</v>
          </cell>
          <cell r="J429">
            <v>0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>
            <v>0</v>
          </cell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-36354847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-266935.02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-36621782.020000003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>
            <v>0</v>
          </cell>
          <cell r="F23">
            <v>6.0000000000000001E-3</v>
          </cell>
          <cell r="G23">
            <v>0.01</v>
          </cell>
          <cell r="H23">
            <v>0</v>
          </cell>
        </row>
        <row r="27">
          <cell r="E27">
            <v>0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>
            <v>0</v>
          </cell>
          <cell r="G4" t="str">
            <v>Pipeline Integrity 2014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24876734.693945248</v>
          </cell>
          <cell r="D38">
            <v>0</v>
          </cell>
          <cell r="E38">
            <v>0</v>
          </cell>
        </row>
        <row r="39">
          <cell r="C39">
            <v>4499188.2029978484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1130000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>
            <v>0</v>
          </cell>
          <cell r="E16">
            <v>337091.85</v>
          </cell>
          <cell r="F16">
            <v>337091.85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25">
        <row r="6">
          <cell r="G6">
            <v>0</v>
          </cell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1.2E-2</v>
          </cell>
          <cell r="K9">
            <v>0.02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>
            <v>0</v>
          </cell>
        </row>
        <row r="12">
          <cell r="G12">
            <v>0</v>
          </cell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>
            <v>0</v>
          </cell>
        </row>
        <row r="13">
          <cell r="G13">
            <v>0</v>
          </cell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0</v>
          </cell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>
            <v>0</v>
          </cell>
        </row>
        <row r="16">
          <cell r="G16">
            <v>0</v>
          </cell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>
            <v>0</v>
          </cell>
        </row>
        <row r="17">
          <cell r="G17">
            <v>0</v>
          </cell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3">
          <cell r="J23">
            <v>0</v>
          </cell>
          <cell r="K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>
            <v>0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>
            <v>0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1.2999999999999999E-2</v>
          </cell>
          <cell r="E32">
            <v>2.3E-2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>
            <v>0</v>
          </cell>
          <cell r="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1.0475047476538558E-2</v>
          </cell>
          <cell r="F12">
            <v>3.7786500000000035E-2</v>
          </cell>
          <cell r="G12">
            <v>0</v>
          </cell>
          <cell r="H12">
            <v>0</v>
          </cell>
          <cell r="AG12">
            <v>0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AG14">
            <v>0</v>
          </cell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>
            <v>0</v>
          </cell>
          <cell r="H15">
            <v>0</v>
          </cell>
          <cell r="AG15">
            <v>0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G16">
            <v>0</v>
          </cell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>
            <v>0</v>
          </cell>
          <cell r="H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AG18">
            <v>0</v>
          </cell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>
            <v>0</v>
          </cell>
          <cell r="H19">
            <v>0</v>
          </cell>
          <cell r="AG19">
            <v>0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>
            <v>0</v>
          </cell>
          <cell r="H20">
            <v>0</v>
          </cell>
          <cell r="AG20">
            <v>0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>
            <v>0</v>
          </cell>
          <cell r="H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G22">
            <v>0</v>
          </cell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>
            <v>0</v>
          </cell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>
            <v>0</v>
          </cell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G26">
            <v>0</v>
          </cell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>
            <v>0</v>
          </cell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>
            <v>0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G30">
            <v>0</v>
          </cell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>
            <v>0</v>
          </cell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>
            <v>0</v>
          </cell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G34">
            <v>0</v>
          </cell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>
            <v>0</v>
          </cell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>
            <v>0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9">
          <cell r="AG39">
            <v>0</v>
          </cell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>
            <v>0</v>
          </cell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>
            <v>0</v>
          </cell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G43">
            <v>0</v>
          </cell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>
            <v>0</v>
          </cell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>
            <v>0</v>
          </cell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G48">
            <v>0</v>
          </cell>
          <cell r="AH48">
            <v>0.13689999999999999</v>
          </cell>
          <cell r="AI48">
            <v>9.2799999999999994E-2</v>
          </cell>
          <cell r="AJ48">
            <v>6.6000000000000003E-2</v>
          </cell>
          <cell r="AK48">
            <v>0</v>
          </cell>
        </row>
        <row r="49">
          <cell r="AG49">
            <v>0</v>
          </cell>
          <cell r="AH49">
            <v>2.3E-2</v>
          </cell>
          <cell r="AI49">
            <v>1.4E-2</v>
          </cell>
          <cell r="AJ49">
            <v>1.6400000000000001E-2</v>
          </cell>
          <cell r="AK49">
            <v>0</v>
          </cell>
        </row>
        <row r="50">
          <cell r="AG50">
            <v>0</v>
          </cell>
          <cell r="AH50">
            <v>0.1139</v>
          </cell>
          <cell r="AI50">
            <v>7.8799999999999995E-2</v>
          </cell>
          <cell r="AJ50">
            <v>4.9600000000000005E-2</v>
          </cell>
          <cell r="AK50">
            <v>0</v>
          </cell>
        </row>
        <row r="52">
          <cell r="AG52">
            <v>0</v>
          </cell>
          <cell r="AH52">
            <v>3.3300000000000003E-2</v>
          </cell>
          <cell r="AI52">
            <v>4.07E-2</v>
          </cell>
          <cell r="AJ52">
            <v>2.9899999999999999E-2</v>
          </cell>
          <cell r="AK52">
            <v>0</v>
          </cell>
        </row>
        <row r="53">
          <cell r="AG53">
            <v>0</v>
          </cell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>
            <v>0</v>
          </cell>
        </row>
        <row r="54">
          <cell r="AG54">
            <v>0</v>
          </cell>
          <cell r="AH54">
            <v>9.8299999999999998E-2</v>
          </cell>
          <cell r="AI54">
            <v>9.5299999999999996E-2</v>
          </cell>
          <cell r="AJ54">
            <v>8.48E-2</v>
          </cell>
          <cell r="AK54">
            <v>0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E16">
            <v>0.02</v>
          </cell>
          <cell r="F16">
            <v>2.1999999999999999E-2</v>
          </cell>
          <cell r="G16">
            <v>0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>
            <v>0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>
            <v>0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>
            <v>0</v>
          </cell>
          <cell r="F14">
            <v>0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>
            <v>0</v>
          </cell>
          <cell r="I43">
            <v>0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>
            <v>0</v>
          </cell>
          <cell r="I103">
            <v>0</v>
          </cell>
        </row>
        <row r="104">
          <cell r="H104">
            <v>0</v>
          </cell>
          <cell r="I104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>
            <v>0</v>
          </cell>
          <cell r="I108">
            <v>0</v>
          </cell>
        </row>
        <row r="109">
          <cell r="H109">
            <v>0</v>
          </cell>
          <cell r="I109">
            <v>0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>
            <v>0</v>
          </cell>
          <cell r="I118">
            <v>0</v>
          </cell>
        </row>
        <row r="119">
          <cell r="H119">
            <v>0</v>
          </cell>
          <cell r="I119">
            <v>0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>
            <v>0</v>
          </cell>
          <cell r="I123">
            <v>0</v>
          </cell>
        </row>
        <row r="124">
          <cell r="H124">
            <v>0</v>
          </cell>
          <cell r="I124">
            <v>0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0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>
            <v>0</v>
          </cell>
          <cell r="I133">
            <v>0</v>
          </cell>
        </row>
        <row r="134">
          <cell r="H134">
            <v>0</v>
          </cell>
          <cell r="I134">
            <v>0</v>
          </cell>
        </row>
        <row r="135">
          <cell r="H135">
            <v>0</v>
          </cell>
          <cell r="I135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>
            <v>0</v>
          </cell>
          <cell r="I139">
            <v>0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>
            <v>0</v>
          </cell>
          <cell r="I143">
            <v>0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>
            <v>0</v>
          </cell>
          <cell r="E8">
            <v>0</v>
          </cell>
          <cell r="F8">
            <v>0</v>
          </cell>
        </row>
        <row r="9">
          <cell r="C9" t="str">
            <v>Ratio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Adjustment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>
            <v>0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>
            <v>0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>
            <v>0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>
            <v>0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>
            <v>0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9.8500000000000004E-2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384500000</v>
          </cell>
          <cell r="D40">
            <v>243833333.33333334</v>
          </cell>
          <cell r="E40">
            <v>0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>
            <v>0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>
            <v>0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>
            <v>0</v>
          </cell>
          <cell r="F43">
            <v>107187500</v>
          </cell>
          <cell r="G43">
            <v>21000000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>
            <v>0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21625958.450000003</v>
          </cell>
          <cell r="D48">
            <v>21625958.450000003</v>
          </cell>
          <cell r="E48">
            <v>0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>
            <v>0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>
            <v>0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5.3733160793053174E-2</v>
          </cell>
          <cell r="D52">
            <v>6.543100461220093E-2</v>
          </cell>
          <cell r="E52">
            <v>0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22974065</v>
          </cell>
          <cell r="D56">
            <v>22974065</v>
          </cell>
          <cell r="E56">
            <v>0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>
            <v>0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>
            <v>0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>
            <v>0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885558941.63</v>
          </cell>
          <cell r="D62">
            <v>807040696.14625001</v>
          </cell>
          <cell r="E62">
            <v>0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56">
        <row r="16">
          <cell r="C16" t="str">
            <v>Account</v>
          </cell>
          <cell r="D16">
            <v>0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403</v>
          </cell>
          <cell r="D18" t="str">
            <v>Depreciation Expense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>
            <v>0</v>
          </cell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>
            <v>0</v>
          </cell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>
            <v>0</v>
          </cell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>
            <v>0</v>
          </cell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 t="str">
            <v>Historical 12 Months Ending December, 2011 used due to the seasonal nature of production.</v>
          </cell>
        </row>
        <row r="26">
          <cell r="I26">
            <v>0</v>
          </cell>
          <cell r="J2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>
            <v>0</v>
          </cell>
        </row>
        <row r="6">
          <cell r="T6">
            <v>0</v>
          </cell>
        </row>
        <row r="7">
          <cell r="T7">
            <v>0</v>
          </cell>
        </row>
        <row r="8">
          <cell r="I8" t="str">
            <v>UTFirmBSF1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0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  <cell r="W8">
            <v>0</v>
          </cell>
        </row>
        <row r="9">
          <cell r="I9" t="str">
            <v>UTFirmBSF2</v>
          </cell>
          <cell r="J9">
            <v>0</v>
          </cell>
          <cell r="K9">
            <v>0</v>
          </cell>
          <cell r="L9">
            <v>0</v>
          </cell>
          <cell r="M9">
            <v>21</v>
          </cell>
          <cell r="N9">
            <v>0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>
            <v>0</v>
          </cell>
        </row>
        <row r="10">
          <cell r="I10" t="str">
            <v>UTFirmBSF3</v>
          </cell>
          <cell r="J10">
            <v>0</v>
          </cell>
          <cell r="K10">
            <v>0</v>
          </cell>
          <cell r="L10">
            <v>0</v>
          </cell>
          <cell r="M10">
            <v>55</v>
          </cell>
          <cell r="N10">
            <v>0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>
            <v>0</v>
          </cell>
        </row>
        <row r="11">
          <cell r="I11" t="str">
            <v>UTFirmBSF4</v>
          </cell>
          <cell r="J11">
            <v>0</v>
          </cell>
          <cell r="K11">
            <v>0</v>
          </cell>
          <cell r="L11">
            <v>0</v>
          </cell>
          <cell r="M11">
            <v>244</v>
          </cell>
          <cell r="N11">
            <v>0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>
            <v>0</v>
          </cell>
        </row>
        <row r="12">
          <cell r="I12" t="str">
            <v>UTFirmBSF5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T13">
            <v>0</v>
          </cell>
          <cell r="V13">
            <v>0</v>
          </cell>
        </row>
        <row r="14">
          <cell r="I14" t="str">
            <v>UTIntBSF1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0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>
            <v>0</v>
          </cell>
        </row>
        <row r="15">
          <cell r="I15" t="str">
            <v>UTIntBSF2</v>
          </cell>
          <cell r="J15">
            <v>0</v>
          </cell>
          <cell r="K15">
            <v>0</v>
          </cell>
          <cell r="L15">
            <v>0</v>
          </cell>
          <cell r="M15">
            <v>29</v>
          </cell>
          <cell r="N15">
            <v>0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>
            <v>0</v>
          </cell>
        </row>
        <row r="16">
          <cell r="I16" t="str">
            <v>UTIntBSF3</v>
          </cell>
          <cell r="J16">
            <v>0</v>
          </cell>
          <cell r="K16">
            <v>0</v>
          </cell>
          <cell r="L16">
            <v>0</v>
          </cell>
          <cell r="M16">
            <v>67</v>
          </cell>
          <cell r="N16">
            <v>0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>
            <v>0</v>
          </cell>
        </row>
        <row r="17">
          <cell r="I17" t="str">
            <v>UTIntBSF4</v>
          </cell>
          <cell r="J17">
            <v>0</v>
          </cell>
          <cell r="K17">
            <v>0</v>
          </cell>
          <cell r="L17">
            <v>0</v>
          </cell>
          <cell r="M17">
            <v>274</v>
          </cell>
          <cell r="N17">
            <v>0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>
            <v>0</v>
          </cell>
        </row>
        <row r="18">
          <cell r="I18" t="str">
            <v>UTIntBSF5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>
            <v>0</v>
          </cell>
          <cell r="K19">
            <v>0</v>
          </cell>
          <cell r="L19">
            <v>0</v>
          </cell>
          <cell r="M19">
            <v>67</v>
          </cell>
          <cell r="N19">
            <v>0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>
            <v>0</v>
          </cell>
          <cell r="K20">
            <v>0</v>
          </cell>
          <cell r="L20">
            <v>0</v>
          </cell>
          <cell r="M20">
            <v>274</v>
          </cell>
          <cell r="N20">
            <v>0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T21">
            <v>0</v>
          </cell>
          <cell r="V21">
            <v>0</v>
          </cell>
        </row>
        <row r="22">
          <cell r="I22" t="str">
            <v>UTIntBSFExpans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T23">
            <v>0</v>
          </cell>
          <cell r="V23">
            <v>0</v>
          </cell>
        </row>
        <row r="24">
          <cell r="I24" t="str">
            <v>UTTransAdminPrimary</v>
          </cell>
          <cell r="J24">
            <v>0</v>
          </cell>
          <cell r="K24">
            <v>0</v>
          </cell>
          <cell r="L24">
            <v>0</v>
          </cell>
          <cell r="M24">
            <v>375</v>
          </cell>
          <cell r="N24">
            <v>0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>
            <v>0</v>
          </cell>
          <cell r="K25">
            <v>0</v>
          </cell>
          <cell r="L25">
            <v>0</v>
          </cell>
          <cell r="M25">
            <v>187.5</v>
          </cell>
          <cell r="N25">
            <v>0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V26">
            <v>0</v>
          </cell>
        </row>
        <row r="27">
          <cell r="I27" t="str">
            <v>UTMTAdminPrimary</v>
          </cell>
          <cell r="J27">
            <v>0</v>
          </cell>
          <cell r="K27">
            <v>0</v>
          </cell>
          <cell r="L27">
            <v>0</v>
          </cell>
          <cell r="M27">
            <v>375</v>
          </cell>
          <cell r="N27">
            <v>0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>
            <v>0</v>
          </cell>
          <cell r="K28">
            <v>0</v>
          </cell>
          <cell r="L28">
            <v>0</v>
          </cell>
          <cell r="M28">
            <v>187.5</v>
          </cell>
          <cell r="N28">
            <v>0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T29">
            <v>0</v>
          </cell>
          <cell r="V29">
            <v>0</v>
          </cell>
        </row>
        <row r="30">
          <cell r="I30" t="str">
            <v>UTTransAdminExpans</v>
          </cell>
          <cell r="J30">
            <v>0</v>
          </cell>
          <cell r="K30">
            <v>0</v>
          </cell>
          <cell r="L30">
            <v>0</v>
          </cell>
          <cell r="M30">
            <v>375</v>
          </cell>
          <cell r="N30">
            <v>0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T31">
            <v>0</v>
          </cell>
          <cell r="V31">
            <v>0</v>
          </cell>
        </row>
        <row r="32">
          <cell r="I32" t="str">
            <v>UTFT1Demand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T33">
            <v>0</v>
          </cell>
          <cell r="V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V35">
            <v>0</v>
          </cell>
        </row>
        <row r="36">
          <cell r="I36" t="str">
            <v>UTITDemand</v>
          </cell>
          <cell r="J36">
            <v>0</v>
          </cell>
          <cell r="K36">
            <v>0</v>
          </cell>
          <cell r="L36">
            <v>0</v>
          </cell>
          <cell r="M36">
            <v>19.010000000000002</v>
          </cell>
          <cell r="N36">
            <v>0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T37">
            <v>0</v>
          </cell>
          <cell r="V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T38">
            <v>0</v>
          </cell>
          <cell r="V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T39">
            <v>0</v>
          </cell>
          <cell r="V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T40">
            <v>0</v>
          </cell>
          <cell r="V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T41">
            <v>0</v>
          </cell>
          <cell r="V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T44">
            <v>0</v>
          </cell>
          <cell r="V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T45">
            <v>0</v>
          </cell>
          <cell r="V45">
            <v>0</v>
          </cell>
        </row>
        <row r="46">
          <cell r="I46" t="str">
            <v>UTGSRBSF1</v>
          </cell>
          <cell r="J46">
            <v>0</v>
          </cell>
          <cell r="K46">
            <v>0</v>
          </cell>
          <cell r="L46">
            <v>0</v>
          </cell>
          <cell r="M46">
            <v>0.98711499999999996</v>
          </cell>
          <cell r="N46">
            <v>0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>
            <v>0</v>
          </cell>
          <cell r="K47">
            <v>0</v>
          </cell>
          <cell r="L47">
            <v>0</v>
          </cell>
          <cell r="M47">
            <v>1.2791E-2</v>
          </cell>
          <cell r="N47">
            <v>0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>
            <v>0</v>
          </cell>
          <cell r="K48">
            <v>0</v>
          </cell>
          <cell r="L48">
            <v>0</v>
          </cell>
          <cell r="M48">
            <v>9.0000000000000006E-5</v>
          </cell>
          <cell r="N48">
            <v>0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>
            <v>0</v>
          </cell>
          <cell r="K49">
            <v>0</v>
          </cell>
          <cell r="L49">
            <v>0</v>
          </cell>
          <cell r="M49">
            <v>3.9999999999999998E-6</v>
          </cell>
          <cell r="N49">
            <v>0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T53">
            <v>0</v>
          </cell>
          <cell r="V53">
            <v>0</v>
          </cell>
        </row>
        <row r="54">
          <cell r="I54" t="str">
            <v>UTGSBSF1</v>
          </cell>
          <cell r="J54">
            <v>0</v>
          </cell>
          <cell r="K54">
            <v>0</v>
          </cell>
          <cell r="L54">
            <v>0</v>
          </cell>
          <cell r="M54">
            <v>0.96660459564042323</v>
          </cell>
          <cell r="N54">
            <v>0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>
            <v>0</v>
          </cell>
          <cell r="K55">
            <v>0</v>
          </cell>
          <cell r="L55">
            <v>0</v>
          </cell>
          <cell r="M55">
            <v>3.1166659587738104E-2</v>
          </cell>
          <cell r="N55">
            <v>0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>
            <v>0</v>
          </cell>
          <cell r="K56">
            <v>0</v>
          </cell>
          <cell r="L56">
            <v>0</v>
          </cell>
          <cell r="M56">
            <v>1.7861254490462448E-3</v>
          </cell>
          <cell r="N56">
            <v>0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>
            <v>0</v>
          </cell>
          <cell r="K57">
            <v>0</v>
          </cell>
          <cell r="L57">
            <v>0</v>
          </cell>
          <cell r="M57">
            <v>4.4261932279243612E-4</v>
          </cell>
          <cell r="N57">
            <v>0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T61">
            <v>0</v>
          </cell>
          <cell r="V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T62">
            <v>0</v>
          </cell>
          <cell r="V62">
            <v>0</v>
          </cell>
        </row>
        <row r="63">
          <cell r="I63" t="str">
            <v>UTGSREACpercent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T65">
            <v>0</v>
          </cell>
          <cell r="V65">
            <v>0</v>
          </cell>
        </row>
        <row r="66">
          <cell r="I66" t="str">
            <v>UTGSCEACpercent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T68">
            <v>0</v>
          </cell>
          <cell r="V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T69">
            <v>0</v>
          </cell>
          <cell r="V69">
            <v>0</v>
          </cell>
        </row>
        <row r="70">
          <cell r="I70" t="str">
            <v>UTGSRBlkAllocIntBlk1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T72">
            <v>0</v>
          </cell>
          <cell r="V72">
            <v>0</v>
          </cell>
        </row>
        <row r="73">
          <cell r="I73" t="str">
            <v>UTGSCBlkAllocIntBlk1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T75">
            <v>0</v>
          </cell>
          <cell r="V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T76">
            <v>0</v>
          </cell>
          <cell r="V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T77">
            <v>0</v>
          </cell>
          <cell r="V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T78">
            <v>0</v>
          </cell>
          <cell r="V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T79">
            <v>0</v>
          </cell>
          <cell r="V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T80">
            <v>0</v>
          </cell>
          <cell r="V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T81">
            <v>0</v>
          </cell>
          <cell r="V81">
            <v>0</v>
          </cell>
        </row>
        <row r="82">
          <cell r="I82" t="str">
            <v>UTGSRDNGSumBlk1</v>
          </cell>
          <cell r="J82">
            <v>0</v>
          </cell>
          <cell r="K82">
            <v>0</v>
          </cell>
          <cell r="L82">
            <v>0</v>
          </cell>
          <cell r="M82">
            <v>2.0297800000000001</v>
          </cell>
          <cell r="N82">
            <v>0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>
            <v>0</v>
          </cell>
          <cell r="K83">
            <v>0</v>
          </cell>
          <cell r="L83">
            <v>0</v>
          </cell>
          <cell r="M83">
            <v>0.70268699999999995</v>
          </cell>
          <cell r="N83">
            <v>0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T84">
            <v>0</v>
          </cell>
          <cell r="V84">
            <v>0</v>
          </cell>
        </row>
        <row r="85">
          <cell r="I85" t="str">
            <v>UTGSRSNGSumBlk1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T87">
            <v>0</v>
          </cell>
          <cell r="V87">
            <v>0</v>
          </cell>
        </row>
        <row r="88">
          <cell r="I88" t="str">
            <v>UTGSRComSumBlk1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T90">
            <v>0</v>
          </cell>
          <cell r="V90">
            <v>0</v>
          </cell>
        </row>
        <row r="91">
          <cell r="I91" t="str">
            <v>UTGSRTotalSumBlk1</v>
          </cell>
          <cell r="J91">
            <v>0</v>
          </cell>
          <cell r="K91">
            <v>2.0297800000000001</v>
          </cell>
          <cell r="L91">
            <v>0</v>
          </cell>
          <cell r="M91">
            <v>0</v>
          </cell>
          <cell r="N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>
            <v>0</v>
          </cell>
          <cell r="K92">
            <v>0.70268699999999995</v>
          </cell>
          <cell r="L92">
            <v>0</v>
          </cell>
          <cell r="M92">
            <v>0</v>
          </cell>
          <cell r="N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T93">
            <v>0</v>
          </cell>
          <cell r="V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T94">
            <v>0</v>
          </cell>
          <cell r="V94">
            <v>0</v>
          </cell>
        </row>
        <row r="95">
          <cell r="I95" t="str">
            <v>UTGSDNGSumBlk1</v>
          </cell>
          <cell r="J95">
            <v>0</v>
          </cell>
          <cell r="K95">
            <v>0</v>
          </cell>
          <cell r="L95">
            <v>0</v>
          </cell>
          <cell r="M95">
            <v>2.0297800000000001</v>
          </cell>
          <cell r="N95">
            <v>0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>
            <v>0</v>
          </cell>
          <cell r="K96">
            <v>0</v>
          </cell>
          <cell r="L96">
            <v>0</v>
          </cell>
          <cell r="M96">
            <v>0.75351000000000001</v>
          </cell>
          <cell r="N96">
            <v>0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>
            <v>0</v>
          </cell>
          <cell r="K97">
            <v>0</v>
          </cell>
          <cell r="L97">
            <v>0</v>
          </cell>
          <cell r="M97">
            <v>0.75351000000000001</v>
          </cell>
          <cell r="N97">
            <v>0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>
            <v>0</v>
          </cell>
          <cell r="K98">
            <v>0</v>
          </cell>
          <cell r="L98">
            <v>0</v>
          </cell>
          <cell r="M98">
            <v>2.40998</v>
          </cell>
          <cell r="N98">
            <v>0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>
            <v>0</v>
          </cell>
          <cell r="K99">
            <v>0</v>
          </cell>
          <cell r="L99">
            <v>0</v>
          </cell>
          <cell r="M99">
            <v>1.0005500000000001</v>
          </cell>
          <cell r="N99">
            <v>0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>
            <v>0</v>
          </cell>
          <cell r="K100">
            <v>0</v>
          </cell>
          <cell r="L100">
            <v>0</v>
          </cell>
          <cell r="M100">
            <v>1.0005500000000001</v>
          </cell>
          <cell r="N100">
            <v>0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V101">
            <v>0</v>
          </cell>
        </row>
        <row r="102">
          <cell r="I102" t="str">
            <v>UTGSCSNGSumBlk1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T107">
            <v>0.81283000000000005</v>
          </cell>
          <cell r="V107">
            <v>0.81283000000000005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T108">
            <v>0</v>
          </cell>
          <cell r="V108">
            <v>0</v>
          </cell>
        </row>
        <row r="109">
          <cell r="I109" t="str">
            <v>UTGSCComSumBlk1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T114">
            <v>4.8583400000000001</v>
          </cell>
          <cell r="V114">
            <v>4.8583400000000001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T115">
            <v>0</v>
          </cell>
          <cell r="V115">
            <v>0</v>
          </cell>
        </row>
        <row r="116">
          <cell r="I116" t="str">
            <v>UTGSCTotalSumBlk1</v>
          </cell>
          <cell r="J116">
            <v>0</v>
          </cell>
          <cell r="K116">
            <v>2.0297800000000001</v>
          </cell>
          <cell r="L116">
            <v>0</v>
          </cell>
          <cell r="M116">
            <v>0</v>
          </cell>
          <cell r="N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>
            <v>0</v>
          </cell>
          <cell r="K119">
            <v>2.40998</v>
          </cell>
          <cell r="L119">
            <v>0</v>
          </cell>
          <cell r="M119">
            <v>0</v>
          </cell>
          <cell r="N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T121">
            <v>6.4848699999999999</v>
          </cell>
          <cell r="V121">
            <v>6.4848699999999999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T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T123">
            <v>0</v>
          </cell>
          <cell r="V123">
            <v>0</v>
          </cell>
        </row>
        <row r="124">
          <cell r="I124" t="str">
            <v>UTGSSDNGSumBlk1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T126">
            <v>0</v>
          </cell>
          <cell r="V126">
            <v>0</v>
          </cell>
        </row>
        <row r="127">
          <cell r="I127" t="str">
            <v>UTGSSSNGSumBlk1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T129">
            <v>0</v>
          </cell>
          <cell r="V129">
            <v>0</v>
          </cell>
        </row>
        <row r="130">
          <cell r="I130" t="str">
            <v>UTGSSComSumBlk1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T132">
            <v>0</v>
          </cell>
          <cell r="V132">
            <v>0</v>
          </cell>
        </row>
        <row r="133">
          <cell r="I133" t="str">
            <v>UTGSSTotalSumBlk1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T135">
            <v>0</v>
          </cell>
          <cell r="V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T136">
            <v>0</v>
          </cell>
          <cell r="V136">
            <v>0</v>
          </cell>
        </row>
        <row r="137">
          <cell r="I137" t="str">
            <v>UTFSDNGSumBlk1</v>
          </cell>
          <cell r="J137">
            <v>0</v>
          </cell>
          <cell r="K137">
            <v>0</v>
          </cell>
          <cell r="L137">
            <v>0</v>
          </cell>
          <cell r="M137">
            <v>0.71853999999999996</v>
          </cell>
          <cell r="N137">
            <v>0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>
            <v>0</v>
          </cell>
          <cell r="K138">
            <v>0</v>
          </cell>
          <cell r="L138">
            <v>0</v>
          </cell>
          <cell r="M138">
            <v>0.56196000000000002</v>
          </cell>
          <cell r="N138">
            <v>0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>
            <v>0</v>
          </cell>
          <cell r="K139">
            <v>0</v>
          </cell>
          <cell r="L139">
            <v>0</v>
          </cell>
          <cell r="M139">
            <v>0.48829999999999996</v>
          </cell>
          <cell r="N139">
            <v>0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>
            <v>0</v>
          </cell>
          <cell r="K140">
            <v>0</v>
          </cell>
          <cell r="L140">
            <v>0</v>
          </cell>
          <cell r="M140">
            <v>0.80352000000000001</v>
          </cell>
          <cell r="N140">
            <v>0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>
            <v>0</v>
          </cell>
          <cell r="K141">
            <v>0</v>
          </cell>
          <cell r="L141">
            <v>0</v>
          </cell>
          <cell r="M141">
            <v>0.64281999999999995</v>
          </cell>
          <cell r="N141">
            <v>0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>
            <v>0</v>
          </cell>
          <cell r="K142">
            <v>0</v>
          </cell>
          <cell r="L142">
            <v>0</v>
          </cell>
          <cell r="M142">
            <v>0.57853999999999994</v>
          </cell>
          <cell r="N142">
            <v>0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T143">
            <v>0</v>
          </cell>
          <cell r="V143">
            <v>0</v>
          </cell>
        </row>
        <row r="144">
          <cell r="I144" t="str">
            <v>UTF-1SNGSumBlk1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T150">
            <v>0</v>
          </cell>
          <cell r="V150">
            <v>0</v>
          </cell>
        </row>
        <row r="151">
          <cell r="I151" t="str">
            <v>UTF-1ComSumBlk1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T157">
            <v>0</v>
          </cell>
          <cell r="V157">
            <v>0</v>
          </cell>
        </row>
        <row r="158">
          <cell r="I158" t="str">
            <v>UTF-1TotalSumBlk1</v>
          </cell>
          <cell r="J158">
            <v>0</v>
          </cell>
          <cell r="K158">
            <v>0.71853999999999996</v>
          </cell>
          <cell r="L158">
            <v>0</v>
          </cell>
          <cell r="M158">
            <v>0</v>
          </cell>
          <cell r="N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>
            <v>0</v>
          </cell>
          <cell r="K159">
            <v>0.56196000000000002</v>
          </cell>
          <cell r="L159">
            <v>0</v>
          </cell>
          <cell r="M159">
            <v>0</v>
          </cell>
          <cell r="N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>
            <v>0</v>
          </cell>
          <cell r="K160">
            <v>0.48829999999999996</v>
          </cell>
          <cell r="L160">
            <v>0</v>
          </cell>
          <cell r="M160">
            <v>0</v>
          </cell>
          <cell r="N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>
            <v>0</v>
          </cell>
          <cell r="K161">
            <v>0.80352000000000001</v>
          </cell>
          <cell r="L161">
            <v>0</v>
          </cell>
          <cell r="M161">
            <v>0</v>
          </cell>
          <cell r="N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>
            <v>0</v>
          </cell>
          <cell r="K162">
            <v>0.64281999999999995</v>
          </cell>
          <cell r="L162">
            <v>0</v>
          </cell>
          <cell r="M162">
            <v>0</v>
          </cell>
          <cell r="N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>
            <v>0</v>
          </cell>
          <cell r="K163">
            <v>0.57853999999999994</v>
          </cell>
          <cell r="L163">
            <v>0</v>
          </cell>
          <cell r="M163">
            <v>0</v>
          </cell>
          <cell r="N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T164">
            <v>0</v>
          </cell>
          <cell r="V164">
            <v>0</v>
          </cell>
        </row>
        <row r="165">
          <cell r="I165" t="str">
            <v>UTF-1DNGSumMin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T167">
            <v>0</v>
          </cell>
          <cell r="V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T168">
            <v>0</v>
          </cell>
          <cell r="V168">
            <v>0</v>
          </cell>
        </row>
        <row r="169">
          <cell r="I169" t="str">
            <v>UTF-3DNG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T172">
            <v>8.6180799999999991</v>
          </cell>
          <cell r="V172">
            <v>8.6180799999999991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T173">
            <v>0</v>
          </cell>
          <cell r="V173">
            <v>0</v>
          </cell>
        </row>
        <row r="174">
          <cell r="I174" t="str">
            <v>UTF-3DNGDemand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T177">
            <v>73.28</v>
          </cell>
          <cell r="V177">
            <v>73.28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T178">
            <v>0</v>
          </cell>
          <cell r="V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T179">
            <v>0</v>
          </cell>
          <cell r="V179">
            <v>0</v>
          </cell>
        </row>
        <row r="180">
          <cell r="I180" t="str">
            <v>UTF-4DNGBlk1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T181">
            <v>0.31041000000000002</v>
          </cell>
          <cell r="V181">
            <v>0.31041000000000002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T182">
            <v>0</v>
          </cell>
          <cell r="V182">
            <v>0</v>
          </cell>
        </row>
        <row r="183">
          <cell r="I183" t="str">
            <v>UTF-4SNGBlk1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T184">
            <v>0.83808000000000005</v>
          </cell>
          <cell r="V184">
            <v>0.83808000000000005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T185">
            <v>0</v>
          </cell>
          <cell r="V185">
            <v>0</v>
          </cell>
        </row>
        <row r="186">
          <cell r="I186" t="str">
            <v>UTF-4ComBlk1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T187">
            <v>5.3326399999999996</v>
          </cell>
          <cell r="V187">
            <v>5.3326399999999996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T188">
            <v>0</v>
          </cell>
          <cell r="V188">
            <v>0</v>
          </cell>
        </row>
        <row r="189">
          <cell r="I189" t="str">
            <v>UTF-4TotalBlk1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T190">
            <v>6.4811299999999994</v>
          </cell>
          <cell r="V190">
            <v>6.4811299999999994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T191">
            <v>0</v>
          </cell>
          <cell r="V191">
            <v>0</v>
          </cell>
        </row>
        <row r="192">
          <cell r="I192" t="str">
            <v>UTF-4DNGYearlyMin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T192">
            <v>38700</v>
          </cell>
          <cell r="V192">
            <v>38700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T193">
            <v>0</v>
          </cell>
          <cell r="V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T194">
            <v>0</v>
          </cell>
          <cell r="V194">
            <v>0</v>
          </cell>
        </row>
        <row r="195">
          <cell r="I195" t="str">
            <v>UTNGVDNG</v>
          </cell>
          <cell r="J195">
            <v>0</v>
          </cell>
          <cell r="K195">
            <v>0</v>
          </cell>
          <cell r="L195">
            <v>0</v>
          </cell>
          <cell r="M195">
            <v>5.2494399999999999</v>
          </cell>
          <cell r="N195">
            <v>0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>
            <v>0</v>
          </cell>
          <cell r="K198">
            <v>5.2494399999999999</v>
          </cell>
          <cell r="L198">
            <v>0</v>
          </cell>
          <cell r="M198">
            <v>0</v>
          </cell>
          <cell r="N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T199">
            <v>0</v>
          </cell>
          <cell r="V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T200">
            <v>0</v>
          </cell>
          <cell r="V200">
            <v>0</v>
          </cell>
        </row>
        <row r="201">
          <cell r="I201" t="str">
            <v>UTISDNGBlk1</v>
          </cell>
          <cell r="J201">
            <v>0</v>
          </cell>
          <cell r="K201">
            <v>0</v>
          </cell>
          <cell r="L201">
            <v>0</v>
          </cell>
          <cell r="M201">
            <v>0.25119999999999998</v>
          </cell>
          <cell r="N201">
            <v>0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>
            <v>0</v>
          </cell>
          <cell r="K202">
            <v>0</v>
          </cell>
          <cell r="L202">
            <v>0</v>
          </cell>
          <cell r="M202">
            <v>0.2311</v>
          </cell>
          <cell r="N202">
            <v>0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>
            <v>0</v>
          </cell>
          <cell r="K203">
            <v>0</v>
          </cell>
          <cell r="L203">
            <v>0</v>
          </cell>
          <cell r="M203">
            <v>0.21261999999999998</v>
          </cell>
          <cell r="N203">
            <v>0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T204">
            <v>0</v>
          </cell>
          <cell r="V204">
            <v>0</v>
          </cell>
        </row>
        <row r="205">
          <cell r="I205" t="str">
            <v>UTI-4SNGBlk1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T208">
            <v>0</v>
          </cell>
          <cell r="V208">
            <v>0</v>
          </cell>
        </row>
        <row r="209">
          <cell r="I209" t="str">
            <v>UTI-4ComBlk1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T212">
            <v>0</v>
          </cell>
          <cell r="V212">
            <v>0</v>
          </cell>
        </row>
        <row r="213">
          <cell r="I213" t="str">
            <v>UTI-4TotalBlk1</v>
          </cell>
          <cell r="J213">
            <v>0</v>
          </cell>
          <cell r="K213">
            <v>0.25119999999999998</v>
          </cell>
          <cell r="L213">
            <v>0</v>
          </cell>
          <cell r="M213">
            <v>0</v>
          </cell>
          <cell r="N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>
            <v>0</v>
          </cell>
          <cell r="K214">
            <v>0.2311</v>
          </cell>
          <cell r="L214">
            <v>0</v>
          </cell>
          <cell r="M214">
            <v>0</v>
          </cell>
          <cell r="N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>
            <v>0</v>
          </cell>
          <cell r="K215">
            <v>0.21261999999999998</v>
          </cell>
          <cell r="L215">
            <v>0</v>
          </cell>
          <cell r="M215">
            <v>0</v>
          </cell>
          <cell r="N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T216">
            <v>0</v>
          </cell>
          <cell r="V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T217">
            <v>0</v>
          </cell>
          <cell r="V217">
            <v>0</v>
          </cell>
        </row>
        <row r="218">
          <cell r="I218" t="str">
            <v>UTIS-4DNGBlk1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T221">
            <v>0</v>
          </cell>
          <cell r="V221">
            <v>0</v>
          </cell>
        </row>
        <row r="222">
          <cell r="I222" t="str">
            <v>UTIS-4SNGBlk1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T225">
            <v>0</v>
          </cell>
          <cell r="V225">
            <v>0</v>
          </cell>
        </row>
        <row r="226">
          <cell r="I226" t="str">
            <v>UTIS-4ComBlk1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T229">
            <v>0</v>
          </cell>
          <cell r="V229">
            <v>0</v>
          </cell>
        </row>
        <row r="230">
          <cell r="I230" t="str">
            <v>UTIS-4TotalBlk1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T233">
            <v>0</v>
          </cell>
          <cell r="V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T234">
            <v>0</v>
          </cell>
          <cell r="V234">
            <v>0</v>
          </cell>
        </row>
        <row r="235">
          <cell r="I235" t="str">
            <v>UTT-1DNG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T238">
            <v>5.4034399999999998</v>
          </cell>
          <cell r="V238">
            <v>5.4034399999999998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T239">
            <v>0</v>
          </cell>
          <cell r="V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T240">
            <v>0</v>
          </cell>
          <cell r="V240">
            <v>0</v>
          </cell>
        </row>
        <row r="241">
          <cell r="I241" t="str">
            <v>UTESDNG</v>
          </cell>
          <cell r="J241">
            <v>0</v>
          </cell>
          <cell r="K241">
            <v>0</v>
          </cell>
          <cell r="L241">
            <v>0</v>
          </cell>
          <cell r="M241">
            <v>1.77311</v>
          </cell>
          <cell r="N241">
            <v>0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>
            <v>0</v>
          </cell>
          <cell r="K244">
            <v>1.77311</v>
          </cell>
          <cell r="L244">
            <v>0</v>
          </cell>
          <cell r="M244">
            <v>0</v>
          </cell>
          <cell r="N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T245">
            <v>0</v>
          </cell>
          <cell r="V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T246">
            <v>0</v>
          </cell>
          <cell r="V246">
            <v>0</v>
          </cell>
        </row>
        <row r="247">
          <cell r="I247" t="str">
            <v>UTFT-1DNGBlk1</v>
          </cell>
          <cell r="J247">
            <v>0</v>
          </cell>
          <cell r="K247">
            <v>0</v>
          </cell>
          <cell r="L247">
            <v>0</v>
          </cell>
          <cell r="M247">
            <v>0.24747</v>
          </cell>
          <cell r="N247">
            <v>0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>
            <v>0</v>
          </cell>
          <cell r="K248">
            <v>0</v>
          </cell>
          <cell r="L248">
            <v>0</v>
          </cell>
          <cell r="M248">
            <v>0.22950999999999999</v>
          </cell>
          <cell r="N248">
            <v>0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>
            <v>0</v>
          </cell>
          <cell r="K249">
            <v>0</v>
          </cell>
          <cell r="L249">
            <v>0</v>
          </cell>
          <cell r="M249">
            <v>0.15261</v>
          </cell>
          <cell r="N249">
            <v>0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>
            <v>0</v>
          </cell>
          <cell r="K250">
            <v>0</v>
          </cell>
          <cell r="L250">
            <v>0</v>
          </cell>
          <cell r="M250">
            <v>2.8029999999999999E-2</v>
          </cell>
          <cell r="N250">
            <v>0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T251">
            <v>0</v>
          </cell>
          <cell r="V251">
            <v>0</v>
          </cell>
        </row>
        <row r="252">
          <cell r="I252" t="str">
            <v>UTFT-1DNGYearlyMin</v>
          </cell>
          <cell r="J252">
            <v>0</v>
          </cell>
          <cell r="K252">
            <v>0</v>
          </cell>
          <cell r="L252">
            <v>0</v>
          </cell>
          <cell r="M252">
            <v>20400</v>
          </cell>
          <cell r="N252">
            <v>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T253">
            <v>0</v>
          </cell>
          <cell r="V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T254">
            <v>0</v>
          </cell>
          <cell r="V254">
            <v>0</v>
          </cell>
        </row>
        <row r="255">
          <cell r="I255" t="str">
            <v>UTFT-1LDNGBlk1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T259">
            <v>0</v>
          </cell>
          <cell r="V259">
            <v>0</v>
          </cell>
        </row>
        <row r="260">
          <cell r="I260" t="str">
            <v>UTFT-1LDNGMonthlyMin</v>
          </cell>
          <cell r="J260">
            <v>0</v>
          </cell>
          <cell r="K260">
            <v>0</v>
          </cell>
          <cell r="L260">
            <v>0</v>
          </cell>
          <cell r="M260">
            <v>248000</v>
          </cell>
          <cell r="N260">
            <v>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T261">
            <v>0</v>
          </cell>
          <cell r="V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T262">
            <v>0</v>
          </cell>
          <cell r="V262">
            <v>0</v>
          </cell>
        </row>
        <row r="263">
          <cell r="I263" t="str">
            <v>UTFT-2DNGBlk1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T266">
            <v>2.4639999999999999E-2</v>
          </cell>
          <cell r="V266">
            <v>2.4639999999999999E-2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T267">
            <v>0</v>
          </cell>
          <cell r="V267">
            <v>0</v>
          </cell>
        </row>
        <row r="268">
          <cell r="I268" t="str">
            <v>UTFT-2CO2Blk1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T271">
            <v>4.45E-3</v>
          </cell>
          <cell r="V271">
            <v>4.45E-3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T272">
            <v>0</v>
          </cell>
          <cell r="V272">
            <v>0</v>
          </cell>
        </row>
        <row r="273">
          <cell r="I273" t="str">
            <v>UTFT-2TotalBlk1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T276">
            <v>2.9090000000000001E-2</v>
          </cell>
          <cell r="V276">
            <v>2.9090000000000001E-2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T277">
            <v>0</v>
          </cell>
          <cell r="V277">
            <v>0</v>
          </cell>
        </row>
        <row r="278">
          <cell r="I278" t="str">
            <v>UTFT-2DNGYearlyMin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T278">
            <v>23200</v>
          </cell>
          <cell r="V278">
            <v>23200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T279">
            <v>0</v>
          </cell>
          <cell r="V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T280">
            <v>0</v>
          </cell>
          <cell r="V280">
            <v>0</v>
          </cell>
        </row>
        <row r="281">
          <cell r="I281" t="str">
            <v>UTFT-2CDNGBlk1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T283">
            <v>0</v>
          </cell>
          <cell r="V283">
            <v>0</v>
          </cell>
        </row>
        <row r="284">
          <cell r="I284" t="str">
            <v>UTFT-1LDNGMonthlyMin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T285">
            <v>0</v>
          </cell>
          <cell r="V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T286">
            <v>0</v>
          </cell>
          <cell r="V286">
            <v>0</v>
          </cell>
        </row>
        <row r="287">
          <cell r="I287" t="str">
            <v>UTMTDNG</v>
          </cell>
          <cell r="J287">
            <v>0</v>
          </cell>
          <cell r="K287">
            <v>0</v>
          </cell>
          <cell r="L287">
            <v>0</v>
          </cell>
          <cell r="M287">
            <v>0.64222000000000001</v>
          </cell>
          <cell r="N287">
            <v>0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>
            <v>0</v>
          </cell>
          <cell r="K288">
            <v>0</v>
          </cell>
          <cell r="L288">
            <v>0</v>
          </cell>
          <cell r="M288">
            <v>0.06</v>
          </cell>
          <cell r="N288">
            <v>0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T289">
            <v>0</v>
          </cell>
          <cell r="V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T290">
            <v>0</v>
          </cell>
          <cell r="V290">
            <v>0</v>
          </cell>
        </row>
        <row r="291">
          <cell r="I291" t="str">
            <v>UTTSDNGBlk1</v>
          </cell>
          <cell r="J291">
            <v>0</v>
          </cell>
          <cell r="K291">
            <v>0</v>
          </cell>
          <cell r="L291">
            <v>0</v>
          </cell>
          <cell r="M291">
            <v>0.21409</v>
          </cell>
          <cell r="N291">
            <v>0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>
            <v>0</v>
          </cell>
          <cell r="K292">
            <v>0</v>
          </cell>
          <cell r="L292">
            <v>0</v>
          </cell>
          <cell r="M292">
            <v>0.16056000000000001</v>
          </cell>
          <cell r="N292">
            <v>0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>
            <v>0</v>
          </cell>
          <cell r="K293">
            <v>0</v>
          </cell>
          <cell r="L293">
            <v>0</v>
          </cell>
          <cell r="M293">
            <v>0.12845000000000001</v>
          </cell>
          <cell r="N293">
            <v>0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>
            <v>0</v>
          </cell>
          <cell r="K294">
            <v>0</v>
          </cell>
          <cell r="L294">
            <v>0</v>
          </cell>
          <cell r="M294">
            <v>5.1379999999999995E-2</v>
          </cell>
          <cell r="N294">
            <v>0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T295">
            <v>0</v>
          </cell>
          <cell r="V295">
            <v>0</v>
          </cell>
        </row>
        <row r="296">
          <cell r="I296" t="str">
            <v>UTITCO2Blk1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T300">
            <v>0</v>
          </cell>
          <cell r="V300">
            <v>0</v>
          </cell>
        </row>
        <row r="301">
          <cell r="I301" t="str">
            <v>UTITTotalBlk1</v>
          </cell>
          <cell r="J301">
            <v>0</v>
          </cell>
          <cell r="K301">
            <v>0.21409</v>
          </cell>
          <cell r="L301">
            <v>0</v>
          </cell>
          <cell r="M301">
            <v>0</v>
          </cell>
          <cell r="N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>
            <v>0</v>
          </cell>
          <cell r="K302">
            <v>0.16056000000000001</v>
          </cell>
          <cell r="L302">
            <v>0</v>
          </cell>
          <cell r="M302">
            <v>0</v>
          </cell>
          <cell r="N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>
            <v>0</v>
          </cell>
          <cell r="K303">
            <v>0.12845000000000001</v>
          </cell>
          <cell r="L303">
            <v>0</v>
          </cell>
          <cell r="M303">
            <v>0</v>
          </cell>
          <cell r="N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T305">
            <v>0</v>
          </cell>
          <cell r="V305">
            <v>0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T306">
            <v>0</v>
          </cell>
          <cell r="V306">
            <v>0</v>
          </cell>
        </row>
        <row r="307">
          <cell r="I307" t="str">
            <v>UTIT-SDNGBlk1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T311">
            <v>0</v>
          </cell>
          <cell r="V311">
            <v>0</v>
          </cell>
        </row>
        <row r="312">
          <cell r="I312" t="str">
            <v>UTIT-SCO2Blk1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T316">
            <v>0</v>
          </cell>
          <cell r="V316">
            <v>0</v>
          </cell>
        </row>
        <row r="317">
          <cell r="I317" t="str">
            <v>UTIT-STotalBlk1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>
            <v>0</v>
          </cell>
          <cell r="V321">
            <v>0</v>
          </cell>
        </row>
        <row r="322">
          <cell r="T322">
            <v>0</v>
          </cell>
          <cell r="V322">
            <v>0</v>
          </cell>
        </row>
        <row r="323">
          <cell r="V323">
            <v>0</v>
          </cell>
        </row>
        <row r="324">
          <cell r="T324">
            <v>336530.72977369966</v>
          </cell>
          <cell r="V324">
            <v>65542.726026700111</v>
          </cell>
        </row>
        <row r="325">
          <cell r="T325">
            <v>0</v>
          </cell>
        </row>
        <row r="326">
          <cell r="T326">
            <v>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  <sheetData sheetId="1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Z32"/>
  <sheetViews>
    <sheetView tabSelected="1" view="pageLayout" zoomScale="68" zoomScaleNormal="90" zoomScaleSheetLayoutView="70" zoomScalePageLayoutView="68" workbookViewId="0">
      <selection activeCell="C13" sqref="C13"/>
    </sheetView>
  </sheetViews>
  <sheetFormatPr defaultRowHeight="12.75"/>
  <cols>
    <col min="1" max="2" width="11" style="230" customWidth="1"/>
    <col min="3" max="3" width="47.5703125" style="230" bestFit="1" customWidth="1"/>
    <col min="4" max="11" width="12.28515625" style="230" hidden="1" customWidth="1"/>
    <col min="12" max="12" width="13.28515625" style="230" hidden="1" customWidth="1"/>
    <col min="13" max="13" width="12.7109375" style="230" hidden="1" customWidth="1"/>
    <col min="14" max="14" width="13.85546875" style="230" customWidth="1"/>
    <col min="15" max="15" width="12.85546875" style="230" bestFit="1" customWidth="1"/>
    <col min="16" max="23" width="11.7109375" style="230" customWidth="1"/>
    <col min="24" max="24" width="14.85546875" style="230" customWidth="1"/>
    <col min="25" max="25" width="11.7109375" style="230" customWidth="1"/>
    <col min="26" max="26" width="13.42578125" style="230" bestFit="1" customWidth="1"/>
    <col min="27" max="27" width="13.28515625" style="230" bestFit="1" customWidth="1"/>
    <col min="28" max="28" width="12.7109375" style="230" bestFit="1" customWidth="1"/>
    <col min="29" max="31" width="12.7109375" style="230" hidden="1" customWidth="1"/>
    <col min="32" max="35" width="11.28515625" style="230" hidden="1" customWidth="1"/>
    <col min="36" max="36" width="13.28515625" style="230" hidden="1" customWidth="1"/>
    <col min="37" max="37" width="11.7109375" style="230" hidden="1" customWidth="1"/>
    <col min="38" max="39" width="12.7109375" style="230" hidden="1" customWidth="1"/>
    <col min="40" max="47" width="11.28515625" style="230" hidden="1" customWidth="1"/>
    <col min="48" max="48" width="13.28515625" style="230" hidden="1" customWidth="1"/>
    <col min="49" max="49" width="11.28515625" style="230" hidden="1" customWidth="1"/>
    <col min="50" max="51" width="12.7109375" style="230" hidden="1" customWidth="1"/>
    <col min="52" max="16384" width="9.140625" style="230"/>
  </cols>
  <sheetData>
    <row r="1" spans="1:52">
      <c r="C1" s="230" t="s">
        <v>232</v>
      </c>
      <c r="D1" s="243" t="s">
        <v>54</v>
      </c>
      <c r="E1" s="243" t="s">
        <v>55</v>
      </c>
      <c r="F1" s="243" t="s">
        <v>56</v>
      </c>
      <c r="G1" s="243" t="s">
        <v>208</v>
      </c>
      <c r="H1" s="243" t="s">
        <v>68</v>
      </c>
      <c r="I1" s="243" t="s">
        <v>69</v>
      </c>
      <c r="J1" s="243" t="s">
        <v>70</v>
      </c>
      <c r="K1" s="243" t="s">
        <v>71</v>
      </c>
      <c r="L1" s="243" t="s">
        <v>72</v>
      </c>
      <c r="M1" s="243" t="s">
        <v>73</v>
      </c>
      <c r="N1" s="243" t="s">
        <v>54</v>
      </c>
      <c r="O1" s="243" t="s">
        <v>55</v>
      </c>
      <c r="P1" s="243" t="s">
        <v>56</v>
      </c>
      <c r="Q1" s="243" t="s">
        <v>208</v>
      </c>
      <c r="R1" s="243" t="s">
        <v>68</v>
      </c>
      <c r="S1" s="243" t="s">
        <v>69</v>
      </c>
      <c r="T1" s="243" t="s">
        <v>70</v>
      </c>
      <c r="U1" s="243" t="s">
        <v>71</v>
      </c>
      <c r="V1" s="243" t="s">
        <v>72</v>
      </c>
      <c r="W1" s="243" t="s">
        <v>73</v>
      </c>
      <c r="X1" s="243" t="s">
        <v>74</v>
      </c>
      <c r="Y1" s="243" t="s">
        <v>222</v>
      </c>
      <c r="Z1" s="243" t="s">
        <v>223</v>
      </c>
      <c r="AA1" s="243" t="s">
        <v>224</v>
      </c>
      <c r="AB1" s="243" t="s">
        <v>225</v>
      </c>
      <c r="AC1" s="243" t="s">
        <v>142</v>
      </c>
      <c r="AD1" s="243" t="s">
        <v>143</v>
      </c>
      <c r="AE1" s="243" t="s">
        <v>144</v>
      </c>
      <c r="AF1" s="243" t="s">
        <v>145</v>
      </c>
      <c r="AG1" s="243" t="s">
        <v>146</v>
      </c>
      <c r="AH1" s="243" t="s">
        <v>147</v>
      </c>
      <c r="AI1" s="243" t="s">
        <v>148</v>
      </c>
      <c r="AJ1" s="243" t="s">
        <v>149</v>
      </c>
      <c r="AK1" s="243" t="s">
        <v>150</v>
      </c>
      <c r="AL1" s="243" t="s">
        <v>151</v>
      </c>
      <c r="AM1" s="243" t="s">
        <v>152</v>
      </c>
      <c r="AN1" s="243" t="s">
        <v>182</v>
      </c>
      <c r="AO1" s="243" t="s">
        <v>183</v>
      </c>
      <c r="AP1" s="243" t="s">
        <v>184</v>
      </c>
      <c r="AQ1" s="243" t="s">
        <v>185</v>
      </c>
      <c r="AR1" s="243" t="s">
        <v>186</v>
      </c>
      <c r="AS1" s="243" t="s">
        <v>187</v>
      </c>
      <c r="AT1" s="243" t="s">
        <v>188</v>
      </c>
      <c r="AU1" s="243" t="s">
        <v>189</v>
      </c>
      <c r="AV1" s="243" t="s">
        <v>190</v>
      </c>
      <c r="AW1" s="243" t="s">
        <v>191</v>
      </c>
      <c r="AX1" s="243" t="s">
        <v>196</v>
      </c>
      <c r="AY1" s="243" t="s">
        <v>197</v>
      </c>
      <c r="AZ1" s="243"/>
    </row>
    <row r="2" spans="1:52">
      <c r="D2" s="244">
        <v>44227</v>
      </c>
      <c r="E2" s="244">
        <f t="shared" ref="E2" si="0">EOMONTH(D2,1)</f>
        <v>44255</v>
      </c>
      <c r="F2" s="244">
        <f t="shared" ref="F2" si="1">EOMONTH(E2,1)</f>
        <v>44286</v>
      </c>
      <c r="G2" s="244">
        <f t="shared" ref="G2" si="2">EOMONTH(F2,1)</f>
        <v>44316</v>
      </c>
      <c r="H2" s="244">
        <f t="shared" ref="H2" si="3">EOMONTH(G2,1)</f>
        <v>44347</v>
      </c>
      <c r="I2" s="244">
        <f t="shared" ref="I2" si="4">EOMONTH(H2,1)</f>
        <v>44377</v>
      </c>
      <c r="J2" s="244">
        <f t="shared" ref="J2" si="5">EOMONTH(I2,1)</f>
        <v>44408</v>
      </c>
      <c r="K2" s="244">
        <f t="shared" ref="K2" si="6">EOMONTH(J2,1)</f>
        <v>44439</v>
      </c>
      <c r="L2" s="244">
        <f t="shared" ref="L2" si="7">EOMONTH(K2,1)</f>
        <v>44469</v>
      </c>
      <c r="M2" s="244">
        <f t="shared" ref="M2" si="8">EOMONTH(L2,1)</f>
        <v>44500</v>
      </c>
      <c r="N2" s="244">
        <f t="shared" ref="N2:O2" si="9">EOMONTH(M2,1)</f>
        <v>44530</v>
      </c>
      <c r="O2" s="244">
        <f t="shared" si="9"/>
        <v>44561</v>
      </c>
      <c r="P2" s="244">
        <f t="shared" ref="P2" si="10">EOMONTH(O2,1)</f>
        <v>44592</v>
      </c>
      <c r="Q2" s="244">
        <f t="shared" ref="Q2" si="11">EOMONTH(P2,1)</f>
        <v>44620</v>
      </c>
      <c r="R2" s="244">
        <f t="shared" ref="R2" si="12">EOMONTH(Q2,1)</f>
        <v>44651</v>
      </c>
      <c r="S2" s="244">
        <f t="shared" ref="S2" si="13">EOMONTH(R2,1)</f>
        <v>44681</v>
      </c>
      <c r="T2" s="244">
        <f t="shared" ref="T2" si="14">EOMONTH(S2,1)</f>
        <v>44712</v>
      </c>
      <c r="U2" s="244">
        <f t="shared" ref="U2" si="15">EOMONTH(T2,1)</f>
        <v>44742</v>
      </c>
      <c r="V2" s="244">
        <f t="shared" ref="V2" si="16">EOMONTH(U2,1)</f>
        <v>44773</v>
      </c>
      <c r="W2" s="244">
        <f t="shared" ref="W2" si="17">EOMONTH(V2,1)</f>
        <v>44804</v>
      </c>
      <c r="X2" s="244">
        <f t="shared" ref="X2" si="18">EOMONTH(W2,1)</f>
        <v>44834</v>
      </c>
      <c r="Y2" s="244">
        <f t="shared" ref="Y2:AA2" si="19">EOMONTH(X2,1)</f>
        <v>44865</v>
      </c>
      <c r="Z2" s="244">
        <f t="shared" ref="Z2" si="20">EOMONTH(Y2,1)</f>
        <v>44895</v>
      </c>
      <c r="AA2" s="244">
        <f t="shared" si="19"/>
        <v>44926</v>
      </c>
      <c r="AB2" s="244">
        <f t="shared" ref="AB2" si="21">EOMONTH(AA2,1)</f>
        <v>44957</v>
      </c>
      <c r="AC2" s="244">
        <f t="shared" ref="AC2" si="22">EOMONTH(AB2,1)</f>
        <v>44985</v>
      </c>
      <c r="AD2" s="244">
        <f t="shared" ref="AD2" si="23">EOMONTH(AC2,1)</f>
        <v>45016</v>
      </c>
      <c r="AE2" s="244">
        <f t="shared" ref="AE2" si="24">EOMONTH(AD2,1)</f>
        <v>45046</v>
      </c>
      <c r="AF2" s="244">
        <f t="shared" ref="AF2" si="25">EOMONTH(AE2,1)</f>
        <v>45077</v>
      </c>
      <c r="AG2" s="244">
        <f t="shared" ref="AG2" si="26">EOMONTH(AF2,1)</f>
        <v>45107</v>
      </c>
      <c r="AH2" s="244">
        <f t="shared" ref="AH2" si="27">EOMONTH(AG2,1)</f>
        <v>45138</v>
      </c>
      <c r="AI2" s="244">
        <f t="shared" ref="AI2" si="28">EOMONTH(AH2,1)</f>
        <v>45169</v>
      </c>
      <c r="AJ2" s="244">
        <f t="shared" ref="AJ2" si="29">EOMONTH(AI2,1)</f>
        <v>45199</v>
      </c>
      <c r="AK2" s="244">
        <f t="shared" ref="AK2" si="30">EOMONTH(AJ2,1)</f>
        <v>45230</v>
      </c>
      <c r="AL2" s="244">
        <f t="shared" ref="AL2" si="31">EOMONTH(AK2,1)</f>
        <v>45260</v>
      </c>
      <c r="AM2" s="244">
        <f t="shared" ref="AM2" si="32">EOMONTH(AL2,1)</f>
        <v>45291</v>
      </c>
      <c r="AN2" s="244">
        <f t="shared" ref="AN2" si="33">EOMONTH(AM2,1)</f>
        <v>45322</v>
      </c>
      <c r="AO2" s="244">
        <f t="shared" ref="AO2" si="34">EOMONTH(AN2,1)</f>
        <v>45351</v>
      </c>
      <c r="AP2" s="244">
        <f t="shared" ref="AP2" si="35">EOMONTH(AO2,1)</f>
        <v>45382</v>
      </c>
      <c r="AQ2" s="244">
        <f t="shared" ref="AQ2" si="36">EOMONTH(AP2,1)</f>
        <v>45412</v>
      </c>
      <c r="AR2" s="244">
        <f t="shared" ref="AR2" si="37">EOMONTH(AQ2,1)</f>
        <v>45443</v>
      </c>
      <c r="AS2" s="244">
        <f t="shared" ref="AS2" si="38">EOMONTH(AR2,1)</f>
        <v>45473</v>
      </c>
      <c r="AT2" s="244">
        <f t="shared" ref="AT2" si="39">EOMONTH(AS2,1)</f>
        <v>45504</v>
      </c>
      <c r="AU2" s="244">
        <f t="shared" ref="AU2" si="40">EOMONTH(AT2,1)</f>
        <v>45535</v>
      </c>
      <c r="AV2" s="244">
        <f t="shared" ref="AV2" si="41">EOMONTH(AU2,1)</f>
        <v>45565</v>
      </c>
      <c r="AW2" s="244">
        <f t="shared" ref="AW2" si="42">EOMONTH(AV2,1)</f>
        <v>45596</v>
      </c>
      <c r="AX2" s="244">
        <f t="shared" ref="AX2" si="43">EOMONTH(AW2,1)</f>
        <v>45626</v>
      </c>
      <c r="AY2" s="244">
        <f>EOMONTH(AX2,1)</f>
        <v>45657</v>
      </c>
    </row>
    <row r="3" spans="1:52">
      <c r="A3" s="245"/>
      <c r="B3" s="230" t="s">
        <v>221</v>
      </c>
      <c r="C3" s="230" t="s">
        <v>31</v>
      </c>
      <c r="N3" s="246"/>
    </row>
    <row r="4" spans="1:52">
      <c r="A4" s="240">
        <v>1</v>
      </c>
      <c r="B4" s="247">
        <v>81591</v>
      </c>
      <c r="C4" s="232" t="s">
        <v>213</v>
      </c>
      <c r="D4" s="232"/>
      <c r="E4" s="232"/>
      <c r="F4" s="232"/>
      <c r="G4" s="232"/>
      <c r="H4" s="232"/>
      <c r="I4" s="232"/>
      <c r="J4" s="232"/>
      <c r="K4" s="232"/>
      <c r="L4" s="232"/>
      <c r="M4" s="246"/>
      <c r="N4" s="232">
        <f>-'Calc- Mains'!M9</f>
        <v>2646349.6000000099</v>
      </c>
    </row>
    <row r="5" spans="1:52">
      <c r="A5" s="240">
        <v>2</v>
      </c>
      <c r="B5" s="247">
        <v>85070</v>
      </c>
      <c r="C5" s="232" t="s">
        <v>214</v>
      </c>
      <c r="D5" s="232"/>
      <c r="E5" s="232"/>
      <c r="F5" s="232"/>
      <c r="G5" s="232"/>
      <c r="H5" s="232"/>
      <c r="I5" s="232"/>
      <c r="J5" s="232"/>
      <c r="K5" s="232"/>
      <c r="L5" s="232"/>
      <c r="M5" s="246"/>
      <c r="N5" s="232">
        <f>-'Calc- Mains'!M10</f>
        <v>11480889.199999999</v>
      </c>
    </row>
    <row r="6" spans="1:52">
      <c r="A6" s="240">
        <v>3</v>
      </c>
      <c r="B6" s="247">
        <v>85086</v>
      </c>
      <c r="C6" s="232" t="s">
        <v>215</v>
      </c>
      <c r="D6" s="232"/>
      <c r="E6" s="232"/>
      <c r="F6" s="232"/>
      <c r="G6" s="232"/>
      <c r="H6" s="232"/>
      <c r="I6" s="232"/>
      <c r="J6" s="232"/>
      <c r="K6" s="232"/>
      <c r="L6" s="232"/>
      <c r="M6" s="246"/>
      <c r="N6" s="232">
        <f>-'Calc- Mains'!M11</f>
        <v>5977614.0800000001</v>
      </c>
    </row>
    <row r="7" spans="1:52">
      <c r="A7" s="240">
        <v>4</v>
      </c>
      <c r="B7" s="247">
        <v>85768</v>
      </c>
      <c r="C7" s="232" t="s">
        <v>217</v>
      </c>
      <c r="D7" s="232"/>
      <c r="E7" s="232"/>
      <c r="F7" s="232"/>
      <c r="G7" s="232"/>
      <c r="H7" s="232"/>
      <c r="I7" s="232"/>
      <c r="J7" s="232"/>
      <c r="K7" s="232"/>
      <c r="L7" s="232"/>
      <c r="M7" s="246"/>
      <c r="N7" s="232">
        <f>-'Calc- Mains'!M12</f>
        <v>777279.96999999904</v>
      </c>
    </row>
    <row r="8" spans="1:52">
      <c r="A8" s="240">
        <v>5</v>
      </c>
      <c r="B8" s="247">
        <v>85150</v>
      </c>
      <c r="C8" s="230" t="s">
        <v>216</v>
      </c>
      <c r="N8" s="232">
        <f>-'Calc- Mains'!M13</f>
        <v>4677.54</v>
      </c>
    </row>
    <row r="9" spans="1:52">
      <c r="A9" s="240"/>
      <c r="B9" s="240"/>
      <c r="N9" s="232"/>
    </row>
    <row r="10" spans="1:52" ht="13.5" thickBot="1">
      <c r="A10" s="240">
        <v>6</v>
      </c>
      <c r="B10" s="240"/>
      <c r="C10" s="230" t="s">
        <v>32</v>
      </c>
      <c r="D10" s="248">
        <f t="shared" ref="D10:AY10" si="44">SUM(D4:D8)</f>
        <v>0</v>
      </c>
      <c r="E10" s="248">
        <f t="shared" si="44"/>
        <v>0</v>
      </c>
      <c r="F10" s="248">
        <f t="shared" si="44"/>
        <v>0</v>
      </c>
      <c r="G10" s="248">
        <f t="shared" si="44"/>
        <v>0</v>
      </c>
      <c r="H10" s="248">
        <f t="shared" si="44"/>
        <v>0</v>
      </c>
      <c r="I10" s="248">
        <f t="shared" si="44"/>
        <v>0</v>
      </c>
      <c r="J10" s="248">
        <f t="shared" si="44"/>
        <v>0</v>
      </c>
      <c r="K10" s="248">
        <f t="shared" si="44"/>
        <v>0</v>
      </c>
      <c r="L10" s="248">
        <f t="shared" si="44"/>
        <v>0</v>
      </c>
      <c r="M10" s="248">
        <f t="shared" si="44"/>
        <v>0</v>
      </c>
      <c r="N10" s="248">
        <f t="shared" si="44"/>
        <v>20886810.390000008</v>
      </c>
      <c r="O10" s="248">
        <f t="shared" si="44"/>
        <v>0</v>
      </c>
      <c r="P10" s="248">
        <f t="shared" si="44"/>
        <v>0</v>
      </c>
      <c r="Q10" s="248">
        <f t="shared" si="44"/>
        <v>0</v>
      </c>
      <c r="R10" s="248">
        <f t="shared" si="44"/>
        <v>0</v>
      </c>
      <c r="S10" s="248">
        <f t="shared" si="44"/>
        <v>0</v>
      </c>
      <c r="T10" s="248">
        <f t="shared" si="44"/>
        <v>0</v>
      </c>
      <c r="U10" s="248">
        <f t="shared" si="44"/>
        <v>0</v>
      </c>
      <c r="V10" s="248">
        <f t="shared" si="44"/>
        <v>0</v>
      </c>
      <c r="W10" s="248">
        <f t="shared" si="44"/>
        <v>0</v>
      </c>
      <c r="X10" s="248">
        <f t="shared" si="44"/>
        <v>0</v>
      </c>
      <c r="Y10" s="248">
        <f t="shared" si="44"/>
        <v>0</v>
      </c>
      <c r="Z10" s="248">
        <f t="shared" si="44"/>
        <v>0</v>
      </c>
      <c r="AA10" s="248">
        <f t="shared" si="44"/>
        <v>0</v>
      </c>
      <c r="AB10" s="248">
        <f t="shared" si="44"/>
        <v>0</v>
      </c>
      <c r="AC10" s="248">
        <f t="shared" si="44"/>
        <v>0</v>
      </c>
      <c r="AD10" s="248">
        <f t="shared" si="44"/>
        <v>0</v>
      </c>
      <c r="AE10" s="248">
        <f t="shared" si="44"/>
        <v>0</v>
      </c>
      <c r="AF10" s="248">
        <f t="shared" si="44"/>
        <v>0</v>
      </c>
      <c r="AG10" s="248">
        <f t="shared" si="44"/>
        <v>0</v>
      </c>
      <c r="AH10" s="248">
        <f t="shared" si="44"/>
        <v>0</v>
      </c>
      <c r="AI10" s="248">
        <f t="shared" si="44"/>
        <v>0</v>
      </c>
      <c r="AJ10" s="248">
        <f t="shared" si="44"/>
        <v>0</v>
      </c>
      <c r="AK10" s="248">
        <f t="shared" si="44"/>
        <v>0</v>
      </c>
      <c r="AL10" s="248">
        <f t="shared" si="44"/>
        <v>0</v>
      </c>
      <c r="AM10" s="248">
        <f t="shared" si="44"/>
        <v>0</v>
      </c>
      <c r="AN10" s="248">
        <f t="shared" si="44"/>
        <v>0</v>
      </c>
      <c r="AO10" s="248">
        <f t="shared" si="44"/>
        <v>0</v>
      </c>
      <c r="AP10" s="248">
        <f t="shared" si="44"/>
        <v>0</v>
      </c>
      <c r="AQ10" s="248">
        <f t="shared" si="44"/>
        <v>0</v>
      </c>
      <c r="AR10" s="248">
        <f t="shared" si="44"/>
        <v>0</v>
      </c>
      <c r="AS10" s="248">
        <f t="shared" si="44"/>
        <v>0</v>
      </c>
      <c r="AT10" s="248">
        <f t="shared" si="44"/>
        <v>0</v>
      </c>
      <c r="AU10" s="248">
        <f t="shared" si="44"/>
        <v>0</v>
      </c>
      <c r="AV10" s="248">
        <f t="shared" si="44"/>
        <v>0</v>
      </c>
      <c r="AW10" s="248">
        <f t="shared" si="44"/>
        <v>0</v>
      </c>
      <c r="AX10" s="248">
        <f t="shared" si="44"/>
        <v>0</v>
      </c>
      <c r="AY10" s="248">
        <f t="shared" si="44"/>
        <v>0</v>
      </c>
    </row>
    <row r="11" spans="1:52" s="249" customFormat="1" ht="13.5" thickTop="1">
      <c r="A11" s="240"/>
      <c r="B11" s="240"/>
      <c r="K11" s="232"/>
      <c r="M11" s="232"/>
      <c r="P11" s="232"/>
    </row>
    <row r="12" spans="1:52">
      <c r="A12" s="240">
        <v>7</v>
      </c>
      <c r="B12" s="240"/>
      <c r="C12" s="230" t="s">
        <v>33</v>
      </c>
      <c r="D12" s="239">
        <v>0</v>
      </c>
      <c r="E12" s="239">
        <f t="shared" ref="E12:AY12" si="45">D12+E10</f>
        <v>0</v>
      </c>
      <c r="F12" s="239">
        <f t="shared" si="45"/>
        <v>0</v>
      </c>
      <c r="G12" s="239">
        <f t="shared" si="45"/>
        <v>0</v>
      </c>
      <c r="H12" s="239">
        <f t="shared" si="45"/>
        <v>0</v>
      </c>
      <c r="I12" s="239">
        <f t="shared" si="45"/>
        <v>0</v>
      </c>
      <c r="J12" s="239">
        <f t="shared" si="45"/>
        <v>0</v>
      </c>
      <c r="K12" s="239">
        <f t="shared" si="45"/>
        <v>0</v>
      </c>
      <c r="L12" s="239">
        <f t="shared" si="45"/>
        <v>0</v>
      </c>
      <c r="M12" s="239">
        <f t="shared" si="45"/>
        <v>0</v>
      </c>
      <c r="N12" s="239">
        <f t="shared" si="45"/>
        <v>20886810.390000008</v>
      </c>
      <c r="O12" s="239">
        <f t="shared" si="45"/>
        <v>20886810.390000008</v>
      </c>
      <c r="P12" s="239">
        <f t="shared" si="45"/>
        <v>20886810.390000008</v>
      </c>
      <c r="Q12" s="239">
        <f t="shared" si="45"/>
        <v>20886810.390000008</v>
      </c>
      <c r="R12" s="239">
        <f t="shared" si="45"/>
        <v>20886810.390000008</v>
      </c>
      <c r="S12" s="239">
        <f t="shared" si="45"/>
        <v>20886810.390000008</v>
      </c>
      <c r="T12" s="239">
        <f t="shared" si="45"/>
        <v>20886810.390000008</v>
      </c>
      <c r="U12" s="239">
        <f t="shared" si="45"/>
        <v>20886810.390000008</v>
      </c>
      <c r="V12" s="239">
        <f t="shared" si="45"/>
        <v>20886810.390000008</v>
      </c>
      <c r="W12" s="239">
        <f t="shared" si="45"/>
        <v>20886810.390000008</v>
      </c>
      <c r="X12" s="239">
        <f t="shared" si="45"/>
        <v>20886810.390000008</v>
      </c>
      <c r="Y12" s="239">
        <f t="shared" si="45"/>
        <v>20886810.390000008</v>
      </c>
      <c r="Z12" s="239">
        <f t="shared" si="45"/>
        <v>20886810.390000008</v>
      </c>
      <c r="AA12" s="239">
        <f t="shared" si="45"/>
        <v>20886810.390000008</v>
      </c>
      <c r="AB12" s="239">
        <f t="shared" si="45"/>
        <v>20886810.390000008</v>
      </c>
      <c r="AC12" s="239">
        <f t="shared" si="45"/>
        <v>20886810.390000008</v>
      </c>
      <c r="AD12" s="239">
        <f t="shared" si="45"/>
        <v>20886810.390000008</v>
      </c>
      <c r="AE12" s="239">
        <f t="shared" si="45"/>
        <v>20886810.390000008</v>
      </c>
      <c r="AF12" s="239">
        <f t="shared" si="45"/>
        <v>20886810.390000008</v>
      </c>
      <c r="AG12" s="239">
        <f t="shared" si="45"/>
        <v>20886810.390000008</v>
      </c>
      <c r="AH12" s="239">
        <f t="shared" si="45"/>
        <v>20886810.390000008</v>
      </c>
      <c r="AI12" s="239">
        <f t="shared" si="45"/>
        <v>20886810.390000008</v>
      </c>
      <c r="AJ12" s="239">
        <f t="shared" si="45"/>
        <v>20886810.390000008</v>
      </c>
      <c r="AK12" s="239">
        <f t="shared" si="45"/>
        <v>20886810.390000008</v>
      </c>
      <c r="AL12" s="239">
        <f t="shared" si="45"/>
        <v>20886810.390000008</v>
      </c>
      <c r="AM12" s="239">
        <f t="shared" si="45"/>
        <v>20886810.390000008</v>
      </c>
      <c r="AN12" s="239">
        <f t="shared" si="45"/>
        <v>20886810.390000008</v>
      </c>
      <c r="AO12" s="239">
        <f t="shared" si="45"/>
        <v>20886810.390000008</v>
      </c>
      <c r="AP12" s="239">
        <f t="shared" si="45"/>
        <v>20886810.390000008</v>
      </c>
      <c r="AQ12" s="239">
        <f t="shared" si="45"/>
        <v>20886810.390000008</v>
      </c>
      <c r="AR12" s="239">
        <f t="shared" si="45"/>
        <v>20886810.390000008</v>
      </c>
      <c r="AS12" s="239">
        <f t="shared" si="45"/>
        <v>20886810.390000008</v>
      </c>
      <c r="AT12" s="239">
        <f t="shared" si="45"/>
        <v>20886810.390000008</v>
      </c>
      <c r="AU12" s="239">
        <f t="shared" si="45"/>
        <v>20886810.390000008</v>
      </c>
      <c r="AV12" s="239">
        <f t="shared" si="45"/>
        <v>20886810.390000008</v>
      </c>
      <c r="AW12" s="239">
        <f t="shared" si="45"/>
        <v>20886810.390000008</v>
      </c>
      <c r="AX12" s="239">
        <f t="shared" si="45"/>
        <v>20886810.390000008</v>
      </c>
      <c r="AY12" s="239">
        <f t="shared" si="45"/>
        <v>20886810.390000008</v>
      </c>
    </row>
    <row r="13" spans="1:52">
      <c r="A13" s="240">
        <v>8</v>
      </c>
      <c r="B13" s="240"/>
      <c r="C13" s="230" t="s">
        <v>228</v>
      </c>
      <c r="D13" s="239">
        <v>0</v>
      </c>
      <c r="E13" s="239">
        <f t="shared" ref="E13:M13" si="46">D13+E10</f>
        <v>0</v>
      </c>
      <c r="F13" s="239">
        <f t="shared" si="46"/>
        <v>0</v>
      </c>
      <c r="G13" s="239">
        <f t="shared" si="46"/>
        <v>0</v>
      </c>
      <c r="H13" s="239">
        <f t="shared" si="46"/>
        <v>0</v>
      </c>
      <c r="I13" s="239">
        <f t="shared" si="46"/>
        <v>0</v>
      </c>
      <c r="J13" s="239">
        <f t="shared" si="46"/>
        <v>0</v>
      </c>
      <c r="K13" s="239">
        <f t="shared" si="46"/>
        <v>0</v>
      </c>
      <c r="L13" s="239">
        <f t="shared" si="46"/>
        <v>0</v>
      </c>
      <c r="M13" s="239">
        <f t="shared" si="46"/>
        <v>0</v>
      </c>
      <c r="N13" s="239">
        <f>M13+N10-N8</f>
        <v>20882132.850000009</v>
      </c>
      <c r="O13" s="239">
        <f t="shared" ref="O13:AY13" si="47">N13+O10</f>
        <v>20882132.850000009</v>
      </c>
      <c r="P13" s="239">
        <f t="shared" si="47"/>
        <v>20882132.850000009</v>
      </c>
      <c r="Q13" s="239">
        <f t="shared" si="47"/>
        <v>20882132.850000009</v>
      </c>
      <c r="R13" s="239">
        <f t="shared" si="47"/>
        <v>20882132.850000009</v>
      </c>
      <c r="S13" s="239">
        <f t="shared" si="47"/>
        <v>20882132.850000009</v>
      </c>
      <c r="T13" s="239">
        <f t="shared" si="47"/>
        <v>20882132.850000009</v>
      </c>
      <c r="U13" s="239">
        <f t="shared" si="47"/>
        <v>20882132.850000009</v>
      </c>
      <c r="V13" s="239">
        <f t="shared" si="47"/>
        <v>20882132.850000009</v>
      </c>
      <c r="W13" s="239">
        <f t="shared" si="47"/>
        <v>20882132.850000009</v>
      </c>
      <c r="X13" s="239">
        <f t="shared" si="47"/>
        <v>20882132.850000009</v>
      </c>
      <c r="Y13" s="239">
        <f t="shared" si="47"/>
        <v>20882132.850000009</v>
      </c>
      <c r="Z13" s="239">
        <f t="shared" si="47"/>
        <v>20882132.850000009</v>
      </c>
      <c r="AA13" s="239">
        <f t="shared" si="47"/>
        <v>20882132.850000009</v>
      </c>
      <c r="AB13" s="239">
        <f t="shared" si="47"/>
        <v>20882132.850000009</v>
      </c>
      <c r="AC13" s="239">
        <f t="shared" si="47"/>
        <v>20882132.850000009</v>
      </c>
      <c r="AD13" s="239">
        <f t="shared" si="47"/>
        <v>20882132.850000009</v>
      </c>
      <c r="AE13" s="239">
        <f t="shared" si="47"/>
        <v>20882132.850000009</v>
      </c>
      <c r="AF13" s="239">
        <f t="shared" si="47"/>
        <v>20882132.850000009</v>
      </c>
      <c r="AG13" s="239">
        <f t="shared" si="47"/>
        <v>20882132.850000009</v>
      </c>
      <c r="AH13" s="239">
        <f t="shared" si="47"/>
        <v>20882132.850000009</v>
      </c>
      <c r="AI13" s="239">
        <f t="shared" si="47"/>
        <v>20882132.850000009</v>
      </c>
      <c r="AJ13" s="239">
        <f t="shared" si="47"/>
        <v>20882132.850000009</v>
      </c>
      <c r="AK13" s="239">
        <f t="shared" si="47"/>
        <v>20882132.850000009</v>
      </c>
      <c r="AL13" s="239">
        <f t="shared" si="47"/>
        <v>20882132.850000009</v>
      </c>
      <c r="AM13" s="239">
        <f t="shared" si="47"/>
        <v>20882132.850000009</v>
      </c>
      <c r="AN13" s="239">
        <f t="shared" si="47"/>
        <v>20882132.850000009</v>
      </c>
      <c r="AO13" s="239">
        <f t="shared" si="47"/>
        <v>20882132.850000009</v>
      </c>
      <c r="AP13" s="239">
        <f t="shared" si="47"/>
        <v>20882132.850000009</v>
      </c>
      <c r="AQ13" s="239">
        <f t="shared" si="47"/>
        <v>20882132.850000009</v>
      </c>
      <c r="AR13" s="239">
        <f t="shared" si="47"/>
        <v>20882132.850000009</v>
      </c>
      <c r="AS13" s="239">
        <f t="shared" si="47"/>
        <v>20882132.850000009</v>
      </c>
      <c r="AT13" s="239">
        <f t="shared" si="47"/>
        <v>20882132.850000009</v>
      </c>
      <c r="AU13" s="239">
        <f t="shared" si="47"/>
        <v>20882132.850000009</v>
      </c>
      <c r="AV13" s="239">
        <f t="shared" si="47"/>
        <v>20882132.850000009</v>
      </c>
      <c r="AW13" s="239">
        <f t="shared" si="47"/>
        <v>20882132.850000009</v>
      </c>
      <c r="AX13" s="239">
        <f t="shared" si="47"/>
        <v>20882132.850000009</v>
      </c>
      <c r="AY13" s="239">
        <f t="shared" si="47"/>
        <v>20882132.850000009</v>
      </c>
    </row>
    <row r="14" spans="1:52">
      <c r="A14" s="240">
        <v>9</v>
      </c>
      <c r="B14" s="240"/>
      <c r="C14" s="230" t="s">
        <v>34</v>
      </c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>
        <f t="shared" ref="N14:Q14" si="48">0.0193/12</f>
        <v>1.6083333333333334E-3</v>
      </c>
      <c r="O14" s="250">
        <f t="shared" si="48"/>
        <v>1.6083333333333334E-3</v>
      </c>
      <c r="P14" s="250">
        <f t="shared" si="48"/>
        <v>1.6083333333333334E-3</v>
      </c>
      <c r="Q14" s="250">
        <f t="shared" si="48"/>
        <v>1.6083333333333334E-3</v>
      </c>
      <c r="R14" s="250">
        <f>0.0193/12</f>
        <v>1.6083333333333334E-3</v>
      </c>
      <c r="S14" s="250">
        <f t="shared" ref="S14:AY14" si="49">0.0193/12</f>
        <v>1.6083333333333334E-3</v>
      </c>
      <c r="T14" s="250">
        <f t="shared" si="49"/>
        <v>1.6083333333333334E-3</v>
      </c>
      <c r="U14" s="250">
        <f t="shared" si="49"/>
        <v>1.6083333333333334E-3</v>
      </c>
      <c r="V14" s="250">
        <f t="shared" si="49"/>
        <v>1.6083333333333334E-3</v>
      </c>
      <c r="W14" s="250">
        <f t="shared" si="49"/>
        <v>1.6083333333333334E-3</v>
      </c>
      <c r="X14" s="250">
        <f t="shared" si="49"/>
        <v>1.6083333333333334E-3</v>
      </c>
      <c r="Y14" s="250">
        <f t="shared" si="49"/>
        <v>1.6083333333333334E-3</v>
      </c>
      <c r="Z14" s="250">
        <f t="shared" si="49"/>
        <v>1.6083333333333334E-3</v>
      </c>
      <c r="AA14" s="250">
        <f t="shared" si="49"/>
        <v>1.6083333333333334E-3</v>
      </c>
      <c r="AB14" s="250">
        <f t="shared" si="49"/>
        <v>1.6083333333333334E-3</v>
      </c>
      <c r="AC14" s="250">
        <f t="shared" si="49"/>
        <v>1.6083333333333334E-3</v>
      </c>
      <c r="AD14" s="250">
        <f t="shared" si="49"/>
        <v>1.6083333333333334E-3</v>
      </c>
      <c r="AE14" s="250">
        <f t="shared" si="49"/>
        <v>1.6083333333333334E-3</v>
      </c>
      <c r="AF14" s="250">
        <f t="shared" si="49"/>
        <v>1.6083333333333334E-3</v>
      </c>
      <c r="AG14" s="250">
        <f t="shared" si="49"/>
        <v>1.6083333333333334E-3</v>
      </c>
      <c r="AH14" s="250">
        <f t="shared" si="49"/>
        <v>1.6083333333333334E-3</v>
      </c>
      <c r="AI14" s="250">
        <f t="shared" si="49"/>
        <v>1.6083333333333334E-3</v>
      </c>
      <c r="AJ14" s="250">
        <f t="shared" si="49"/>
        <v>1.6083333333333334E-3</v>
      </c>
      <c r="AK14" s="250">
        <f t="shared" si="49"/>
        <v>1.6083333333333334E-3</v>
      </c>
      <c r="AL14" s="250">
        <f t="shared" si="49"/>
        <v>1.6083333333333334E-3</v>
      </c>
      <c r="AM14" s="250">
        <f t="shared" si="49"/>
        <v>1.6083333333333334E-3</v>
      </c>
      <c r="AN14" s="250">
        <f t="shared" si="49"/>
        <v>1.6083333333333334E-3</v>
      </c>
      <c r="AO14" s="250">
        <f t="shared" si="49"/>
        <v>1.6083333333333334E-3</v>
      </c>
      <c r="AP14" s="250">
        <f t="shared" si="49"/>
        <v>1.6083333333333334E-3</v>
      </c>
      <c r="AQ14" s="250">
        <f t="shared" si="49"/>
        <v>1.6083333333333334E-3</v>
      </c>
      <c r="AR14" s="250">
        <f t="shared" si="49"/>
        <v>1.6083333333333334E-3</v>
      </c>
      <c r="AS14" s="250">
        <f t="shared" si="49"/>
        <v>1.6083333333333334E-3</v>
      </c>
      <c r="AT14" s="250">
        <f t="shared" si="49"/>
        <v>1.6083333333333334E-3</v>
      </c>
      <c r="AU14" s="250">
        <f t="shared" si="49"/>
        <v>1.6083333333333334E-3</v>
      </c>
      <c r="AV14" s="250">
        <f t="shared" si="49"/>
        <v>1.6083333333333334E-3</v>
      </c>
      <c r="AW14" s="250">
        <f t="shared" si="49"/>
        <v>1.6083333333333334E-3</v>
      </c>
      <c r="AX14" s="250">
        <f t="shared" si="49"/>
        <v>1.6083333333333334E-3</v>
      </c>
      <c r="AY14" s="250">
        <f t="shared" si="49"/>
        <v>1.6083333333333334E-3</v>
      </c>
    </row>
    <row r="15" spans="1:52">
      <c r="A15" s="240">
        <v>10</v>
      </c>
      <c r="B15" s="240"/>
      <c r="C15" s="230" t="s">
        <v>229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>
        <f>N13*N14</f>
        <v>33585.430333750017</v>
      </c>
      <c r="O15" s="251">
        <f t="shared" ref="O15:AY15" si="50">O13*O14</f>
        <v>33585.430333750017</v>
      </c>
      <c r="P15" s="251">
        <f t="shared" si="50"/>
        <v>33585.430333750017</v>
      </c>
      <c r="Q15" s="251">
        <f t="shared" si="50"/>
        <v>33585.430333750017</v>
      </c>
      <c r="R15" s="251">
        <f t="shared" si="50"/>
        <v>33585.430333750017</v>
      </c>
      <c r="S15" s="251">
        <f t="shared" si="50"/>
        <v>33585.430333750017</v>
      </c>
      <c r="T15" s="251">
        <f t="shared" si="50"/>
        <v>33585.430333750017</v>
      </c>
      <c r="U15" s="251">
        <f t="shared" si="50"/>
        <v>33585.430333750017</v>
      </c>
      <c r="V15" s="251">
        <f t="shared" si="50"/>
        <v>33585.430333750017</v>
      </c>
      <c r="W15" s="251">
        <f t="shared" si="50"/>
        <v>33585.430333750017</v>
      </c>
      <c r="X15" s="251">
        <f t="shared" si="50"/>
        <v>33585.430333750017</v>
      </c>
      <c r="Y15" s="251">
        <f t="shared" si="50"/>
        <v>33585.430333750017</v>
      </c>
      <c r="Z15" s="251">
        <f t="shared" si="50"/>
        <v>33585.430333750017</v>
      </c>
      <c r="AA15" s="251">
        <f t="shared" si="50"/>
        <v>33585.430333750017</v>
      </c>
      <c r="AB15" s="251">
        <f t="shared" si="50"/>
        <v>33585.430333750017</v>
      </c>
      <c r="AC15" s="251">
        <f t="shared" si="50"/>
        <v>33585.430333750017</v>
      </c>
      <c r="AD15" s="251">
        <f t="shared" si="50"/>
        <v>33585.430333750017</v>
      </c>
      <c r="AE15" s="251">
        <f t="shared" si="50"/>
        <v>33585.430333750017</v>
      </c>
      <c r="AF15" s="251">
        <f t="shared" si="50"/>
        <v>33585.430333750017</v>
      </c>
      <c r="AG15" s="251">
        <f t="shared" si="50"/>
        <v>33585.430333750017</v>
      </c>
      <c r="AH15" s="251">
        <f t="shared" si="50"/>
        <v>33585.430333750017</v>
      </c>
      <c r="AI15" s="251">
        <f t="shared" si="50"/>
        <v>33585.430333750017</v>
      </c>
      <c r="AJ15" s="251">
        <f t="shared" si="50"/>
        <v>33585.430333750017</v>
      </c>
      <c r="AK15" s="251">
        <f t="shared" si="50"/>
        <v>33585.430333750017</v>
      </c>
      <c r="AL15" s="251">
        <f t="shared" si="50"/>
        <v>33585.430333750017</v>
      </c>
      <c r="AM15" s="251">
        <f t="shared" si="50"/>
        <v>33585.430333750017</v>
      </c>
      <c r="AN15" s="251">
        <f t="shared" si="50"/>
        <v>33585.430333750017</v>
      </c>
      <c r="AO15" s="251">
        <f t="shared" si="50"/>
        <v>33585.430333750017</v>
      </c>
      <c r="AP15" s="251">
        <f t="shared" si="50"/>
        <v>33585.430333750017</v>
      </c>
      <c r="AQ15" s="251">
        <f t="shared" si="50"/>
        <v>33585.430333750017</v>
      </c>
      <c r="AR15" s="251">
        <f t="shared" si="50"/>
        <v>33585.430333750017</v>
      </c>
      <c r="AS15" s="251">
        <f t="shared" si="50"/>
        <v>33585.430333750017</v>
      </c>
      <c r="AT15" s="251">
        <f t="shared" si="50"/>
        <v>33585.430333750017</v>
      </c>
      <c r="AU15" s="251">
        <f t="shared" si="50"/>
        <v>33585.430333750017</v>
      </c>
      <c r="AV15" s="251">
        <f t="shared" si="50"/>
        <v>33585.430333750017</v>
      </c>
      <c r="AW15" s="251">
        <f t="shared" si="50"/>
        <v>33585.430333750017</v>
      </c>
      <c r="AX15" s="251">
        <f t="shared" si="50"/>
        <v>33585.430333750017</v>
      </c>
      <c r="AY15" s="251">
        <f t="shared" si="50"/>
        <v>33585.430333750017</v>
      </c>
    </row>
    <row r="16" spans="1:52">
      <c r="A16" s="240">
        <v>11</v>
      </c>
      <c r="B16" s="240"/>
      <c r="C16" s="230" t="s">
        <v>140</v>
      </c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>
        <f>'Calc- Mains'!M31</f>
        <v>65430.682930000032</v>
      </c>
      <c r="O16" s="239">
        <f>'Calc- Mains'!N31</f>
        <v>65430.682930000032</v>
      </c>
      <c r="P16" s="239">
        <f>'Calc- Mains'!O31</f>
        <v>125640.83264750005</v>
      </c>
      <c r="Q16" s="239">
        <f>'Calc- Mains'!P31</f>
        <v>125640.83264750005</v>
      </c>
      <c r="R16" s="239">
        <f>'Calc- Mains'!Q31</f>
        <v>125640.83264750005</v>
      </c>
      <c r="S16" s="239">
        <f>'Calc- Mains'!R31</f>
        <v>125640.83264750005</v>
      </c>
      <c r="T16" s="239">
        <f>'Calc- Mains'!S31</f>
        <v>125640.83264750005</v>
      </c>
      <c r="U16" s="239">
        <f>'Calc- Mains'!T31</f>
        <v>125640.83264750005</v>
      </c>
      <c r="V16" s="239">
        <f>'Calc- Mains'!U31</f>
        <v>125640.83264750005</v>
      </c>
      <c r="W16" s="239">
        <f>'Calc- Mains'!V31</f>
        <v>125640.83264750005</v>
      </c>
      <c r="X16" s="239">
        <f>'Calc- Mains'!W31</f>
        <v>125640.83264750005</v>
      </c>
      <c r="Y16" s="239">
        <f>'Calc- Mains'!X31</f>
        <v>125640.83264750005</v>
      </c>
      <c r="Z16" s="239">
        <f>'Calc- Mains'!Y31</f>
        <v>125640.83264750005</v>
      </c>
      <c r="AA16" s="239">
        <f>'Calc- Mains'!Z31</f>
        <v>125640.83264750005</v>
      </c>
      <c r="AB16" s="239">
        <f>'Calc- Mains'!AA31</f>
        <v>116243.87286500004</v>
      </c>
      <c r="AC16" s="239">
        <f>'Calc- Mains'!AB31</f>
        <v>116243.87286500004</v>
      </c>
      <c r="AD16" s="239">
        <f>'Calc- Mains'!AC31</f>
        <v>116243.87286500004</v>
      </c>
      <c r="AE16" s="239">
        <f>'Calc- Mains'!AD31</f>
        <v>116243.87286500004</v>
      </c>
      <c r="AF16" s="239">
        <f>'Calc- Mains'!AE31</f>
        <v>116243.87286500004</v>
      </c>
      <c r="AG16" s="239">
        <f>'Calc- Mains'!AF31</f>
        <v>116243.87286500004</v>
      </c>
      <c r="AH16" s="239">
        <f>'Calc- Mains'!AG31</f>
        <v>116243.87286500004</v>
      </c>
      <c r="AI16" s="239">
        <f>'Calc- Mains'!AH31</f>
        <v>116243.87286500004</v>
      </c>
      <c r="AJ16" s="239">
        <f>'Calc- Mains'!AI31</f>
        <v>116243.87286500004</v>
      </c>
      <c r="AK16" s="239">
        <f>'Calc- Mains'!AJ31</f>
        <v>116243.87286500004</v>
      </c>
      <c r="AL16" s="239">
        <f>'Calc- Mains'!AK31</f>
        <v>116243.87286500004</v>
      </c>
      <c r="AM16" s="239">
        <f>'Calc- Mains'!AL31</f>
        <v>116243.87286500004</v>
      </c>
      <c r="AN16" s="239">
        <f>'Calc- Mains'!AM31</f>
        <v>107542.98417750005</v>
      </c>
      <c r="AO16" s="239">
        <f>'Calc- Mains'!AN31</f>
        <v>107542.98417750005</v>
      </c>
      <c r="AP16" s="239">
        <f>'Calc- Mains'!AO31</f>
        <v>107542.98417750005</v>
      </c>
      <c r="AQ16" s="239">
        <f>'Calc- Mains'!AP31</f>
        <v>107542.98417750005</v>
      </c>
      <c r="AR16" s="239">
        <f>'Calc- Mains'!AQ31</f>
        <v>107542.98417750005</v>
      </c>
      <c r="AS16" s="239">
        <f>'Calc- Mains'!AR31</f>
        <v>107542.98417750005</v>
      </c>
      <c r="AT16" s="239">
        <f>'Calc- Mains'!AS31</f>
        <v>107542.98417750005</v>
      </c>
      <c r="AU16" s="239">
        <f>'Calc- Mains'!AT31</f>
        <v>107542.98417750005</v>
      </c>
      <c r="AV16" s="239">
        <f>'Calc- Mains'!AU31</f>
        <v>107542.98417750005</v>
      </c>
      <c r="AW16" s="239">
        <f>'Calc- Mains'!AV31</f>
        <v>107542.98417750005</v>
      </c>
      <c r="AX16" s="239">
        <f>'Calc- Mains'!AW31</f>
        <v>107542.98417750005</v>
      </c>
      <c r="AY16" s="239">
        <f>'Calc- Mains'!AX31</f>
        <v>107542.98417750005</v>
      </c>
    </row>
    <row r="17" spans="1:52">
      <c r="A17" s="240">
        <v>12</v>
      </c>
      <c r="B17" s="240"/>
      <c r="C17" s="230" t="s">
        <v>37</v>
      </c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>
        <f t="shared" ref="N17:Z17" si="51">N15-N16</f>
        <v>-31845.252596250015</v>
      </c>
      <c r="O17" s="239">
        <f t="shared" si="51"/>
        <v>-31845.252596250015</v>
      </c>
      <c r="P17" s="239">
        <f t="shared" si="51"/>
        <v>-92055.402313750033</v>
      </c>
      <c r="Q17" s="239">
        <f t="shared" si="51"/>
        <v>-92055.402313750033</v>
      </c>
      <c r="R17" s="239">
        <f t="shared" si="51"/>
        <v>-92055.402313750033</v>
      </c>
      <c r="S17" s="239">
        <f t="shared" si="51"/>
        <v>-92055.402313750033</v>
      </c>
      <c r="T17" s="239">
        <f t="shared" si="51"/>
        <v>-92055.402313750033</v>
      </c>
      <c r="U17" s="239">
        <f t="shared" si="51"/>
        <v>-92055.402313750033</v>
      </c>
      <c r="V17" s="239">
        <f t="shared" si="51"/>
        <v>-92055.402313750033</v>
      </c>
      <c r="W17" s="239">
        <f t="shared" si="51"/>
        <v>-92055.402313750033</v>
      </c>
      <c r="X17" s="239">
        <f t="shared" si="51"/>
        <v>-92055.402313750033</v>
      </c>
      <c r="Y17" s="239">
        <f t="shared" si="51"/>
        <v>-92055.402313750033</v>
      </c>
      <c r="Z17" s="239">
        <f t="shared" si="51"/>
        <v>-92055.402313750033</v>
      </c>
      <c r="AA17" s="239">
        <f t="shared" ref="AA17:AB17" si="52">AA15-AA16</f>
        <v>-92055.402313750033</v>
      </c>
      <c r="AB17" s="239">
        <f t="shared" si="52"/>
        <v>-82658.442531250024</v>
      </c>
      <c r="AC17" s="239">
        <f t="shared" ref="AC17:AY17" si="53">AC15-AC16</f>
        <v>-82658.442531250024</v>
      </c>
      <c r="AD17" s="239">
        <f t="shared" si="53"/>
        <v>-82658.442531250024</v>
      </c>
      <c r="AE17" s="239">
        <f t="shared" si="53"/>
        <v>-82658.442531250024</v>
      </c>
      <c r="AF17" s="239">
        <f t="shared" si="53"/>
        <v>-82658.442531250024</v>
      </c>
      <c r="AG17" s="239">
        <f t="shared" si="53"/>
        <v>-82658.442531250024</v>
      </c>
      <c r="AH17" s="239">
        <f t="shared" si="53"/>
        <v>-82658.442531250024</v>
      </c>
      <c r="AI17" s="239">
        <f t="shared" si="53"/>
        <v>-82658.442531250024</v>
      </c>
      <c r="AJ17" s="239">
        <f t="shared" si="53"/>
        <v>-82658.442531250024</v>
      </c>
      <c r="AK17" s="239">
        <f t="shared" si="53"/>
        <v>-82658.442531250024</v>
      </c>
      <c r="AL17" s="239">
        <f t="shared" si="53"/>
        <v>-82658.442531250024</v>
      </c>
      <c r="AM17" s="239">
        <f t="shared" si="53"/>
        <v>-82658.442531250024</v>
      </c>
      <c r="AN17" s="239">
        <f t="shared" si="53"/>
        <v>-73957.553843750036</v>
      </c>
      <c r="AO17" s="239">
        <f t="shared" si="53"/>
        <v>-73957.553843750036</v>
      </c>
      <c r="AP17" s="239">
        <f t="shared" si="53"/>
        <v>-73957.553843750036</v>
      </c>
      <c r="AQ17" s="239">
        <f t="shared" si="53"/>
        <v>-73957.553843750036</v>
      </c>
      <c r="AR17" s="239">
        <f t="shared" si="53"/>
        <v>-73957.553843750036</v>
      </c>
      <c r="AS17" s="239">
        <f t="shared" si="53"/>
        <v>-73957.553843750036</v>
      </c>
      <c r="AT17" s="239">
        <f t="shared" si="53"/>
        <v>-73957.553843750036</v>
      </c>
      <c r="AU17" s="239">
        <f t="shared" si="53"/>
        <v>-73957.553843750036</v>
      </c>
      <c r="AV17" s="239">
        <f t="shared" si="53"/>
        <v>-73957.553843750036</v>
      </c>
      <c r="AW17" s="239">
        <f t="shared" si="53"/>
        <v>-73957.553843750036</v>
      </c>
      <c r="AX17" s="239">
        <f t="shared" si="53"/>
        <v>-73957.553843750036</v>
      </c>
      <c r="AY17" s="239">
        <f t="shared" si="53"/>
        <v>-73957.553843750036</v>
      </c>
    </row>
    <row r="18" spans="1:52">
      <c r="A18" s="240">
        <v>13</v>
      </c>
      <c r="B18" s="240"/>
      <c r="C18" s="230" t="s">
        <v>141</v>
      </c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>
        <f>-'Calc- Mains'!M35</f>
        <v>-7872.1464417930038</v>
      </c>
      <c r="O18" s="239">
        <f>-'Calc- Mains'!N35</f>
        <v>-7872.1464417930038</v>
      </c>
      <c r="P18" s="239">
        <f>-'Calc- Mains'!O35</f>
        <v>-22756.095451959009</v>
      </c>
      <c r="Q18" s="239">
        <f>-'Calc- Mains'!P$38</f>
        <v>-20823.385975217287</v>
      </c>
      <c r="R18" s="239">
        <f>-'Calc- Mains'!Q$38</f>
        <v>-19077.712899450566</v>
      </c>
      <c r="S18" s="239">
        <f>-'Calc- Mains'!R$38</f>
        <v>-17145.003422708844</v>
      </c>
      <c r="T18" s="239">
        <f>-'Calc- Mains'!S$38</f>
        <v>-15274.639412958788</v>
      </c>
      <c r="U18" s="239">
        <f>-'Calc- Mains'!T$38</f>
        <v>-13341.929936217064</v>
      </c>
      <c r="V18" s="239">
        <f>-'Calc- Mains'!U$38</f>
        <v>-11471.565926467008</v>
      </c>
      <c r="W18" s="239">
        <f>-'Calc- Mains'!V$38</f>
        <v>-9538.8564497252828</v>
      </c>
      <c r="X18" s="239">
        <f>-'Calc- Mains'!W$38</f>
        <v>-7606.146972983559</v>
      </c>
      <c r="Y18" s="239">
        <f>-'Calc- Mains'!X$38</f>
        <v>-5735.7829632335042</v>
      </c>
      <c r="Z18" s="239">
        <f>-'Calc- Mains'!Y$38</f>
        <v>-3803.0734864917795</v>
      </c>
      <c r="AA18" s="239">
        <f>-'Calc- Mains'!Z$38</f>
        <v>-1932.7094767417241</v>
      </c>
      <c r="AB18" s="239">
        <f>-'Calc- Mains'!AA$38</f>
        <v>0</v>
      </c>
      <c r="AC18" s="239">
        <f t="shared" ref="AC18:AY18" si="54">AC17*0.2472</f>
        <v>-20433.166993725008</v>
      </c>
      <c r="AD18" s="239">
        <f t="shared" si="54"/>
        <v>-20433.166993725008</v>
      </c>
      <c r="AE18" s="239">
        <f t="shared" si="54"/>
        <v>-20433.166993725008</v>
      </c>
      <c r="AF18" s="239">
        <f t="shared" si="54"/>
        <v>-20433.166993725008</v>
      </c>
      <c r="AG18" s="239">
        <f t="shared" si="54"/>
        <v>-20433.166993725008</v>
      </c>
      <c r="AH18" s="239">
        <f t="shared" si="54"/>
        <v>-20433.166993725008</v>
      </c>
      <c r="AI18" s="239">
        <f t="shared" si="54"/>
        <v>-20433.166993725008</v>
      </c>
      <c r="AJ18" s="239">
        <f t="shared" si="54"/>
        <v>-20433.166993725008</v>
      </c>
      <c r="AK18" s="239">
        <f t="shared" si="54"/>
        <v>-20433.166993725008</v>
      </c>
      <c r="AL18" s="239">
        <f t="shared" si="54"/>
        <v>-20433.166993725008</v>
      </c>
      <c r="AM18" s="239">
        <f t="shared" si="54"/>
        <v>-20433.166993725008</v>
      </c>
      <c r="AN18" s="239">
        <f t="shared" si="54"/>
        <v>-18282.307310175009</v>
      </c>
      <c r="AO18" s="239">
        <f t="shared" si="54"/>
        <v>-18282.307310175009</v>
      </c>
      <c r="AP18" s="239">
        <f t="shared" si="54"/>
        <v>-18282.307310175009</v>
      </c>
      <c r="AQ18" s="239">
        <f t="shared" si="54"/>
        <v>-18282.307310175009</v>
      </c>
      <c r="AR18" s="239">
        <f t="shared" si="54"/>
        <v>-18282.307310175009</v>
      </c>
      <c r="AS18" s="239">
        <f t="shared" si="54"/>
        <v>-18282.307310175009</v>
      </c>
      <c r="AT18" s="239">
        <f t="shared" si="54"/>
        <v>-18282.307310175009</v>
      </c>
      <c r="AU18" s="239">
        <f t="shared" si="54"/>
        <v>-18282.307310175009</v>
      </c>
      <c r="AV18" s="239">
        <f t="shared" si="54"/>
        <v>-18282.307310175009</v>
      </c>
      <c r="AW18" s="239">
        <f t="shared" si="54"/>
        <v>-18282.307310175009</v>
      </c>
      <c r="AX18" s="239">
        <f t="shared" si="54"/>
        <v>-18282.307310175009</v>
      </c>
      <c r="AY18" s="239">
        <f t="shared" si="54"/>
        <v>-18282.307310175009</v>
      </c>
    </row>
    <row r="19" spans="1:52">
      <c r="A19" s="240">
        <v>14</v>
      </c>
      <c r="B19" s="240"/>
      <c r="C19" s="230" t="s">
        <v>38</v>
      </c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>
        <f>-'Calc- Mains'!M$39</f>
        <v>-169616.7946447531</v>
      </c>
      <c r="O19" s="239">
        <f>-'Calc- Mains'!N$39</f>
        <v>-177488.94108654611</v>
      </c>
      <c r="P19" s="239">
        <f t="shared" ref="P19" si="55">O19+P18</f>
        <v>-200245.03653850511</v>
      </c>
      <c r="Q19" s="239">
        <f t="shared" ref="Q19" si="56">P19+Q18</f>
        <v>-221068.42251372238</v>
      </c>
      <c r="R19" s="239">
        <f t="shared" ref="R19" si="57">Q19+R18</f>
        <v>-240146.13541317295</v>
      </c>
      <c r="S19" s="239">
        <f t="shared" ref="S19" si="58">R19+S18</f>
        <v>-257291.13883588178</v>
      </c>
      <c r="T19" s="239">
        <f t="shared" ref="T19" si="59">S19+T18</f>
        <v>-272565.77824884059</v>
      </c>
      <c r="U19" s="239">
        <f t="shared" ref="U19" si="60">T19+U18</f>
        <v>-285907.70818505768</v>
      </c>
      <c r="V19" s="239">
        <f t="shared" ref="V19" si="61">U19+V18</f>
        <v>-297379.27411152469</v>
      </c>
      <c r="W19" s="239">
        <f t="shared" ref="W19" si="62">V19+W18</f>
        <v>-306918.13056124997</v>
      </c>
      <c r="X19" s="239">
        <f>W19+X18</f>
        <v>-314524.27753423352</v>
      </c>
      <c r="Y19" s="239">
        <f t="shared" ref="Y19" si="63">X19+Y18</f>
        <v>-320260.060497467</v>
      </c>
      <c r="Z19" s="239">
        <f t="shared" ref="Z19" si="64">Y19+Z18</f>
        <v>-324063.1339839588</v>
      </c>
      <c r="AA19" s="239">
        <f t="shared" ref="AA19:AB19" si="65">Z19+AA18</f>
        <v>-325995.84346070053</v>
      </c>
      <c r="AB19" s="239">
        <f t="shared" si="65"/>
        <v>-325995.84346070053</v>
      </c>
      <c r="AC19" s="239">
        <f t="shared" ref="AC19" si="66">AB19+AC18</f>
        <v>-346429.01045442553</v>
      </c>
      <c r="AD19" s="239">
        <f t="shared" ref="AD19" si="67">AC19+AD18</f>
        <v>-366862.17744815053</v>
      </c>
      <c r="AE19" s="239">
        <f t="shared" ref="AE19" si="68">AD19+AE18</f>
        <v>-387295.34444187552</v>
      </c>
      <c r="AF19" s="239">
        <f t="shared" ref="AF19" si="69">AE19+AF18</f>
        <v>-407728.51143560052</v>
      </c>
      <c r="AG19" s="239">
        <f t="shared" ref="AG19" si="70">AF19+AG18</f>
        <v>-428161.67842932552</v>
      </c>
      <c r="AH19" s="239">
        <f>AG19+AH18</f>
        <v>-448594.84542305052</v>
      </c>
      <c r="AI19" s="239">
        <f t="shared" ref="AI19" si="71">AH19+AI18</f>
        <v>-469028.01241677551</v>
      </c>
      <c r="AJ19" s="239">
        <f t="shared" ref="AJ19" si="72">AI19+AJ18</f>
        <v>-489461.17941050051</v>
      </c>
      <c r="AK19" s="239">
        <f t="shared" ref="AK19" si="73">AJ19+AK18</f>
        <v>-509894.34640422551</v>
      </c>
      <c r="AL19" s="239">
        <f t="shared" ref="AL19" si="74">AK19+AL18</f>
        <v>-530327.51339795056</v>
      </c>
      <c r="AM19" s="239">
        <f t="shared" ref="AM19" si="75">AL19+AM18</f>
        <v>-550760.68039167556</v>
      </c>
      <c r="AN19" s="239">
        <f t="shared" ref="AN19" si="76">AM19+AN18</f>
        <v>-569042.98770185059</v>
      </c>
      <c r="AO19" s="239">
        <f t="shared" ref="AO19" si="77">AN19+AO18</f>
        <v>-587325.29501202563</v>
      </c>
      <c r="AP19" s="239">
        <f t="shared" ref="AP19" si="78">AO19+AP18</f>
        <v>-605607.60232220066</v>
      </c>
      <c r="AQ19" s="239">
        <f t="shared" ref="AQ19" si="79">AP19+AQ18</f>
        <v>-623889.9096323757</v>
      </c>
      <c r="AR19" s="239">
        <f t="shared" ref="AR19" si="80">AQ19+AR18</f>
        <v>-642172.21694255073</v>
      </c>
      <c r="AS19" s="239">
        <f t="shared" ref="AS19" si="81">AR19+AS18</f>
        <v>-660454.52425272577</v>
      </c>
      <c r="AT19" s="239">
        <f t="shared" ref="AT19" si="82">AS19+AT18</f>
        <v>-678736.8315629008</v>
      </c>
      <c r="AU19" s="239">
        <f t="shared" ref="AU19" si="83">AT19+AU18</f>
        <v>-697019.13887307583</v>
      </c>
      <c r="AV19" s="239">
        <f t="shared" ref="AV19" si="84">AU19+AV18</f>
        <v>-715301.44618325087</v>
      </c>
      <c r="AW19" s="239">
        <f t="shared" ref="AW19" si="85">AV19+AW18</f>
        <v>-733583.7534934259</v>
      </c>
      <c r="AX19" s="239">
        <f t="shared" ref="AX19" si="86">AW19+AX18</f>
        <v>-751866.06080360094</v>
      </c>
      <c r="AY19" s="239">
        <f t="shared" ref="AY19" si="87">AX19+AY18</f>
        <v>-770148.36811377597</v>
      </c>
    </row>
    <row r="20" spans="1:52">
      <c r="A20" s="240">
        <v>15</v>
      </c>
      <c r="B20" s="240"/>
      <c r="C20" s="230" t="s">
        <v>36</v>
      </c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>
        <f>(M20-N15-N11)</f>
        <v>-33585.430333750017</v>
      </c>
      <c r="O20" s="239">
        <f t="shared" ref="O20:AY20" si="88">(N20-O15-O11)</f>
        <v>-67170.860667500034</v>
      </c>
      <c r="P20" s="239">
        <f t="shared" si="88"/>
        <v>-100756.29100125005</v>
      </c>
      <c r="Q20" s="239">
        <f t="shared" si="88"/>
        <v>-134341.72133500007</v>
      </c>
      <c r="R20" s="239">
        <f t="shared" si="88"/>
        <v>-167927.1516687501</v>
      </c>
      <c r="S20" s="239">
        <f t="shared" si="88"/>
        <v>-201512.58200250013</v>
      </c>
      <c r="T20" s="239">
        <f t="shared" si="88"/>
        <v>-235098.01233625016</v>
      </c>
      <c r="U20" s="239">
        <f t="shared" si="88"/>
        <v>-268683.44267000019</v>
      </c>
      <c r="V20" s="239">
        <f t="shared" si="88"/>
        <v>-302268.87300375022</v>
      </c>
      <c r="W20" s="239">
        <f t="shared" si="88"/>
        <v>-335854.30333750026</v>
      </c>
      <c r="X20" s="239">
        <f t="shared" si="88"/>
        <v>-369439.73367125029</v>
      </c>
      <c r="Y20" s="239">
        <f t="shared" si="88"/>
        <v>-403025.16400500032</v>
      </c>
      <c r="Z20" s="239">
        <f t="shared" si="88"/>
        <v>-436610.59433875035</v>
      </c>
      <c r="AA20" s="239">
        <f t="shared" si="88"/>
        <v>-470196.02467250038</v>
      </c>
      <c r="AB20" s="239">
        <f t="shared" si="88"/>
        <v>-503781.45500625041</v>
      </c>
      <c r="AC20" s="239">
        <f t="shared" si="88"/>
        <v>-537366.88534000039</v>
      </c>
      <c r="AD20" s="239">
        <f t="shared" si="88"/>
        <v>-570952.31567375036</v>
      </c>
      <c r="AE20" s="239">
        <f t="shared" si="88"/>
        <v>-604537.74600750033</v>
      </c>
      <c r="AF20" s="239">
        <f t="shared" si="88"/>
        <v>-638123.17634125031</v>
      </c>
      <c r="AG20" s="239">
        <f t="shared" si="88"/>
        <v>-671708.60667500028</v>
      </c>
      <c r="AH20" s="239">
        <f t="shared" si="88"/>
        <v>-705294.03700875025</v>
      </c>
      <c r="AI20" s="239">
        <f t="shared" si="88"/>
        <v>-738879.46734250023</v>
      </c>
      <c r="AJ20" s="239">
        <f t="shared" si="88"/>
        <v>-772464.8976762502</v>
      </c>
      <c r="AK20" s="239">
        <f t="shared" si="88"/>
        <v>-806050.32801000017</v>
      </c>
      <c r="AL20" s="239">
        <f t="shared" si="88"/>
        <v>-839635.75834375015</v>
      </c>
      <c r="AM20" s="239">
        <f t="shared" si="88"/>
        <v>-873221.18867750012</v>
      </c>
      <c r="AN20" s="239">
        <f t="shared" si="88"/>
        <v>-906806.61901125009</v>
      </c>
      <c r="AO20" s="239">
        <f t="shared" si="88"/>
        <v>-940392.04934500006</v>
      </c>
      <c r="AP20" s="239">
        <f t="shared" si="88"/>
        <v>-973977.47967875004</v>
      </c>
      <c r="AQ20" s="239">
        <f t="shared" si="88"/>
        <v>-1007562.9100125</v>
      </c>
      <c r="AR20" s="239">
        <f t="shared" si="88"/>
        <v>-1041148.34034625</v>
      </c>
      <c r="AS20" s="239">
        <f t="shared" si="88"/>
        <v>-1074733.7706800001</v>
      </c>
      <c r="AT20" s="239">
        <f t="shared" si="88"/>
        <v>-1108319.2010137502</v>
      </c>
      <c r="AU20" s="239">
        <f t="shared" si="88"/>
        <v>-1141904.6313475003</v>
      </c>
      <c r="AV20" s="239">
        <f t="shared" si="88"/>
        <v>-1175490.0616812503</v>
      </c>
      <c r="AW20" s="239">
        <f t="shared" si="88"/>
        <v>-1209075.4920150004</v>
      </c>
      <c r="AX20" s="239">
        <f t="shared" si="88"/>
        <v>-1242660.9223487505</v>
      </c>
      <c r="AY20" s="239">
        <f t="shared" si="88"/>
        <v>-1276246.3526825006</v>
      </c>
      <c r="AZ20" s="239"/>
    </row>
    <row r="21" spans="1:52">
      <c r="A21" s="240">
        <v>16</v>
      </c>
      <c r="B21" s="240"/>
      <c r="C21" s="230" t="s">
        <v>178</v>
      </c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>
        <f>((M19/2)+SUM(N19:X19)+(Y19/2))/12</f>
        <v>-241940.13899351843</v>
      </c>
      <c r="O21" s="239">
        <f t="shared" ref="O21:P22" si="89">((N19/2)+SUM(O19:Y19)+(Z19/2))/12</f>
        <v>-261719.57232004646</v>
      </c>
      <c r="P21" s="239">
        <f t="shared" si="89"/>
        <v>-274342.62405810319</v>
      </c>
      <c r="Q21" s="239">
        <f>((P19/2)+SUM(Q19:AA19)+(AB19/2))/12</f>
        <v>-285770.02861211775</v>
      </c>
      <c r="R21" s="239">
        <f t="shared" ref="R21:R22" si="90">((Q19/2)+SUM(R19:AB19)+(AC19/2))/12</f>
        <v>-296233.00339807186</v>
      </c>
      <c r="S21" s="239">
        <f t="shared" ref="S21:S22" si="91">((R19/2)+SUM(S19:AC19)+(AD19/2))/12</f>
        <v>-306736.1963137252</v>
      </c>
      <c r="T21" s="239">
        <f t="shared" ref="T21:T22" si="92">((S19/2)+SUM(T19:AD19)+(AE19/2))/12</f>
        <v>-317432.87329876568</v>
      </c>
      <c r="U21" s="239">
        <f t="shared" ref="U21:U22" si="93">((T19/2)+SUM(U19:AE19)+(AF19/2))/12</f>
        <v>-328481.49574846379</v>
      </c>
      <c r="V21" s="239">
        <f t="shared" ref="V21:V22" si="94">((U19/2)+SUM(V19:AF19)+(AG19/2))/12</f>
        <v>-340040.52505808993</v>
      </c>
      <c r="W21" s="239">
        <f t="shared" ref="W21:W22" si="95">((V19/2)+SUM(W19:AG19)+(AH19/2))/12</f>
        <v>-352268.4226229146</v>
      </c>
      <c r="X21" s="239">
        <f>((W19/2)+SUM(X19:AH19)+(AI19/2))/12</f>
        <v>-365323.64983820845</v>
      </c>
      <c r="Y21" s="239">
        <f t="shared" ref="Y21:Y22" si="96">((X19/2)+SUM(Y19:AI19)+(AJ19/2))/12</f>
        <v>-379367.26582703314</v>
      </c>
      <c r="Z21" s="239">
        <f t="shared" ref="Z21:Z22" si="97">((Y19/2)+SUM(Z19:AJ19)+(AK19/2))/12</f>
        <v>-394557.73198465916</v>
      </c>
      <c r="AA21" s="239">
        <f t="shared" ref="AA21:AA22" si="98">((Z19/2)+SUM(AA19:AK19)+(AL19/2))/12</f>
        <v>-411053.50970635709</v>
      </c>
      <c r="AB21" s="239">
        <f t="shared" ref="AB21:AB22" si="99">((AA19/2)+SUM(AB19:AL19)+(AM19/2))/12</f>
        <v>-429013.06038739742</v>
      </c>
      <c r="AC21" s="239">
        <f t="shared" ref="AC21:AC22" si="100">((AB19/2)+SUM(AC19:AM19)+(AN19/2))/12</f>
        <v>-448505.22626956931</v>
      </c>
      <c r="AD21" s="239">
        <f t="shared" ref="AD21:AD22" si="101">((AC19/2)+SUM(AD19:AN19)+(AO19/2))/12</f>
        <v>-468669.53580285056</v>
      </c>
      <c r="AE21" s="239">
        <f t="shared" ref="AE21:AE22" si="102">((AD19/2)+SUM(AE19:AO19)+(AP19/2))/12</f>
        <v>-488654.60702916927</v>
      </c>
      <c r="AF21" s="239">
        <f t="shared" ref="AF21:AF22" si="103">((AE19/2)+SUM(AF19:AP19)+(AQ19/2))/12</f>
        <v>-508460.43994852551</v>
      </c>
      <c r="AG21" s="239">
        <f t="shared" ref="AG21:AG22" si="104">((AF19/2)+SUM(AG19:AQ19)+(AR19/2))/12</f>
        <v>-528087.03456091927</v>
      </c>
      <c r="AH21" s="239">
        <f>((AG19/2)+SUM(AH19:AR19)+(AS19/2))/12</f>
        <v>-547534.3908663505</v>
      </c>
      <c r="AI21" s="239">
        <f t="shared" ref="AI21:AI22" si="105">((AH19/2)+SUM(AI19:AS19)+(AT19/2))/12</f>
        <v>-566802.50886481931</v>
      </c>
      <c r="AJ21" s="239">
        <f t="shared" ref="AJ21:AJ22" si="106">((AI19/2)+SUM(AJ19:AT19)+(AU19/2))/12</f>
        <v>-585891.38855632569</v>
      </c>
      <c r="AK21" s="239">
        <f t="shared" ref="AK21:AK22" si="107">((AJ19/2)+SUM(AK19:AU19)+(AV19/2))/12</f>
        <v>-604801.02994086943</v>
      </c>
      <c r="AL21" s="239">
        <f t="shared" ref="AL21:AL22" si="108">((AK19/2)+SUM(AL19:AV19)+(AW19/2))/12</f>
        <v>-623531.43301845074</v>
      </c>
      <c r="AM21" s="239">
        <f t="shared" ref="AM21:AM22" si="109">((AL19/2)+SUM(AM19:AW19)+(AX19/2))/12</f>
        <v>-642082.59778906952</v>
      </c>
      <c r="AN21" s="239">
        <f t="shared" ref="AN21:AN22" si="110">((AM19/2)+SUM(AN19:AX19)+(AY19/2))/12</f>
        <v>-660454.52425272588</v>
      </c>
      <c r="AO21" s="239">
        <f t="shared" ref="AO21:AO22" si="111">((AN19/2)+SUM(AO19:AY19)+(AZ19/2))/12</f>
        <v>-645885.5534202361</v>
      </c>
      <c r="AP21" s="239">
        <f t="shared" ref="AP21:AP22" si="112">((AO19/2)+SUM(AP19:AZ19)+(BA19/2))/12</f>
        <v>-597703.54164049134</v>
      </c>
      <c r="AQ21" s="239">
        <f t="shared" ref="AQ21:AQ22" si="113">((AP19/2)+SUM(AQ19:BA19)+(BB19/2))/12</f>
        <v>-547998.0042515652</v>
      </c>
      <c r="AR21" s="239">
        <f t="shared" ref="AR21:AR22" si="114">((AQ19/2)+SUM(AR19:BB19)+(BC19/2))/12</f>
        <v>-496768.94125345786</v>
      </c>
      <c r="AS21" s="239">
        <f t="shared" ref="AS21:AS22" si="115">((AR19/2)+SUM(AS19:BC19)+(BD19/2))/12</f>
        <v>-444016.35264616925</v>
      </c>
      <c r="AT21" s="239">
        <f t="shared" ref="AT21:AT22" si="116">((AS19/2)+SUM(AT19:BD19)+(BE19/2))/12</f>
        <v>-389740.23842969938</v>
      </c>
      <c r="AU21" s="239">
        <f t="shared" ref="AU21:AU22" si="117">((AT19/2)+SUM(AU19:BE19)+(BF19/2))/12</f>
        <v>-333940.59860404837</v>
      </c>
      <c r="AV21" s="239">
        <f t="shared" ref="AV21:AV22" si="118">((AU19/2)+SUM(AV19:BF19)+(BG19/2))/12</f>
        <v>-276617.43316921598</v>
      </c>
      <c r="AW21" s="239">
        <f t="shared" ref="AW21:AW22" si="119">((AV19/2)+SUM(AW19:BG19)+(BH19/2))/12</f>
        <v>-217770.74212520235</v>
      </c>
      <c r="AX21" s="239">
        <f t="shared" ref="AX21:AX22" si="120">((AW19/2)+SUM(AX19:BH19)+(BI19/2))/12</f>
        <v>-157400.52547200749</v>
      </c>
      <c r="AY21" s="239">
        <f t="shared" ref="AY21:AY22" si="121">((AX19/2)+SUM(AY19:BI19)+(BJ19/2))/12</f>
        <v>-95506.78320963138</v>
      </c>
    </row>
    <row r="22" spans="1:52">
      <c r="A22" s="240">
        <v>17</v>
      </c>
      <c r="B22" s="240"/>
      <c r="C22" s="230" t="s">
        <v>179</v>
      </c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>
        <f>((M20/2)+SUM(N20:X20)+(Y20/2))/12</f>
        <v>-201512.58200250016</v>
      </c>
      <c r="O22" s="239">
        <f t="shared" si="89"/>
        <v>-235098.01233625016</v>
      </c>
      <c r="P22" s="239">
        <f t="shared" si="89"/>
        <v>-268683.44267000019</v>
      </c>
      <c r="Q22" s="239">
        <f t="shared" ref="Q22" si="122">((P20/2)+SUM(Q20:AA20)+(AB20/2))/12</f>
        <v>-302268.87300375022</v>
      </c>
      <c r="R22" s="239">
        <f t="shared" si="90"/>
        <v>-335854.30333750026</v>
      </c>
      <c r="S22" s="239">
        <f t="shared" si="91"/>
        <v>-369439.73367125029</v>
      </c>
      <c r="T22" s="239">
        <f t="shared" si="92"/>
        <v>-403025.16400500032</v>
      </c>
      <c r="U22" s="239">
        <f t="shared" si="93"/>
        <v>-436610.59433875029</v>
      </c>
      <c r="V22" s="239">
        <f t="shared" si="94"/>
        <v>-470196.02467250038</v>
      </c>
      <c r="W22" s="239">
        <f t="shared" si="95"/>
        <v>-503781.45500625035</v>
      </c>
      <c r="X22" s="239">
        <f>((W20/2)+SUM(X20:AH20)+(AI20/2))/12</f>
        <v>-537366.88534000015</v>
      </c>
      <c r="Y22" s="239">
        <f t="shared" si="96"/>
        <v>-570952.31567375024</v>
      </c>
      <c r="Z22" s="239">
        <f t="shared" si="97"/>
        <v>-604537.74600750033</v>
      </c>
      <c r="AA22" s="239">
        <f t="shared" si="98"/>
        <v>-638123.17634125031</v>
      </c>
      <c r="AB22" s="239">
        <f t="shared" si="99"/>
        <v>-671708.60667500028</v>
      </c>
      <c r="AC22" s="239">
        <f t="shared" si="100"/>
        <v>-705294.03700875025</v>
      </c>
      <c r="AD22" s="239">
        <f t="shared" si="101"/>
        <v>-738879.46734250023</v>
      </c>
      <c r="AE22" s="239">
        <f t="shared" si="102"/>
        <v>-772464.89767625008</v>
      </c>
      <c r="AF22" s="239">
        <f t="shared" si="103"/>
        <v>-806050.32801000017</v>
      </c>
      <c r="AG22" s="239">
        <f t="shared" si="104"/>
        <v>-839635.75834375015</v>
      </c>
      <c r="AH22" s="239">
        <f>((AG20/2)+SUM(AH20:AR20)+(AS20/2))/12</f>
        <v>-873221.18867750012</v>
      </c>
      <c r="AI22" s="239">
        <f t="shared" si="105"/>
        <v>-906806.61901125021</v>
      </c>
      <c r="AJ22" s="239">
        <f t="shared" si="106"/>
        <v>-940392.04934500006</v>
      </c>
      <c r="AK22" s="239">
        <f t="shared" si="107"/>
        <v>-973977.47967875004</v>
      </c>
      <c r="AL22" s="239">
        <f t="shared" si="108"/>
        <v>-1007562.9100125</v>
      </c>
      <c r="AM22" s="239">
        <f t="shared" si="109"/>
        <v>-1041148.3403462501</v>
      </c>
      <c r="AN22" s="239">
        <f t="shared" si="110"/>
        <v>-1074733.7706800003</v>
      </c>
      <c r="AO22" s="239">
        <f t="shared" si="111"/>
        <v>-1053742.8767214066</v>
      </c>
      <c r="AP22" s="239">
        <f t="shared" si="112"/>
        <v>-976776.26553989621</v>
      </c>
      <c r="AQ22" s="239">
        <f t="shared" si="113"/>
        <v>-897010.86849723989</v>
      </c>
      <c r="AR22" s="239">
        <f t="shared" si="114"/>
        <v>-814446.68559343775</v>
      </c>
      <c r="AS22" s="239">
        <f t="shared" si="115"/>
        <v>-729083.71682848979</v>
      </c>
      <c r="AT22" s="239">
        <f t="shared" si="116"/>
        <v>-640921.96220239589</v>
      </c>
      <c r="AU22" s="239">
        <f t="shared" si="117"/>
        <v>-549961.42171515641</v>
      </c>
      <c r="AV22" s="239">
        <f t="shared" si="118"/>
        <v>-456202.09536677104</v>
      </c>
      <c r="AW22" s="239">
        <f t="shared" si="119"/>
        <v>-359643.9831572398</v>
      </c>
      <c r="AX22" s="239">
        <f t="shared" si="120"/>
        <v>-260287.08508656258</v>
      </c>
      <c r="AY22" s="239">
        <f t="shared" si="121"/>
        <v>-158131.40115473967</v>
      </c>
    </row>
    <row r="23" spans="1:52">
      <c r="A23" s="240">
        <v>18</v>
      </c>
      <c r="B23" s="240"/>
      <c r="C23" s="230" t="s">
        <v>180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>
        <v>20886810</v>
      </c>
      <c r="O23" s="241">
        <f>((N12/2)+SUM(O12:Y12)+(Z12/2))/12</f>
        <v>20886810.390000012</v>
      </c>
      <c r="P23" s="241">
        <f t="shared" ref="P23:AX23" si="123">((O12/2)+SUM(P12:Z12)+(AA12/2))/12</f>
        <v>20886810.390000012</v>
      </c>
      <c r="Q23" s="241">
        <f>((P12/2)+SUM(Q12:AA12)+(AB12/2))/12</f>
        <v>20886810.390000012</v>
      </c>
      <c r="R23" s="241">
        <f t="shared" si="123"/>
        <v>20886810.390000012</v>
      </c>
      <c r="S23" s="241">
        <f t="shared" si="123"/>
        <v>20886810.390000012</v>
      </c>
      <c r="T23" s="241">
        <f t="shared" si="123"/>
        <v>20886810.390000012</v>
      </c>
      <c r="U23" s="241">
        <f t="shared" si="123"/>
        <v>20886810.390000012</v>
      </c>
      <c r="V23" s="241">
        <f t="shared" si="123"/>
        <v>20886810.390000012</v>
      </c>
      <c r="W23" s="241">
        <f t="shared" si="123"/>
        <v>20886810.390000012</v>
      </c>
      <c r="X23" s="241">
        <f t="shared" si="123"/>
        <v>20886810.390000012</v>
      </c>
      <c r="Y23" s="241">
        <f t="shared" si="123"/>
        <v>20886810.390000012</v>
      </c>
      <c r="Z23" s="241">
        <f t="shared" si="123"/>
        <v>20886810.390000012</v>
      </c>
      <c r="AA23" s="241">
        <f t="shared" si="123"/>
        <v>20886810.390000012</v>
      </c>
      <c r="AB23" s="241">
        <f t="shared" si="123"/>
        <v>20886810.390000012</v>
      </c>
      <c r="AC23" s="241">
        <f t="shared" si="123"/>
        <v>20886810.390000012</v>
      </c>
      <c r="AD23" s="241">
        <f t="shared" si="123"/>
        <v>20886810.390000012</v>
      </c>
      <c r="AE23" s="241">
        <f t="shared" si="123"/>
        <v>20886810.390000012</v>
      </c>
      <c r="AF23" s="241">
        <f t="shared" si="123"/>
        <v>20886810.390000012</v>
      </c>
      <c r="AG23" s="241">
        <f t="shared" si="123"/>
        <v>20886810.390000012</v>
      </c>
      <c r="AH23" s="241">
        <f t="shared" si="123"/>
        <v>20886810.390000012</v>
      </c>
      <c r="AI23" s="241">
        <f t="shared" si="123"/>
        <v>20886810.390000012</v>
      </c>
      <c r="AJ23" s="241">
        <f t="shared" si="123"/>
        <v>20886810.390000012</v>
      </c>
      <c r="AK23" s="241">
        <f t="shared" si="123"/>
        <v>20886810.390000012</v>
      </c>
      <c r="AL23" s="241">
        <f t="shared" si="123"/>
        <v>20886810.390000012</v>
      </c>
      <c r="AM23" s="241">
        <f t="shared" si="123"/>
        <v>20886810.390000012</v>
      </c>
      <c r="AN23" s="241">
        <f t="shared" si="123"/>
        <v>20886810.390000012</v>
      </c>
      <c r="AO23" s="241">
        <f t="shared" si="123"/>
        <v>20016526.623750012</v>
      </c>
      <c r="AP23" s="241">
        <f>((AO12/2)+SUM(AP12:AZ12)+(BA12/2))/12</f>
        <v>18275959.09125001</v>
      </c>
      <c r="AQ23" s="241">
        <f t="shared" si="123"/>
        <v>16535391.558750009</v>
      </c>
      <c r="AR23" s="241">
        <f t="shared" si="123"/>
        <v>14794824.026250007</v>
      </c>
      <c r="AS23" s="241">
        <f t="shared" si="123"/>
        <v>13054256.493750006</v>
      </c>
      <c r="AT23" s="241">
        <f t="shared" si="123"/>
        <v>11313688.961250005</v>
      </c>
      <c r="AU23" s="241">
        <f t="shared" si="123"/>
        <v>9573121.4287500046</v>
      </c>
      <c r="AV23" s="241">
        <f t="shared" si="123"/>
        <v>7832553.896250003</v>
      </c>
      <c r="AW23" s="241">
        <f t="shared" si="123"/>
        <v>6091986.3637500023</v>
      </c>
      <c r="AX23" s="241">
        <f t="shared" si="123"/>
        <v>4351418.8312500017</v>
      </c>
      <c r="AY23" s="241">
        <f>((AX12/2)+SUM(AY12:BI12)+(BJ12/2))/12</f>
        <v>2610851.298750001</v>
      </c>
    </row>
    <row r="24" spans="1:52">
      <c r="A24" s="240">
        <v>19</v>
      </c>
      <c r="B24" s="240"/>
      <c r="C24" s="230" t="s">
        <v>181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>
        <f t="shared" ref="N24:AN24" si="124">N23</f>
        <v>20886810</v>
      </c>
      <c r="O24" s="232">
        <f t="shared" si="124"/>
        <v>20886810.390000012</v>
      </c>
      <c r="P24" s="232">
        <f t="shared" si="124"/>
        <v>20886810.390000012</v>
      </c>
      <c r="Q24" s="232">
        <f t="shared" si="124"/>
        <v>20886810.390000012</v>
      </c>
      <c r="R24" s="232">
        <f t="shared" si="124"/>
        <v>20886810.390000012</v>
      </c>
      <c r="S24" s="232">
        <f t="shared" si="124"/>
        <v>20886810.390000012</v>
      </c>
      <c r="T24" s="232">
        <f t="shared" si="124"/>
        <v>20886810.390000012</v>
      </c>
      <c r="U24" s="232">
        <f t="shared" si="124"/>
        <v>20886810.390000012</v>
      </c>
      <c r="V24" s="232">
        <f t="shared" si="124"/>
        <v>20886810.390000012</v>
      </c>
      <c r="W24" s="232">
        <f t="shared" si="124"/>
        <v>20886810.390000012</v>
      </c>
      <c r="X24" s="232">
        <f t="shared" si="124"/>
        <v>20886810.390000012</v>
      </c>
      <c r="Y24" s="232">
        <f t="shared" si="124"/>
        <v>20886810.390000012</v>
      </c>
      <c r="Z24" s="232">
        <f t="shared" si="124"/>
        <v>20886810.390000012</v>
      </c>
      <c r="AA24" s="232">
        <f t="shared" si="124"/>
        <v>20886810.390000012</v>
      </c>
      <c r="AB24" s="232">
        <f t="shared" si="124"/>
        <v>20886810.390000012</v>
      </c>
      <c r="AC24" s="232">
        <f t="shared" si="124"/>
        <v>20886810.390000012</v>
      </c>
      <c r="AD24" s="232">
        <f t="shared" si="124"/>
        <v>20886810.390000012</v>
      </c>
      <c r="AE24" s="232">
        <f t="shared" si="124"/>
        <v>20886810.390000012</v>
      </c>
      <c r="AF24" s="232">
        <f t="shared" si="124"/>
        <v>20886810.390000012</v>
      </c>
      <c r="AG24" s="232">
        <f t="shared" si="124"/>
        <v>20886810.390000012</v>
      </c>
      <c r="AH24" s="232">
        <f t="shared" si="124"/>
        <v>20886810.390000012</v>
      </c>
      <c r="AI24" s="232">
        <f t="shared" si="124"/>
        <v>20886810.390000012</v>
      </c>
      <c r="AJ24" s="232">
        <f t="shared" si="124"/>
        <v>20886810.390000012</v>
      </c>
      <c r="AK24" s="232">
        <f t="shared" si="124"/>
        <v>20886810.390000012</v>
      </c>
      <c r="AL24" s="232">
        <f t="shared" si="124"/>
        <v>20886810.390000012</v>
      </c>
      <c r="AM24" s="232">
        <f t="shared" si="124"/>
        <v>20886810.390000012</v>
      </c>
      <c r="AN24" s="232">
        <f t="shared" si="124"/>
        <v>20886810.390000012</v>
      </c>
      <c r="AO24" s="232">
        <f t="shared" ref="AO24:AY24" si="125">AO23</f>
        <v>20016526.623750012</v>
      </c>
      <c r="AP24" s="232">
        <f t="shared" si="125"/>
        <v>18275959.09125001</v>
      </c>
      <c r="AQ24" s="232">
        <f t="shared" si="125"/>
        <v>16535391.558750009</v>
      </c>
      <c r="AR24" s="232">
        <f t="shared" si="125"/>
        <v>14794824.026250007</v>
      </c>
      <c r="AS24" s="232">
        <f t="shared" si="125"/>
        <v>13054256.493750006</v>
      </c>
      <c r="AT24" s="232">
        <f t="shared" si="125"/>
        <v>11313688.961250005</v>
      </c>
      <c r="AU24" s="232">
        <f t="shared" si="125"/>
        <v>9573121.4287500046</v>
      </c>
      <c r="AV24" s="232">
        <f t="shared" si="125"/>
        <v>7832553.896250003</v>
      </c>
      <c r="AW24" s="232">
        <f t="shared" si="125"/>
        <v>6091986.3637500023</v>
      </c>
      <c r="AX24" s="232">
        <f t="shared" si="125"/>
        <v>4351418.8312500017</v>
      </c>
      <c r="AY24" s="232">
        <f t="shared" si="125"/>
        <v>2610851.298750001</v>
      </c>
    </row>
    <row r="25" spans="1:52" ht="6" customHeight="1"/>
    <row r="26" spans="1:52">
      <c r="A26" s="230" t="s">
        <v>153</v>
      </c>
    </row>
    <row r="27" spans="1:52" ht="31.5" customHeight="1">
      <c r="A27" s="252" t="s">
        <v>227</v>
      </c>
      <c r="B27" s="252"/>
      <c r="C27" s="252"/>
    </row>
    <row r="32" spans="1:52">
      <c r="C32" s="239"/>
    </row>
  </sheetData>
  <mergeCells count="1">
    <mergeCell ref="A27:C27"/>
  </mergeCells>
  <pageMargins left="0.7" right="0.7" top="1.265625" bottom="0.75" header="0.3" footer="0.3"/>
  <pageSetup scale="74" fitToWidth="0" orientation="landscape" r:id="rId1"/>
  <headerFooter differentOddEven="1" differentFirst="1" scaleWithDoc="0">
    <oddHeader>&amp;R&amp;8Dominion Energy Utah
Docket No 21-057-??
DEU Exhibit 1.1
Page 3 of 3</oddHeader>
    <evenHeader>&amp;R&amp;"Arial,Regular"Dominion Energy Utah
Docket No 21-057-30
DEU Exhibit 1.1
Page 2 of 2</evenHeader>
    <firstHeader>&amp;R&amp;"Arial,Regular"Dominion Energy Utah
Docket No 21-057-30
DEU Exhibit 1.1
Page 1 of 2</firstHeader>
  </headerFooter>
  <ignoredErrors>
    <ignoredError sqref="N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23"/>
  <sheetViews>
    <sheetView view="pageLayout" zoomScale="70" zoomScaleNormal="90" zoomScaleSheetLayoutView="70" zoomScalePageLayoutView="70" workbookViewId="0">
      <selection activeCell="C1" sqref="C1"/>
    </sheetView>
  </sheetViews>
  <sheetFormatPr defaultRowHeight="12.75"/>
  <cols>
    <col min="1" max="2" width="11" style="224" customWidth="1"/>
    <col min="3" max="3" width="47.5703125" style="224" bestFit="1" customWidth="1"/>
    <col min="4" max="11" width="12.28515625" style="224" hidden="1" customWidth="1"/>
    <col min="12" max="12" width="13.28515625" style="224" hidden="1" customWidth="1"/>
    <col min="13" max="13" width="12.7109375" style="224" hidden="1" customWidth="1"/>
    <col min="14" max="14" width="13.85546875" style="224" customWidth="1"/>
    <col min="15" max="15" width="12.7109375" style="224" customWidth="1"/>
    <col min="16" max="23" width="11.7109375" style="224" customWidth="1"/>
    <col min="24" max="24" width="13.28515625" style="224" customWidth="1"/>
    <col min="25" max="25" width="11.7109375" style="224" customWidth="1"/>
    <col min="26" max="26" width="13.7109375" style="224" customWidth="1"/>
    <col min="27" max="27" width="12.7109375" style="224" customWidth="1"/>
    <col min="28" max="28" width="10.42578125" style="224" bestFit="1" customWidth="1"/>
    <col min="29" max="29" width="11.28515625" style="224" hidden="1" customWidth="1"/>
    <col min="30" max="31" width="10.28515625" style="224" hidden="1" customWidth="1"/>
    <col min="32" max="35" width="11.28515625" style="224" hidden="1" customWidth="1"/>
    <col min="36" max="36" width="13.28515625" style="224" hidden="1" customWidth="1"/>
    <col min="37" max="37" width="11.7109375" style="224" hidden="1" customWidth="1"/>
    <col min="38" max="39" width="12.7109375" style="224" hidden="1" customWidth="1"/>
    <col min="40" max="47" width="11.28515625" style="224" hidden="1" customWidth="1"/>
    <col min="48" max="48" width="13.28515625" style="224" hidden="1" customWidth="1"/>
    <col min="49" max="49" width="11.28515625" style="224" hidden="1" customWidth="1"/>
    <col min="50" max="51" width="12.7109375" style="224" hidden="1" customWidth="1"/>
    <col min="52" max="16384" width="9.140625" style="224"/>
  </cols>
  <sheetData>
    <row r="1" spans="1:51">
      <c r="C1" s="224" t="s">
        <v>231</v>
      </c>
      <c r="D1" s="225" t="s">
        <v>54</v>
      </c>
      <c r="E1" s="225" t="s">
        <v>55</v>
      </c>
      <c r="F1" s="225" t="s">
        <v>56</v>
      </c>
      <c r="G1" s="225" t="s">
        <v>208</v>
      </c>
      <c r="H1" s="225" t="s">
        <v>68</v>
      </c>
      <c r="I1" s="225" t="s">
        <v>69</v>
      </c>
      <c r="J1" s="225" t="s">
        <v>70</v>
      </c>
      <c r="K1" s="225" t="s">
        <v>71</v>
      </c>
      <c r="L1" s="225" t="s">
        <v>72</v>
      </c>
      <c r="M1" s="225" t="s">
        <v>73</v>
      </c>
      <c r="N1" s="225" t="s">
        <v>54</v>
      </c>
      <c r="O1" s="225" t="s">
        <v>55</v>
      </c>
      <c r="P1" s="225" t="s">
        <v>56</v>
      </c>
      <c r="Q1" s="225" t="s">
        <v>208</v>
      </c>
      <c r="R1" s="225" t="s">
        <v>68</v>
      </c>
      <c r="S1" s="225" t="s">
        <v>69</v>
      </c>
      <c r="T1" s="225" t="s">
        <v>70</v>
      </c>
      <c r="U1" s="225" t="s">
        <v>71</v>
      </c>
      <c r="V1" s="225" t="s">
        <v>72</v>
      </c>
      <c r="W1" s="225" t="s">
        <v>73</v>
      </c>
      <c r="X1" s="225" t="s">
        <v>74</v>
      </c>
      <c r="Y1" s="225" t="s">
        <v>222</v>
      </c>
      <c r="Z1" s="225" t="s">
        <v>223</v>
      </c>
      <c r="AA1" s="225" t="s">
        <v>224</v>
      </c>
      <c r="AB1" s="225" t="s">
        <v>225</v>
      </c>
      <c r="AC1" s="225" t="s">
        <v>142</v>
      </c>
      <c r="AD1" s="225" t="s">
        <v>143</v>
      </c>
      <c r="AE1" s="225" t="s">
        <v>144</v>
      </c>
      <c r="AF1" s="225" t="s">
        <v>145</v>
      </c>
      <c r="AG1" s="225" t="s">
        <v>146</v>
      </c>
      <c r="AH1" s="225" t="s">
        <v>147</v>
      </c>
      <c r="AI1" s="225" t="s">
        <v>148</v>
      </c>
      <c r="AJ1" s="225" t="s">
        <v>149</v>
      </c>
      <c r="AK1" s="225" t="s">
        <v>150</v>
      </c>
      <c r="AL1" s="225" t="s">
        <v>151</v>
      </c>
      <c r="AM1" s="225" t="s">
        <v>152</v>
      </c>
      <c r="AN1" s="225" t="s">
        <v>182</v>
      </c>
      <c r="AO1" s="225" t="s">
        <v>183</v>
      </c>
      <c r="AP1" s="225" t="s">
        <v>184</v>
      </c>
      <c r="AQ1" s="225" t="s">
        <v>185</v>
      </c>
      <c r="AR1" s="225" t="s">
        <v>186</v>
      </c>
      <c r="AS1" s="225" t="s">
        <v>187</v>
      </c>
      <c r="AT1" s="225" t="s">
        <v>188</v>
      </c>
      <c r="AU1" s="225" t="s">
        <v>189</v>
      </c>
      <c r="AV1" s="225" t="s">
        <v>190</v>
      </c>
      <c r="AW1" s="225" t="s">
        <v>191</v>
      </c>
      <c r="AX1" s="225" t="s">
        <v>196</v>
      </c>
      <c r="AY1" s="225" t="s">
        <v>197</v>
      </c>
    </row>
    <row r="2" spans="1:51">
      <c r="D2" s="226">
        <v>44227</v>
      </c>
      <c r="E2" s="226">
        <f t="shared" ref="E2:AY2" si="0">EOMONTH(D2,1)</f>
        <v>44255</v>
      </c>
      <c r="F2" s="226">
        <f t="shared" si="0"/>
        <v>44286</v>
      </c>
      <c r="G2" s="226">
        <f t="shared" si="0"/>
        <v>44316</v>
      </c>
      <c r="H2" s="226">
        <f t="shared" si="0"/>
        <v>44347</v>
      </c>
      <c r="I2" s="226">
        <f t="shared" si="0"/>
        <v>44377</v>
      </c>
      <c r="J2" s="226">
        <f t="shared" si="0"/>
        <v>44408</v>
      </c>
      <c r="K2" s="226">
        <f t="shared" si="0"/>
        <v>44439</v>
      </c>
      <c r="L2" s="226">
        <f t="shared" si="0"/>
        <v>44469</v>
      </c>
      <c r="M2" s="226">
        <f t="shared" si="0"/>
        <v>44500</v>
      </c>
      <c r="N2" s="226">
        <f>EOMONTH(M2,1)</f>
        <v>44530</v>
      </c>
      <c r="O2" s="226">
        <f t="shared" si="0"/>
        <v>44561</v>
      </c>
      <c r="P2" s="226">
        <f t="shared" si="0"/>
        <v>44592</v>
      </c>
      <c r="Q2" s="226">
        <f t="shared" si="0"/>
        <v>44620</v>
      </c>
      <c r="R2" s="226">
        <f t="shared" si="0"/>
        <v>44651</v>
      </c>
      <c r="S2" s="226">
        <f t="shared" si="0"/>
        <v>44681</v>
      </c>
      <c r="T2" s="226">
        <f t="shared" si="0"/>
        <v>44712</v>
      </c>
      <c r="U2" s="226">
        <f t="shared" si="0"/>
        <v>44742</v>
      </c>
      <c r="V2" s="226">
        <f t="shared" si="0"/>
        <v>44773</v>
      </c>
      <c r="W2" s="226">
        <f t="shared" si="0"/>
        <v>44804</v>
      </c>
      <c r="X2" s="226">
        <f t="shared" si="0"/>
        <v>44834</v>
      </c>
      <c r="Y2" s="226">
        <f t="shared" si="0"/>
        <v>44865</v>
      </c>
      <c r="Z2" s="226">
        <f t="shared" si="0"/>
        <v>44895</v>
      </c>
      <c r="AA2" s="226">
        <f t="shared" si="0"/>
        <v>44926</v>
      </c>
      <c r="AB2" s="226">
        <f t="shared" si="0"/>
        <v>44957</v>
      </c>
      <c r="AC2" s="226">
        <f t="shared" si="0"/>
        <v>44985</v>
      </c>
      <c r="AD2" s="226">
        <f t="shared" si="0"/>
        <v>45016</v>
      </c>
      <c r="AE2" s="226">
        <f t="shared" si="0"/>
        <v>45046</v>
      </c>
      <c r="AF2" s="226">
        <f t="shared" si="0"/>
        <v>45077</v>
      </c>
      <c r="AG2" s="226">
        <f t="shared" si="0"/>
        <v>45107</v>
      </c>
      <c r="AH2" s="226">
        <f t="shared" si="0"/>
        <v>45138</v>
      </c>
      <c r="AI2" s="226">
        <f t="shared" si="0"/>
        <v>45169</v>
      </c>
      <c r="AJ2" s="226">
        <f t="shared" si="0"/>
        <v>45199</v>
      </c>
      <c r="AK2" s="226">
        <f t="shared" si="0"/>
        <v>45230</v>
      </c>
      <c r="AL2" s="226">
        <f t="shared" si="0"/>
        <v>45260</v>
      </c>
      <c r="AM2" s="226">
        <f t="shared" si="0"/>
        <v>45291</v>
      </c>
      <c r="AN2" s="226">
        <f t="shared" si="0"/>
        <v>45322</v>
      </c>
      <c r="AO2" s="226">
        <f t="shared" si="0"/>
        <v>45351</v>
      </c>
      <c r="AP2" s="226">
        <f t="shared" si="0"/>
        <v>45382</v>
      </c>
      <c r="AQ2" s="226">
        <f t="shared" si="0"/>
        <v>45412</v>
      </c>
      <c r="AR2" s="226">
        <f t="shared" si="0"/>
        <v>45443</v>
      </c>
      <c r="AS2" s="226">
        <f t="shared" si="0"/>
        <v>45473</v>
      </c>
      <c r="AT2" s="226">
        <f t="shared" si="0"/>
        <v>45504</v>
      </c>
      <c r="AU2" s="226">
        <f t="shared" si="0"/>
        <v>45535</v>
      </c>
      <c r="AV2" s="226">
        <f t="shared" si="0"/>
        <v>45565</v>
      </c>
      <c r="AW2" s="226">
        <f t="shared" si="0"/>
        <v>45596</v>
      </c>
      <c r="AX2" s="226">
        <f t="shared" si="0"/>
        <v>45626</v>
      </c>
      <c r="AY2" s="226">
        <f t="shared" si="0"/>
        <v>45657</v>
      </c>
    </row>
    <row r="3" spans="1:51">
      <c r="A3" s="227"/>
      <c r="B3" s="224" t="s">
        <v>221</v>
      </c>
      <c r="C3" s="224" t="s">
        <v>31</v>
      </c>
    </row>
    <row r="4" spans="1:51" s="230" customFormat="1">
      <c r="A4" s="228">
        <v>1</v>
      </c>
      <c r="B4" s="229">
        <v>85087</v>
      </c>
      <c r="C4" s="229" t="s">
        <v>218</v>
      </c>
      <c r="K4" s="231"/>
      <c r="M4" s="231"/>
      <c r="N4" s="232">
        <f>-'Calc - Services'!M9</f>
        <v>49212.639999999999</v>
      </c>
      <c r="P4" s="232">
        <v>0</v>
      </c>
      <c r="AK4" s="232"/>
      <c r="AL4" s="232">
        <f>-'Calc - Services'!AK8</f>
        <v>0</v>
      </c>
    </row>
    <row r="5" spans="1:51">
      <c r="A5" s="233"/>
      <c r="B5" s="233"/>
      <c r="K5" s="231"/>
      <c r="M5" s="231"/>
    </row>
    <row r="6" spans="1:51" ht="13.5" thickBot="1">
      <c r="A6" s="233">
        <v>2</v>
      </c>
      <c r="B6" s="233"/>
      <c r="C6" s="224" t="s">
        <v>32</v>
      </c>
      <c r="D6" s="234">
        <f t="shared" ref="D6:AY6" si="1">SUM(D4:D5)</f>
        <v>0</v>
      </c>
      <c r="E6" s="234">
        <f t="shared" si="1"/>
        <v>0</v>
      </c>
      <c r="F6" s="234">
        <f t="shared" si="1"/>
        <v>0</v>
      </c>
      <c r="G6" s="234">
        <f t="shared" si="1"/>
        <v>0</v>
      </c>
      <c r="H6" s="234">
        <f t="shared" si="1"/>
        <v>0</v>
      </c>
      <c r="I6" s="234">
        <f t="shared" si="1"/>
        <v>0</v>
      </c>
      <c r="J6" s="234">
        <f t="shared" si="1"/>
        <v>0</v>
      </c>
      <c r="K6" s="234">
        <f t="shared" si="1"/>
        <v>0</v>
      </c>
      <c r="L6" s="234">
        <f t="shared" si="1"/>
        <v>0</v>
      </c>
      <c r="M6" s="234">
        <f t="shared" si="1"/>
        <v>0</v>
      </c>
      <c r="N6" s="234">
        <f t="shared" si="1"/>
        <v>49212.639999999999</v>
      </c>
      <c r="O6" s="234">
        <f t="shared" si="1"/>
        <v>0</v>
      </c>
      <c r="P6" s="234">
        <f t="shared" si="1"/>
        <v>0</v>
      </c>
      <c r="Q6" s="234">
        <f t="shared" si="1"/>
        <v>0</v>
      </c>
      <c r="R6" s="234">
        <f t="shared" si="1"/>
        <v>0</v>
      </c>
      <c r="S6" s="234">
        <f t="shared" si="1"/>
        <v>0</v>
      </c>
      <c r="T6" s="234">
        <f t="shared" si="1"/>
        <v>0</v>
      </c>
      <c r="U6" s="234">
        <f t="shared" si="1"/>
        <v>0</v>
      </c>
      <c r="V6" s="234">
        <f t="shared" si="1"/>
        <v>0</v>
      </c>
      <c r="W6" s="234">
        <f t="shared" si="1"/>
        <v>0</v>
      </c>
      <c r="X6" s="234">
        <f t="shared" si="1"/>
        <v>0</v>
      </c>
      <c r="Y6" s="234">
        <f t="shared" si="1"/>
        <v>0</v>
      </c>
      <c r="Z6" s="234">
        <f t="shared" si="1"/>
        <v>0</v>
      </c>
      <c r="AA6" s="234">
        <f t="shared" si="1"/>
        <v>0</v>
      </c>
      <c r="AB6" s="234">
        <f t="shared" si="1"/>
        <v>0</v>
      </c>
      <c r="AC6" s="234">
        <f t="shared" si="1"/>
        <v>0</v>
      </c>
      <c r="AD6" s="234">
        <f t="shared" si="1"/>
        <v>0</v>
      </c>
      <c r="AE6" s="234">
        <f t="shared" si="1"/>
        <v>0</v>
      </c>
      <c r="AF6" s="234">
        <f t="shared" si="1"/>
        <v>0</v>
      </c>
      <c r="AG6" s="234">
        <f t="shared" si="1"/>
        <v>0</v>
      </c>
      <c r="AH6" s="234">
        <f t="shared" si="1"/>
        <v>0</v>
      </c>
      <c r="AI6" s="234">
        <f t="shared" si="1"/>
        <v>0</v>
      </c>
      <c r="AJ6" s="234">
        <f t="shared" si="1"/>
        <v>0</v>
      </c>
      <c r="AK6" s="234">
        <f t="shared" si="1"/>
        <v>0</v>
      </c>
      <c r="AL6" s="234">
        <f t="shared" si="1"/>
        <v>0</v>
      </c>
      <c r="AM6" s="234">
        <f t="shared" si="1"/>
        <v>0</v>
      </c>
      <c r="AN6" s="234">
        <f t="shared" si="1"/>
        <v>0</v>
      </c>
      <c r="AO6" s="234">
        <f t="shared" si="1"/>
        <v>0</v>
      </c>
      <c r="AP6" s="234">
        <f t="shared" si="1"/>
        <v>0</v>
      </c>
      <c r="AQ6" s="234">
        <f t="shared" si="1"/>
        <v>0</v>
      </c>
      <c r="AR6" s="234">
        <f t="shared" si="1"/>
        <v>0</v>
      </c>
      <c r="AS6" s="234">
        <f t="shared" si="1"/>
        <v>0</v>
      </c>
      <c r="AT6" s="234">
        <f t="shared" si="1"/>
        <v>0</v>
      </c>
      <c r="AU6" s="234">
        <f t="shared" si="1"/>
        <v>0</v>
      </c>
      <c r="AV6" s="234">
        <f t="shared" si="1"/>
        <v>0</v>
      </c>
      <c r="AW6" s="234">
        <f t="shared" si="1"/>
        <v>0</v>
      </c>
      <c r="AX6" s="234">
        <f t="shared" si="1"/>
        <v>0</v>
      </c>
      <c r="AY6" s="234">
        <f t="shared" si="1"/>
        <v>0</v>
      </c>
    </row>
    <row r="7" spans="1:51" s="235" customFormat="1" ht="13.5" thickTop="1">
      <c r="A7" s="233">
        <v>3</v>
      </c>
      <c r="B7" s="233"/>
      <c r="C7" s="235" t="s">
        <v>160</v>
      </c>
      <c r="K7" s="231"/>
      <c r="M7" s="231"/>
      <c r="P7" s="231"/>
    </row>
    <row r="8" spans="1:51">
      <c r="A8" s="233"/>
      <c r="B8" s="233"/>
    </row>
    <row r="9" spans="1:51">
      <c r="A9" s="233">
        <v>4</v>
      </c>
      <c r="B9" s="233"/>
      <c r="C9" s="224" t="s">
        <v>33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>
        <f>M9+N6</f>
        <v>49212.639999999999</v>
      </c>
      <c r="O9" s="236">
        <f t="shared" ref="O9:AY9" si="2">N9+O6</f>
        <v>49212.639999999999</v>
      </c>
      <c r="P9" s="236">
        <f t="shared" si="2"/>
        <v>49212.639999999999</v>
      </c>
      <c r="Q9" s="236">
        <f t="shared" si="2"/>
        <v>49212.639999999999</v>
      </c>
      <c r="R9" s="236">
        <f t="shared" si="2"/>
        <v>49212.639999999999</v>
      </c>
      <c r="S9" s="236">
        <f t="shared" si="2"/>
        <v>49212.639999999999</v>
      </c>
      <c r="T9" s="236">
        <f t="shared" si="2"/>
        <v>49212.639999999999</v>
      </c>
      <c r="U9" s="236">
        <f t="shared" si="2"/>
        <v>49212.639999999999</v>
      </c>
      <c r="V9" s="236">
        <f t="shared" si="2"/>
        <v>49212.639999999999</v>
      </c>
      <c r="W9" s="236">
        <f t="shared" si="2"/>
        <v>49212.639999999999</v>
      </c>
      <c r="X9" s="236">
        <f t="shared" si="2"/>
        <v>49212.639999999999</v>
      </c>
      <c r="Y9" s="236">
        <f t="shared" si="2"/>
        <v>49212.639999999999</v>
      </c>
      <c r="Z9" s="236">
        <f t="shared" si="2"/>
        <v>49212.639999999999</v>
      </c>
      <c r="AA9" s="236">
        <f t="shared" si="2"/>
        <v>49212.639999999999</v>
      </c>
      <c r="AB9" s="236">
        <f t="shared" si="2"/>
        <v>49212.639999999999</v>
      </c>
      <c r="AC9" s="236">
        <f t="shared" si="2"/>
        <v>49212.639999999999</v>
      </c>
      <c r="AD9" s="236">
        <f t="shared" si="2"/>
        <v>49212.639999999999</v>
      </c>
      <c r="AE9" s="236">
        <f t="shared" si="2"/>
        <v>49212.639999999999</v>
      </c>
      <c r="AF9" s="236">
        <f t="shared" si="2"/>
        <v>49212.639999999999</v>
      </c>
      <c r="AG9" s="236">
        <f t="shared" si="2"/>
        <v>49212.639999999999</v>
      </c>
      <c r="AH9" s="236">
        <f t="shared" si="2"/>
        <v>49212.639999999999</v>
      </c>
      <c r="AI9" s="236">
        <f t="shared" si="2"/>
        <v>49212.639999999999</v>
      </c>
      <c r="AJ9" s="236">
        <f t="shared" si="2"/>
        <v>49212.639999999999</v>
      </c>
      <c r="AK9" s="236">
        <f t="shared" si="2"/>
        <v>49212.639999999999</v>
      </c>
      <c r="AL9" s="236">
        <f t="shared" si="2"/>
        <v>49212.639999999999</v>
      </c>
      <c r="AM9" s="236">
        <f t="shared" si="2"/>
        <v>49212.639999999999</v>
      </c>
      <c r="AN9" s="236">
        <f t="shared" si="2"/>
        <v>49212.639999999999</v>
      </c>
      <c r="AO9" s="236">
        <f t="shared" si="2"/>
        <v>49212.639999999999</v>
      </c>
      <c r="AP9" s="236">
        <f t="shared" si="2"/>
        <v>49212.639999999999</v>
      </c>
      <c r="AQ9" s="236">
        <f t="shared" si="2"/>
        <v>49212.639999999999</v>
      </c>
      <c r="AR9" s="236">
        <f t="shared" si="2"/>
        <v>49212.639999999999</v>
      </c>
      <c r="AS9" s="236">
        <f t="shared" si="2"/>
        <v>49212.639999999999</v>
      </c>
      <c r="AT9" s="236">
        <f t="shared" si="2"/>
        <v>49212.639999999999</v>
      </c>
      <c r="AU9" s="236">
        <f t="shared" si="2"/>
        <v>49212.639999999999</v>
      </c>
      <c r="AV9" s="236">
        <f t="shared" si="2"/>
        <v>49212.639999999999</v>
      </c>
      <c r="AW9" s="236">
        <f t="shared" si="2"/>
        <v>49212.639999999999</v>
      </c>
      <c r="AX9" s="236">
        <f t="shared" si="2"/>
        <v>49212.639999999999</v>
      </c>
      <c r="AY9" s="236">
        <f t="shared" si="2"/>
        <v>49212.639999999999</v>
      </c>
    </row>
    <row r="10" spans="1:51">
      <c r="A10" s="233">
        <v>5</v>
      </c>
      <c r="B10" s="233"/>
      <c r="C10" s="224" t="s">
        <v>33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>
        <f>M10+N6</f>
        <v>49212.639999999999</v>
      </c>
      <c r="O10" s="236">
        <f t="shared" ref="O10:AY10" si="3">N10+O6</f>
        <v>49212.639999999999</v>
      </c>
      <c r="P10" s="236">
        <f t="shared" si="3"/>
        <v>49212.639999999999</v>
      </c>
      <c r="Q10" s="236">
        <f t="shared" si="3"/>
        <v>49212.639999999999</v>
      </c>
      <c r="R10" s="236">
        <f t="shared" si="3"/>
        <v>49212.639999999999</v>
      </c>
      <c r="S10" s="236">
        <f t="shared" si="3"/>
        <v>49212.639999999999</v>
      </c>
      <c r="T10" s="236">
        <f t="shared" si="3"/>
        <v>49212.639999999999</v>
      </c>
      <c r="U10" s="236">
        <f t="shared" si="3"/>
        <v>49212.639999999999</v>
      </c>
      <c r="V10" s="236">
        <f t="shared" si="3"/>
        <v>49212.639999999999</v>
      </c>
      <c r="W10" s="236">
        <f t="shared" si="3"/>
        <v>49212.639999999999</v>
      </c>
      <c r="X10" s="236">
        <f t="shared" si="3"/>
        <v>49212.639999999999</v>
      </c>
      <c r="Y10" s="236">
        <f t="shared" si="3"/>
        <v>49212.639999999999</v>
      </c>
      <c r="Z10" s="236">
        <f t="shared" si="3"/>
        <v>49212.639999999999</v>
      </c>
      <c r="AA10" s="236">
        <f t="shared" si="3"/>
        <v>49212.639999999999</v>
      </c>
      <c r="AB10" s="236">
        <f t="shared" si="3"/>
        <v>49212.639999999999</v>
      </c>
      <c r="AC10" s="236">
        <f t="shared" si="3"/>
        <v>49212.639999999999</v>
      </c>
      <c r="AD10" s="236">
        <f t="shared" si="3"/>
        <v>49212.639999999999</v>
      </c>
      <c r="AE10" s="236">
        <f t="shared" si="3"/>
        <v>49212.639999999999</v>
      </c>
      <c r="AF10" s="236">
        <f t="shared" si="3"/>
        <v>49212.639999999999</v>
      </c>
      <c r="AG10" s="236">
        <f t="shared" si="3"/>
        <v>49212.639999999999</v>
      </c>
      <c r="AH10" s="236">
        <f t="shared" si="3"/>
        <v>49212.639999999999</v>
      </c>
      <c r="AI10" s="236">
        <f t="shared" si="3"/>
        <v>49212.639999999999</v>
      </c>
      <c r="AJ10" s="236">
        <f t="shared" si="3"/>
        <v>49212.639999999999</v>
      </c>
      <c r="AK10" s="236">
        <f t="shared" si="3"/>
        <v>49212.639999999999</v>
      </c>
      <c r="AL10" s="236">
        <f t="shared" si="3"/>
        <v>49212.639999999999</v>
      </c>
      <c r="AM10" s="236">
        <f t="shared" si="3"/>
        <v>49212.639999999999</v>
      </c>
      <c r="AN10" s="236">
        <f t="shared" si="3"/>
        <v>49212.639999999999</v>
      </c>
      <c r="AO10" s="236">
        <f t="shared" si="3"/>
        <v>49212.639999999999</v>
      </c>
      <c r="AP10" s="236">
        <f t="shared" si="3"/>
        <v>49212.639999999999</v>
      </c>
      <c r="AQ10" s="236">
        <f t="shared" si="3"/>
        <v>49212.639999999999</v>
      </c>
      <c r="AR10" s="236">
        <f t="shared" si="3"/>
        <v>49212.639999999999</v>
      </c>
      <c r="AS10" s="236">
        <f t="shared" si="3"/>
        <v>49212.639999999999</v>
      </c>
      <c r="AT10" s="236">
        <f t="shared" si="3"/>
        <v>49212.639999999999</v>
      </c>
      <c r="AU10" s="236">
        <f t="shared" si="3"/>
        <v>49212.639999999999</v>
      </c>
      <c r="AV10" s="236">
        <f t="shared" si="3"/>
        <v>49212.639999999999</v>
      </c>
      <c r="AW10" s="236">
        <f t="shared" si="3"/>
        <v>49212.639999999999</v>
      </c>
      <c r="AX10" s="236">
        <f t="shared" si="3"/>
        <v>49212.639999999999</v>
      </c>
      <c r="AY10" s="236">
        <f t="shared" si="3"/>
        <v>49212.639999999999</v>
      </c>
    </row>
    <row r="11" spans="1:51">
      <c r="A11" s="233">
        <v>6</v>
      </c>
      <c r="B11" s="233"/>
      <c r="C11" s="224" t="s">
        <v>34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>
        <f t="shared" ref="N11:Z11" si="4">0.0305/12</f>
        <v>2.5416666666666665E-3</v>
      </c>
      <c r="O11" s="237">
        <f t="shared" si="4"/>
        <v>2.5416666666666665E-3</v>
      </c>
      <c r="P11" s="237">
        <f t="shared" si="4"/>
        <v>2.5416666666666665E-3</v>
      </c>
      <c r="Q11" s="237">
        <f t="shared" si="4"/>
        <v>2.5416666666666665E-3</v>
      </c>
      <c r="R11" s="237">
        <f t="shared" si="4"/>
        <v>2.5416666666666665E-3</v>
      </c>
      <c r="S11" s="237">
        <f t="shared" si="4"/>
        <v>2.5416666666666665E-3</v>
      </c>
      <c r="T11" s="237">
        <f t="shared" si="4"/>
        <v>2.5416666666666665E-3</v>
      </c>
      <c r="U11" s="237">
        <f t="shared" si="4"/>
        <v>2.5416666666666665E-3</v>
      </c>
      <c r="V11" s="237">
        <f t="shared" si="4"/>
        <v>2.5416666666666665E-3</v>
      </c>
      <c r="W11" s="237">
        <f t="shared" si="4"/>
        <v>2.5416666666666665E-3</v>
      </c>
      <c r="X11" s="237">
        <f t="shared" si="4"/>
        <v>2.5416666666666665E-3</v>
      </c>
      <c r="Y11" s="237">
        <f t="shared" si="4"/>
        <v>2.5416666666666665E-3</v>
      </c>
      <c r="Z11" s="237">
        <f t="shared" si="4"/>
        <v>2.5416666666666665E-3</v>
      </c>
      <c r="AA11" s="237">
        <f>0.0305/12</f>
        <v>2.5416666666666665E-3</v>
      </c>
      <c r="AB11" s="237">
        <f t="shared" ref="AB11:AY11" si="5">0.0305/12</f>
        <v>2.5416666666666665E-3</v>
      </c>
      <c r="AC11" s="237">
        <f t="shared" si="5"/>
        <v>2.5416666666666665E-3</v>
      </c>
      <c r="AD11" s="237">
        <f t="shared" si="5"/>
        <v>2.5416666666666665E-3</v>
      </c>
      <c r="AE11" s="237">
        <f t="shared" si="5"/>
        <v>2.5416666666666665E-3</v>
      </c>
      <c r="AF11" s="237">
        <f t="shared" si="5"/>
        <v>2.5416666666666665E-3</v>
      </c>
      <c r="AG11" s="237">
        <f t="shared" si="5"/>
        <v>2.5416666666666665E-3</v>
      </c>
      <c r="AH11" s="237">
        <f t="shared" si="5"/>
        <v>2.5416666666666665E-3</v>
      </c>
      <c r="AI11" s="237">
        <f t="shared" si="5"/>
        <v>2.5416666666666665E-3</v>
      </c>
      <c r="AJ11" s="237">
        <f t="shared" si="5"/>
        <v>2.5416666666666665E-3</v>
      </c>
      <c r="AK11" s="237">
        <f t="shared" si="5"/>
        <v>2.5416666666666665E-3</v>
      </c>
      <c r="AL11" s="237">
        <f t="shared" si="5"/>
        <v>2.5416666666666665E-3</v>
      </c>
      <c r="AM11" s="237">
        <f t="shared" si="5"/>
        <v>2.5416666666666665E-3</v>
      </c>
      <c r="AN11" s="237">
        <f t="shared" si="5"/>
        <v>2.5416666666666665E-3</v>
      </c>
      <c r="AO11" s="237">
        <f t="shared" si="5"/>
        <v>2.5416666666666665E-3</v>
      </c>
      <c r="AP11" s="237">
        <f t="shared" si="5"/>
        <v>2.5416666666666665E-3</v>
      </c>
      <c r="AQ11" s="237">
        <f t="shared" si="5"/>
        <v>2.5416666666666665E-3</v>
      </c>
      <c r="AR11" s="237">
        <f t="shared" si="5"/>
        <v>2.5416666666666665E-3</v>
      </c>
      <c r="AS11" s="237">
        <f t="shared" si="5"/>
        <v>2.5416666666666665E-3</v>
      </c>
      <c r="AT11" s="237">
        <f t="shared" si="5"/>
        <v>2.5416666666666665E-3</v>
      </c>
      <c r="AU11" s="237">
        <f t="shared" si="5"/>
        <v>2.5416666666666665E-3</v>
      </c>
      <c r="AV11" s="237">
        <f t="shared" si="5"/>
        <v>2.5416666666666665E-3</v>
      </c>
      <c r="AW11" s="237">
        <f t="shared" si="5"/>
        <v>2.5416666666666665E-3</v>
      </c>
      <c r="AX11" s="237">
        <f t="shared" si="5"/>
        <v>2.5416666666666665E-3</v>
      </c>
      <c r="AY11" s="237">
        <f t="shared" si="5"/>
        <v>2.5416666666666665E-3</v>
      </c>
    </row>
    <row r="12" spans="1:51">
      <c r="A12" s="233">
        <v>7</v>
      </c>
      <c r="B12" s="233"/>
      <c r="C12" s="224" t="s">
        <v>35</v>
      </c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>
        <f t="shared" ref="N12:AY12" si="6">N10*N11</f>
        <v>125.08212666666665</v>
      </c>
      <c r="O12" s="238">
        <f t="shared" si="6"/>
        <v>125.08212666666665</v>
      </c>
      <c r="P12" s="238">
        <f t="shared" si="6"/>
        <v>125.08212666666665</v>
      </c>
      <c r="Q12" s="238">
        <f t="shared" si="6"/>
        <v>125.08212666666665</v>
      </c>
      <c r="R12" s="238">
        <f t="shared" si="6"/>
        <v>125.08212666666665</v>
      </c>
      <c r="S12" s="238">
        <f t="shared" si="6"/>
        <v>125.08212666666665</v>
      </c>
      <c r="T12" s="238">
        <f t="shared" si="6"/>
        <v>125.08212666666665</v>
      </c>
      <c r="U12" s="238">
        <f t="shared" si="6"/>
        <v>125.08212666666665</v>
      </c>
      <c r="V12" s="238">
        <f t="shared" si="6"/>
        <v>125.08212666666665</v>
      </c>
      <c r="W12" s="238">
        <f t="shared" si="6"/>
        <v>125.08212666666665</v>
      </c>
      <c r="X12" s="238">
        <f t="shared" si="6"/>
        <v>125.08212666666665</v>
      </c>
      <c r="Y12" s="238">
        <f t="shared" si="6"/>
        <v>125.08212666666665</v>
      </c>
      <c r="Z12" s="238">
        <f t="shared" si="6"/>
        <v>125.08212666666665</v>
      </c>
      <c r="AA12" s="238">
        <f t="shared" si="6"/>
        <v>125.08212666666665</v>
      </c>
      <c r="AB12" s="238">
        <f t="shared" si="6"/>
        <v>125.08212666666665</v>
      </c>
      <c r="AC12" s="238">
        <f t="shared" si="6"/>
        <v>125.08212666666665</v>
      </c>
      <c r="AD12" s="238">
        <f t="shared" si="6"/>
        <v>125.08212666666665</v>
      </c>
      <c r="AE12" s="238">
        <f t="shared" si="6"/>
        <v>125.08212666666665</v>
      </c>
      <c r="AF12" s="238">
        <f t="shared" si="6"/>
        <v>125.08212666666665</v>
      </c>
      <c r="AG12" s="238">
        <f t="shared" si="6"/>
        <v>125.08212666666665</v>
      </c>
      <c r="AH12" s="238">
        <f t="shared" si="6"/>
        <v>125.08212666666665</v>
      </c>
      <c r="AI12" s="238">
        <f t="shared" si="6"/>
        <v>125.08212666666665</v>
      </c>
      <c r="AJ12" s="238">
        <f t="shared" si="6"/>
        <v>125.08212666666665</v>
      </c>
      <c r="AK12" s="238">
        <f t="shared" si="6"/>
        <v>125.08212666666665</v>
      </c>
      <c r="AL12" s="238">
        <f t="shared" si="6"/>
        <v>125.08212666666665</v>
      </c>
      <c r="AM12" s="238">
        <f t="shared" si="6"/>
        <v>125.08212666666665</v>
      </c>
      <c r="AN12" s="238">
        <f t="shared" si="6"/>
        <v>125.08212666666665</v>
      </c>
      <c r="AO12" s="238">
        <f t="shared" si="6"/>
        <v>125.08212666666665</v>
      </c>
      <c r="AP12" s="238">
        <f t="shared" si="6"/>
        <v>125.08212666666665</v>
      </c>
      <c r="AQ12" s="238">
        <f t="shared" si="6"/>
        <v>125.08212666666665</v>
      </c>
      <c r="AR12" s="238">
        <f t="shared" si="6"/>
        <v>125.08212666666665</v>
      </c>
      <c r="AS12" s="238">
        <f t="shared" si="6"/>
        <v>125.08212666666665</v>
      </c>
      <c r="AT12" s="238">
        <f t="shared" si="6"/>
        <v>125.08212666666665</v>
      </c>
      <c r="AU12" s="238">
        <f t="shared" si="6"/>
        <v>125.08212666666665</v>
      </c>
      <c r="AV12" s="238">
        <f t="shared" si="6"/>
        <v>125.08212666666665</v>
      </c>
      <c r="AW12" s="238">
        <f t="shared" si="6"/>
        <v>125.08212666666665</v>
      </c>
      <c r="AX12" s="238">
        <f t="shared" si="6"/>
        <v>125.08212666666665</v>
      </c>
      <c r="AY12" s="238">
        <f t="shared" si="6"/>
        <v>125.08212666666665</v>
      </c>
    </row>
    <row r="13" spans="1:51">
      <c r="A13" s="233">
        <v>8</v>
      </c>
      <c r="B13" s="233"/>
      <c r="C13" s="224" t="s">
        <v>140</v>
      </c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>
        <f>'Calc - Services'!M27</f>
        <v>154.19960533333332</v>
      </c>
      <c r="O13" s="236">
        <f>'Calc - Services'!N27</f>
        <v>154.19960533333332</v>
      </c>
      <c r="P13" s="236">
        <f>'Calc - Services'!O27</f>
        <v>296.09605066666666</v>
      </c>
      <c r="Q13" s="236">
        <f>'Calc - Services'!P27</f>
        <v>296.09605066666666</v>
      </c>
      <c r="R13" s="236">
        <f>'Calc - Services'!Q27</f>
        <v>296.09605066666666</v>
      </c>
      <c r="S13" s="236">
        <f>'Calc - Services'!R27</f>
        <v>296.09605066666666</v>
      </c>
      <c r="T13" s="236">
        <f>'Calc - Services'!S27</f>
        <v>296.09605066666666</v>
      </c>
      <c r="U13" s="236">
        <f>'Calc - Services'!T27</f>
        <v>296.09605066666666</v>
      </c>
      <c r="V13" s="236">
        <f>'Calc - Services'!U27</f>
        <v>296.09605066666666</v>
      </c>
      <c r="W13" s="236">
        <f>'Calc - Services'!V27</f>
        <v>296.09605066666666</v>
      </c>
      <c r="X13" s="236">
        <f>'Calc - Services'!W27</f>
        <v>296.09605066666666</v>
      </c>
      <c r="Y13" s="236">
        <f>'Calc - Services'!X27</f>
        <v>296.09605066666666</v>
      </c>
      <c r="Z13" s="236">
        <f>'Calc - Services'!Y27</f>
        <v>296.09605066666666</v>
      </c>
      <c r="AA13" s="236">
        <f>'Calc - Services'!Z27</f>
        <v>296.09605066666666</v>
      </c>
      <c r="AB13" s="236">
        <f>'Calc - Services'!AA27</f>
        <v>273.95036266666665</v>
      </c>
      <c r="AC13" s="236">
        <f>'Calc - Services'!AB27</f>
        <v>273.95036266666665</v>
      </c>
      <c r="AD13" s="236">
        <f>'Calc - Services'!AC27</f>
        <v>273.95036266666665</v>
      </c>
      <c r="AE13" s="236">
        <f>'Calc - Services'!AD27</f>
        <v>273.95036266666665</v>
      </c>
      <c r="AF13" s="236">
        <f>'Calc - Services'!AE27</f>
        <v>273.95036266666665</v>
      </c>
      <c r="AG13" s="236">
        <f>'Calc - Services'!AF27</f>
        <v>273.95036266666665</v>
      </c>
      <c r="AH13" s="236">
        <f>'Calc - Services'!AG27</f>
        <v>273.95036266666665</v>
      </c>
      <c r="AI13" s="236">
        <f>'Calc - Services'!AH27</f>
        <v>273.95036266666665</v>
      </c>
      <c r="AJ13" s="236">
        <f>'Calc - Services'!AI27</f>
        <v>273.95036266666665</v>
      </c>
      <c r="AK13" s="236">
        <f>'Calc - Services'!AJ27</f>
        <v>273.95036266666665</v>
      </c>
      <c r="AL13" s="236">
        <f>'Calc - Services'!AK27</f>
        <v>273.95036266666665</v>
      </c>
      <c r="AM13" s="236">
        <f>'Calc - Services'!AL27</f>
        <v>273.95036266666665</v>
      </c>
      <c r="AN13" s="236">
        <f>'Calc - Services'!AM27</f>
        <v>253.44509600000001</v>
      </c>
      <c r="AO13" s="236">
        <f>'Calc - Services'!AN27</f>
        <v>253.44509600000001</v>
      </c>
      <c r="AP13" s="236">
        <f>'Calc - Services'!AO27</f>
        <v>253.44509600000001</v>
      </c>
      <c r="AQ13" s="236">
        <f>'Calc - Services'!AP27</f>
        <v>253.44509600000001</v>
      </c>
      <c r="AR13" s="236">
        <f>'Calc - Services'!AQ27</f>
        <v>253.44509600000001</v>
      </c>
      <c r="AS13" s="236">
        <f>'Calc - Services'!AR27</f>
        <v>253.44509600000001</v>
      </c>
      <c r="AT13" s="236">
        <f>'Calc - Services'!AS27</f>
        <v>253.44509600000001</v>
      </c>
      <c r="AU13" s="236">
        <f>'Calc - Services'!AT27</f>
        <v>253.44509600000001</v>
      </c>
      <c r="AV13" s="236">
        <f>'Calc - Services'!AU27</f>
        <v>253.44509600000001</v>
      </c>
      <c r="AW13" s="236">
        <f>'Calc - Services'!AV27</f>
        <v>253.44509600000001</v>
      </c>
      <c r="AX13" s="236">
        <f>'Calc - Services'!AW27</f>
        <v>253.44509600000001</v>
      </c>
      <c r="AY13" s="236">
        <f>'Calc - Services'!AX27</f>
        <v>253.44509600000001</v>
      </c>
    </row>
    <row r="14" spans="1:51">
      <c r="A14" s="233">
        <v>9</v>
      </c>
      <c r="B14" s="233"/>
      <c r="C14" s="224" t="s">
        <v>37</v>
      </c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>
        <f t="shared" ref="N14:AY14" si="7">N12-N13</f>
        <v>-29.117478666666671</v>
      </c>
      <c r="O14" s="236">
        <f t="shared" si="7"/>
        <v>-29.117478666666671</v>
      </c>
      <c r="P14" s="236">
        <f t="shared" si="7"/>
        <v>-171.013924</v>
      </c>
      <c r="Q14" s="236">
        <f t="shared" si="7"/>
        <v>-171.013924</v>
      </c>
      <c r="R14" s="236">
        <f t="shared" si="7"/>
        <v>-171.013924</v>
      </c>
      <c r="S14" s="236">
        <f t="shared" si="7"/>
        <v>-171.013924</v>
      </c>
      <c r="T14" s="236">
        <f t="shared" si="7"/>
        <v>-171.013924</v>
      </c>
      <c r="U14" s="236">
        <f t="shared" si="7"/>
        <v>-171.013924</v>
      </c>
      <c r="V14" s="236">
        <f t="shared" si="7"/>
        <v>-171.013924</v>
      </c>
      <c r="W14" s="236">
        <f t="shared" si="7"/>
        <v>-171.013924</v>
      </c>
      <c r="X14" s="236">
        <f t="shared" si="7"/>
        <v>-171.013924</v>
      </c>
      <c r="Y14" s="236">
        <f t="shared" si="7"/>
        <v>-171.013924</v>
      </c>
      <c r="Z14" s="236">
        <f t="shared" si="7"/>
        <v>-171.013924</v>
      </c>
      <c r="AA14" s="236">
        <f t="shared" si="7"/>
        <v>-171.013924</v>
      </c>
      <c r="AB14" s="236">
        <f t="shared" si="7"/>
        <v>-148.868236</v>
      </c>
      <c r="AC14" s="236">
        <f t="shared" si="7"/>
        <v>-148.868236</v>
      </c>
      <c r="AD14" s="236">
        <f t="shared" si="7"/>
        <v>-148.868236</v>
      </c>
      <c r="AE14" s="236">
        <f t="shared" si="7"/>
        <v>-148.868236</v>
      </c>
      <c r="AF14" s="236">
        <f t="shared" si="7"/>
        <v>-148.868236</v>
      </c>
      <c r="AG14" s="236">
        <f t="shared" si="7"/>
        <v>-148.868236</v>
      </c>
      <c r="AH14" s="236">
        <f t="shared" si="7"/>
        <v>-148.868236</v>
      </c>
      <c r="AI14" s="236">
        <f t="shared" si="7"/>
        <v>-148.868236</v>
      </c>
      <c r="AJ14" s="236">
        <f t="shared" si="7"/>
        <v>-148.868236</v>
      </c>
      <c r="AK14" s="236">
        <f t="shared" si="7"/>
        <v>-148.868236</v>
      </c>
      <c r="AL14" s="236">
        <f t="shared" si="7"/>
        <v>-148.868236</v>
      </c>
      <c r="AM14" s="236">
        <f t="shared" si="7"/>
        <v>-148.868236</v>
      </c>
      <c r="AN14" s="236">
        <f t="shared" si="7"/>
        <v>-128.36296933333335</v>
      </c>
      <c r="AO14" s="236">
        <f t="shared" si="7"/>
        <v>-128.36296933333335</v>
      </c>
      <c r="AP14" s="236">
        <f t="shared" si="7"/>
        <v>-128.36296933333335</v>
      </c>
      <c r="AQ14" s="236">
        <f t="shared" si="7"/>
        <v>-128.36296933333335</v>
      </c>
      <c r="AR14" s="236">
        <f t="shared" si="7"/>
        <v>-128.36296933333335</v>
      </c>
      <c r="AS14" s="236">
        <f t="shared" si="7"/>
        <v>-128.36296933333335</v>
      </c>
      <c r="AT14" s="236">
        <f t="shared" si="7"/>
        <v>-128.36296933333335</v>
      </c>
      <c r="AU14" s="236">
        <f t="shared" si="7"/>
        <v>-128.36296933333335</v>
      </c>
      <c r="AV14" s="236">
        <f t="shared" si="7"/>
        <v>-128.36296933333335</v>
      </c>
      <c r="AW14" s="236">
        <f t="shared" si="7"/>
        <v>-128.36296933333335</v>
      </c>
      <c r="AX14" s="236">
        <f t="shared" si="7"/>
        <v>-128.36296933333335</v>
      </c>
      <c r="AY14" s="236">
        <f t="shared" si="7"/>
        <v>-128.36296933333335</v>
      </c>
    </row>
    <row r="15" spans="1:51">
      <c r="A15" s="233">
        <v>10</v>
      </c>
      <c r="B15" s="233"/>
      <c r="C15" s="224" t="s">
        <v>141</v>
      </c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>
        <f>-'Calc - Services'!M31</f>
        <v>-7.1978407264000008</v>
      </c>
      <c r="O15" s="236">
        <f>-'Calc - Services'!N$31</f>
        <v>-7.1978407264000008</v>
      </c>
      <c r="P15" s="236">
        <f>-'Calc - Services'!O$31</f>
        <v>-42.274642012800001</v>
      </c>
      <c r="Q15" s="236">
        <f>-'Calc - Services'!P$34</f>
        <v>-38.684192965137534</v>
      </c>
      <c r="R15" s="236">
        <f>-'Calc - Services'!Q$34</f>
        <v>-35.441206728539179</v>
      </c>
      <c r="S15" s="236">
        <f>-'Calc - Services'!R$34</f>
        <v>-31.850757680876715</v>
      </c>
      <c r="T15" s="236">
        <f>-'Calc - Services'!S$34</f>
        <v>-28.376129570235619</v>
      </c>
      <c r="U15" s="236">
        <f>-'Calc - Services'!T$34</f>
        <v>-24.785680522573152</v>
      </c>
      <c r="V15" s="236">
        <f>-'Calc - Services'!U$34</f>
        <v>-21.311052411932057</v>
      </c>
      <c r="W15" s="236">
        <f>-'Calc - Services'!V$34</f>
        <v>-17.720603364269589</v>
      </c>
      <c r="X15" s="236">
        <f>-'Calc - Services'!W$34</f>
        <v>-14.130154316607124</v>
      </c>
      <c r="Y15" s="236">
        <f>-'Calc - Services'!X$34</f>
        <v>-10.655526205966028</v>
      </c>
      <c r="Z15" s="236">
        <f>-'Calc - Services'!Y$34</f>
        <v>-7.0650771583035619</v>
      </c>
      <c r="AA15" s="236">
        <f>-'Calc - Services'!Z$34</f>
        <v>-3.590449047662466</v>
      </c>
      <c r="AB15" s="236">
        <f>-'Calc - Services'!AA$34</f>
        <v>0</v>
      </c>
      <c r="AC15" s="236">
        <f t="shared" ref="AC15:AY15" si="8">AC14*0.2472</f>
        <v>-36.800227939199999</v>
      </c>
      <c r="AD15" s="236">
        <f t="shared" si="8"/>
        <v>-36.800227939199999</v>
      </c>
      <c r="AE15" s="236">
        <f t="shared" si="8"/>
        <v>-36.800227939199999</v>
      </c>
      <c r="AF15" s="236">
        <f t="shared" si="8"/>
        <v>-36.800227939199999</v>
      </c>
      <c r="AG15" s="236">
        <f t="shared" si="8"/>
        <v>-36.800227939199999</v>
      </c>
      <c r="AH15" s="236">
        <f t="shared" si="8"/>
        <v>-36.800227939199999</v>
      </c>
      <c r="AI15" s="236">
        <f t="shared" si="8"/>
        <v>-36.800227939199999</v>
      </c>
      <c r="AJ15" s="236">
        <f t="shared" si="8"/>
        <v>-36.800227939199999</v>
      </c>
      <c r="AK15" s="236">
        <f t="shared" si="8"/>
        <v>-36.800227939199999</v>
      </c>
      <c r="AL15" s="236">
        <f t="shared" si="8"/>
        <v>-36.800227939199999</v>
      </c>
      <c r="AM15" s="236">
        <f t="shared" si="8"/>
        <v>-36.800227939199999</v>
      </c>
      <c r="AN15" s="236">
        <f t="shared" si="8"/>
        <v>-31.731326019200004</v>
      </c>
      <c r="AO15" s="236">
        <f t="shared" si="8"/>
        <v>-31.731326019200004</v>
      </c>
      <c r="AP15" s="236">
        <f t="shared" si="8"/>
        <v>-31.731326019200004</v>
      </c>
      <c r="AQ15" s="236">
        <f t="shared" si="8"/>
        <v>-31.731326019200004</v>
      </c>
      <c r="AR15" s="236">
        <f t="shared" si="8"/>
        <v>-31.731326019200004</v>
      </c>
      <c r="AS15" s="236">
        <f t="shared" si="8"/>
        <v>-31.731326019200004</v>
      </c>
      <c r="AT15" s="236">
        <f t="shared" si="8"/>
        <v>-31.731326019200004</v>
      </c>
      <c r="AU15" s="236">
        <f t="shared" si="8"/>
        <v>-31.731326019200004</v>
      </c>
      <c r="AV15" s="236">
        <f t="shared" si="8"/>
        <v>-31.731326019200004</v>
      </c>
      <c r="AW15" s="236">
        <f t="shared" si="8"/>
        <v>-31.731326019200004</v>
      </c>
      <c r="AX15" s="236">
        <f t="shared" si="8"/>
        <v>-31.731326019200004</v>
      </c>
      <c r="AY15" s="236">
        <f t="shared" si="8"/>
        <v>-31.731326019200004</v>
      </c>
    </row>
    <row r="16" spans="1:51">
      <c r="A16" s="233">
        <v>11</v>
      </c>
      <c r="B16" s="233"/>
      <c r="C16" s="224" t="s">
        <v>38</v>
      </c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>
        <f>-'Calc - Services'!M35</f>
        <v>-388.37926511040007</v>
      </c>
      <c r="O16" s="236">
        <f>-'Calc - Services'!N35</f>
        <v>-395.57710583680006</v>
      </c>
      <c r="P16" s="236">
        <f>-'Calc - Services'!O35</f>
        <v>-437.85174784960009</v>
      </c>
      <c r="Q16" s="236">
        <f>-'Calc - Services'!P$35</f>
        <v>-476.53594081473761</v>
      </c>
      <c r="R16" s="236">
        <f>-'Calc - Services'!Q$35</f>
        <v>-511.97714754327677</v>
      </c>
      <c r="S16" s="236">
        <f>-'Calc - Services'!R$35</f>
        <v>-543.82790522415348</v>
      </c>
      <c r="T16" s="236">
        <f>-'Calc - Services'!S$35</f>
        <v>-572.20403479438914</v>
      </c>
      <c r="U16" s="236">
        <f>-'Calc - Services'!T$35</f>
        <v>-596.98971531696225</v>
      </c>
      <c r="V16" s="236">
        <f>-'Calc - Services'!U$35</f>
        <v>-618.30076772889436</v>
      </c>
      <c r="W16" s="236">
        <f>-'Calc - Services'!V$35</f>
        <v>-636.02137109316391</v>
      </c>
      <c r="X16" s="236">
        <f>-'Calc - Services'!W$35</f>
        <v>-650.15152540977101</v>
      </c>
      <c r="Y16" s="236">
        <f>-'Calc - Services'!X$35</f>
        <v>-660.80705161573701</v>
      </c>
      <c r="Z16" s="236">
        <f>-'Calc - Services'!Y$35</f>
        <v>-667.87212877404056</v>
      </c>
      <c r="AA16" s="236">
        <f>-'Calc - Services'!Z$35</f>
        <v>-671.46257782170301</v>
      </c>
      <c r="AB16" s="236">
        <f>-'Calc - Services'!AA$35</f>
        <v>-671.46257782170301</v>
      </c>
      <c r="AC16" s="236">
        <f t="shared" ref="AC16:AY16" si="9">AB16+AC15</f>
        <v>-708.26280576090301</v>
      </c>
      <c r="AD16" s="236">
        <f t="shared" si="9"/>
        <v>-745.06303370010301</v>
      </c>
      <c r="AE16" s="236">
        <f t="shared" si="9"/>
        <v>-781.863261639303</v>
      </c>
      <c r="AF16" s="236">
        <f t="shared" si="9"/>
        <v>-818.663489578503</v>
      </c>
      <c r="AG16" s="236">
        <f t="shared" si="9"/>
        <v>-855.463717517703</v>
      </c>
      <c r="AH16" s="236">
        <f t="shared" si="9"/>
        <v>-892.263945456903</v>
      </c>
      <c r="AI16" s="236">
        <f t="shared" si="9"/>
        <v>-929.064173396103</v>
      </c>
      <c r="AJ16" s="236">
        <f t="shared" si="9"/>
        <v>-965.864401335303</v>
      </c>
      <c r="AK16" s="236">
        <f t="shared" si="9"/>
        <v>-1002.664629274503</v>
      </c>
      <c r="AL16" s="236">
        <f t="shared" si="9"/>
        <v>-1039.464857213703</v>
      </c>
      <c r="AM16" s="236">
        <f t="shared" si="9"/>
        <v>-1076.2650851529029</v>
      </c>
      <c r="AN16" s="236">
        <f t="shared" si="9"/>
        <v>-1107.9964111721029</v>
      </c>
      <c r="AO16" s="236">
        <f t="shared" si="9"/>
        <v>-1139.7277371913028</v>
      </c>
      <c r="AP16" s="236">
        <f t="shared" si="9"/>
        <v>-1171.4590632105028</v>
      </c>
      <c r="AQ16" s="236">
        <f t="shared" si="9"/>
        <v>-1203.1903892297028</v>
      </c>
      <c r="AR16" s="236">
        <f t="shared" si="9"/>
        <v>-1234.9217152489027</v>
      </c>
      <c r="AS16" s="236">
        <f t="shared" si="9"/>
        <v>-1266.6530412681027</v>
      </c>
      <c r="AT16" s="236">
        <f t="shared" si="9"/>
        <v>-1298.3843672873027</v>
      </c>
      <c r="AU16" s="236">
        <f t="shared" si="9"/>
        <v>-1330.1156933065026</v>
      </c>
      <c r="AV16" s="236">
        <f t="shared" si="9"/>
        <v>-1361.8470193257026</v>
      </c>
      <c r="AW16" s="236">
        <f t="shared" si="9"/>
        <v>-1393.5783453449026</v>
      </c>
      <c r="AX16" s="236">
        <f t="shared" si="9"/>
        <v>-1425.3096713641025</v>
      </c>
      <c r="AY16" s="236">
        <f t="shared" si="9"/>
        <v>-1457.0409973833025</v>
      </c>
    </row>
    <row r="17" spans="1:51">
      <c r="A17" s="233">
        <v>12</v>
      </c>
      <c r="B17" s="233"/>
      <c r="C17" s="224" t="s">
        <v>36</v>
      </c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>
        <f>(M17-N12-N7)</f>
        <v>-125.08212666666665</v>
      </c>
      <c r="O17" s="239">
        <f t="shared" ref="O17:AY17" si="10">(N17-O12-O7)</f>
        <v>-250.16425333333331</v>
      </c>
      <c r="P17" s="239">
        <f t="shared" si="10"/>
        <v>-375.24637999999993</v>
      </c>
      <c r="Q17" s="239">
        <f t="shared" si="10"/>
        <v>-500.32850666666661</v>
      </c>
      <c r="R17" s="239">
        <f t="shared" si="10"/>
        <v>-625.41063333333329</v>
      </c>
      <c r="S17" s="239">
        <f t="shared" si="10"/>
        <v>-750.49275999999998</v>
      </c>
      <c r="T17" s="239">
        <f t="shared" si="10"/>
        <v>-875.57488666666666</v>
      </c>
      <c r="U17" s="239">
        <f t="shared" si="10"/>
        <v>-1000.6570133333333</v>
      </c>
      <c r="V17" s="239">
        <f t="shared" si="10"/>
        <v>-1125.7391399999999</v>
      </c>
      <c r="W17" s="239">
        <f t="shared" si="10"/>
        <v>-1250.8212666666666</v>
      </c>
      <c r="X17" s="239">
        <f t="shared" si="10"/>
        <v>-1375.9033933333333</v>
      </c>
      <c r="Y17" s="239">
        <f t="shared" si="10"/>
        <v>-1500.98552</v>
      </c>
      <c r="Z17" s="239">
        <f t="shared" si="10"/>
        <v>-1626.0676466666666</v>
      </c>
      <c r="AA17" s="239">
        <f t="shared" si="10"/>
        <v>-1751.1497733333333</v>
      </c>
      <c r="AB17" s="239">
        <f t="shared" si="10"/>
        <v>-1876.2319</v>
      </c>
      <c r="AC17" s="239">
        <f t="shared" si="10"/>
        <v>-2001.3140266666667</v>
      </c>
      <c r="AD17" s="239">
        <f t="shared" si="10"/>
        <v>-2126.3961533333331</v>
      </c>
      <c r="AE17" s="239">
        <f t="shared" si="10"/>
        <v>-2251.4782799999998</v>
      </c>
      <c r="AF17" s="239">
        <f t="shared" si="10"/>
        <v>-2376.5604066666665</v>
      </c>
      <c r="AG17" s="239">
        <f t="shared" si="10"/>
        <v>-2501.6425333333332</v>
      </c>
      <c r="AH17" s="239">
        <f t="shared" si="10"/>
        <v>-2626.7246599999999</v>
      </c>
      <c r="AI17" s="239">
        <f t="shared" si="10"/>
        <v>-2751.8067866666665</v>
      </c>
      <c r="AJ17" s="239">
        <f t="shared" si="10"/>
        <v>-2876.8889133333332</v>
      </c>
      <c r="AK17" s="239">
        <f t="shared" si="10"/>
        <v>-3001.9710399999999</v>
      </c>
      <c r="AL17" s="239">
        <f t="shared" si="10"/>
        <v>-3127.0531666666666</v>
      </c>
      <c r="AM17" s="239">
        <f t="shared" si="10"/>
        <v>-3252.1352933333333</v>
      </c>
      <c r="AN17" s="239">
        <f t="shared" si="10"/>
        <v>-3377.2174199999999</v>
      </c>
      <c r="AO17" s="239">
        <f t="shared" si="10"/>
        <v>-3502.2995466666666</v>
      </c>
      <c r="AP17" s="239">
        <f t="shared" si="10"/>
        <v>-3627.3816733333333</v>
      </c>
      <c r="AQ17" s="239">
        <f t="shared" si="10"/>
        <v>-3752.4638</v>
      </c>
      <c r="AR17" s="239">
        <f t="shared" si="10"/>
        <v>-3877.5459266666667</v>
      </c>
      <c r="AS17" s="239">
        <f t="shared" si="10"/>
        <v>-4002.6280533333334</v>
      </c>
      <c r="AT17" s="239">
        <f t="shared" si="10"/>
        <v>-4127.71018</v>
      </c>
      <c r="AU17" s="239">
        <f t="shared" si="10"/>
        <v>-4252.7923066666663</v>
      </c>
      <c r="AV17" s="239">
        <f t="shared" si="10"/>
        <v>-4377.8744333333325</v>
      </c>
      <c r="AW17" s="239">
        <f t="shared" si="10"/>
        <v>-4502.9565599999987</v>
      </c>
      <c r="AX17" s="239">
        <f t="shared" si="10"/>
        <v>-4628.0386866666649</v>
      </c>
      <c r="AY17" s="239">
        <f t="shared" si="10"/>
        <v>-4753.1208133333312</v>
      </c>
    </row>
    <row r="18" spans="1:51">
      <c r="A18" s="233">
        <v>13</v>
      </c>
      <c r="B18" s="233"/>
      <c r="C18" s="224" t="s">
        <v>178</v>
      </c>
      <c r="D18" s="239"/>
      <c r="E18" s="236"/>
      <c r="F18" s="236"/>
      <c r="G18" s="236"/>
      <c r="H18" s="236"/>
      <c r="I18" s="236"/>
      <c r="J18" s="236"/>
      <c r="K18" s="236"/>
      <c r="L18" s="236"/>
      <c r="M18" s="236"/>
      <c r="N18" s="236">
        <f>((M16/2)+SUM(N16:X16)+(Y16/2))/12</f>
        <v>-513.18500437750151</v>
      </c>
      <c r="O18" s="236">
        <f t="shared" ref="O18:AN19" si="11">((N16/2)+SUM(O16:Y16)+(Z16/2))/12</f>
        <v>-552.3641675141422</v>
      </c>
      <c r="P18" s="236">
        <f t="shared" si="11"/>
        <v>-575.50493149949818</v>
      </c>
      <c r="Q18" s="236">
        <f t="shared" si="11"/>
        <v>-596.73394408104002</v>
      </c>
      <c r="R18" s="236">
        <f t="shared" si="11"/>
        <v>-616.12301470263458</v>
      </c>
      <c r="S18" s="236">
        <f t="shared" si="11"/>
        <v>-635.49021266525926</v>
      </c>
      <c r="T18" s="236">
        <f t="shared" si="11"/>
        <v>-655.12026443909156</v>
      </c>
      <c r="U18" s="236">
        <f t="shared" si="11"/>
        <v>-675.30754823906079</v>
      </c>
      <c r="V18" s="236">
        <f t="shared" si="11"/>
        <v>-696.34644228009631</v>
      </c>
      <c r="W18" s="236">
        <f t="shared" si="11"/>
        <v>-718.53132477712768</v>
      </c>
      <c r="X18" s="236">
        <f t="shared" si="11"/>
        <v>-742.15657394508378</v>
      </c>
      <c r="Y18" s="236">
        <f t="shared" si="11"/>
        <v>-767.52139387127033</v>
      </c>
      <c r="Z18" s="236">
        <f t="shared" si="11"/>
        <v>-794.920162770616</v>
      </c>
      <c r="AA18" s="236">
        <f t="shared" si="11"/>
        <v>-824.64725885805035</v>
      </c>
      <c r="AB18" s="236">
        <f t="shared" si="11"/>
        <v>-856.99706034850294</v>
      </c>
      <c r="AC18" s="236">
        <f t="shared" si="11"/>
        <v>-892.05274121023615</v>
      </c>
      <c r="AD18" s="236">
        <f t="shared" si="11"/>
        <v>-928.21935640943639</v>
      </c>
      <c r="AE18" s="236">
        <f t="shared" si="11"/>
        <v>-963.96356311530292</v>
      </c>
      <c r="AF18" s="236">
        <f t="shared" si="11"/>
        <v>-999.2853613278362</v>
      </c>
      <c r="AG18" s="236">
        <f t="shared" si="11"/>
        <v>-1034.1847510470363</v>
      </c>
      <c r="AH18" s="236">
        <f t="shared" si="11"/>
        <v>-1068.661732272903</v>
      </c>
      <c r="AI18" s="236">
        <f t="shared" si="11"/>
        <v>-1102.7163050054362</v>
      </c>
      <c r="AJ18" s="236">
        <f t="shared" si="11"/>
        <v>-1136.3484692446361</v>
      </c>
      <c r="AK18" s="236">
        <f t="shared" si="11"/>
        <v>-1169.558224990503</v>
      </c>
      <c r="AL18" s="236">
        <f t="shared" si="11"/>
        <v>-1202.345572243036</v>
      </c>
      <c r="AM18" s="236">
        <f t="shared" si="11"/>
        <v>-1234.7105110022362</v>
      </c>
      <c r="AN18" s="236">
        <f t="shared" si="11"/>
        <v>-1266.6530412681027</v>
      </c>
      <c r="AO18" s="236">
        <f t="shared" ref="AO18:AO19" si="12">((AN16/2)+SUM(AO16:AY16)+(AZ16/2))/12</f>
        <v>-1236.3521871455318</v>
      </c>
      <c r="AP18" s="236">
        <f t="shared" ref="AP18:AP19" si="13">((AO16/2)+SUM(AP16:AZ16)+(BA16/2))/12</f>
        <v>-1142.6970142970565</v>
      </c>
      <c r="AQ18" s="236">
        <f t="shared" ref="AQ18:AQ19" si="14">((AP16/2)+SUM(AQ16:BA16)+(BB16/2))/12</f>
        <v>-1046.3975642803146</v>
      </c>
      <c r="AR18" s="236">
        <f t="shared" ref="AR18:AR19" si="15">((AQ16/2)+SUM(AR16:BB16)+(BC16/2))/12</f>
        <v>-947.45383709530597</v>
      </c>
      <c r="AS18" s="236">
        <f t="shared" ref="AS18:AS19" si="16">((AR16/2)+SUM(AS16:BC16)+(BD16/2))/12</f>
        <v>-845.86583274203088</v>
      </c>
      <c r="AT18" s="236">
        <f t="shared" ref="AT18:AT19" si="17">((AS16/2)+SUM(AT16:BD16)+(BE16/2))/12</f>
        <v>-741.63355122048881</v>
      </c>
      <c r="AU18" s="236">
        <f t="shared" ref="AU18:AU19" si="18">((AT16/2)+SUM(AU16:BE16)+(BF16/2))/12</f>
        <v>-634.75699253068035</v>
      </c>
      <c r="AV18" s="236">
        <f t="shared" ref="AV18:AV19" si="19">((AU16/2)+SUM(AV16:BF16)+(BG16/2))/12</f>
        <v>-525.23615667260526</v>
      </c>
      <c r="AW18" s="236">
        <f t="shared" ref="AW18:AW19" si="20">((AV16/2)+SUM(AW16:BG16)+(BH16/2))/12</f>
        <v>-413.07104364626321</v>
      </c>
      <c r="AX18" s="236">
        <f t="shared" ref="AX18:AX19" si="21">((AW16/2)+SUM(AX16:BH16)+(BI16/2))/12</f>
        <v>-298.26165345165469</v>
      </c>
      <c r="AY18" s="236">
        <f t="shared" ref="AY18:AY19" si="22">((AX16/2)+SUM(AY16:BI16)+(BJ16/2))/12</f>
        <v>-180.80798608877947</v>
      </c>
    </row>
    <row r="19" spans="1:51" s="230" customFormat="1">
      <c r="A19" s="240">
        <v>14</v>
      </c>
      <c r="B19" s="240"/>
      <c r="C19" s="230" t="s">
        <v>179</v>
      </c>
      <c r="D19" s="239"/>
      <c r="E19" s="236"/>
      <c r="F19" s="236"/>
      <c r="G19" s="236"/>
      <c r="H19" s="236"/>
      <c r="I19" s="236"/>
      <c r="J19" s="236"/>
      <c r="K19" s="236"/>
      <c r="L19" s="236"/>
      <c r="M19" s="236"/>
      <c r="N19" s="236">
        <f>((M17/2)+SUM(N17:X17)+(Y17/2))/12</f>
        <v>-750.49275999999998</v>
      </c>
      <c r="O19" s="236">
        <f t="shared" si="11"/>
        <v>-875.57488666666666</v>
      </c>
      <c r="P19" s="236">
        <f t="shared" si="11"/>
        <v>-1000.6570133333333</v>
      </c>
      <c r="Q19" s="236">
        <f t="shared" si="11"/>
        <v>-1125.7391399999999</v>
      </c>
      <c r="R19" s="236">
        <f t="shared" si="11"/>
        <v>-1250.8212666666666</v>
      </c>
      <c r="S19" s="236">
        <f t="shared" si="11"/>
        <v>-1375.9033933333333</v>
      </c>
      <c r="T19" s="236">
        <f t="shared" si="11"/>
        <v>-1500.9855200000002</v>
      </c>
      <c r="U19" s="236">
        <f t="shared" si="11"/>
        <v>-1626.0676466666666</v>
      </c>
      <c r="V19" s="236">
        <f t="shared" si="11"/>
        <v>-1751.1497733333333</v>
      </c>
      <c r="W19" s="236">
        <f t="shared" si="11"/>
        <v>-1876.2318999999998</v>
      </c>
      <c r="X19" s="236">
        <f t="shared" si="11"/>
        <v>-2001.3140266666662</v>
      </c>
      <c r="Y19" s="236">
        <f t="shared" si="11"/>
        <v>-2126.3961533333336</v>
      </c>
      <c r="Z19" s="236">
        <f t="shared" si="11"/>
        <v>-2251.4782799999998</v>
      </c>
      <c r="AA19" s="236">
        <f t="shared" si="11"/>
        <v>-2376.5604066666665</v>
      </c>
      <c r="AB19" s="236">
        <f t="shared" si="11"/>
        <v>-2501.6425333333332</v>
      </c>
      <c r="AC19" s="236">
        <f t="shared" si="11"/>
        <v>-2626.7246599999999</v>
      </c>
      <c r="AD19" s="236">
        <f t="shared" si="11"/>
        <v>-2751.8067866666665</v>
      </c>
      <c r="AE19" s="236">
        <f t="shared" si="11"/>
        <v>-2876.8889133333328</v>
      </c>
      <c r="AF19" s="236">
        <f t="shared" si="11"/>
        <v>-3001.9710399999999</v>
      </c>
      <c r="AG19" s="236">
        <f t="shared" si="11"/>
        <v>-3127.0531666666666</v>
      </c>
      <c r="AH19" s="236">
        <f t="shared" si="11"/>
        <v>-3252.1352933333333</v>
      </c>
      <c r="AI19" s="236">
        <f t="shared" si="11"/>
        <v>-3377.2174199999995</v>
      </c>
      <c r="AJ19" s="236">
        <f t="shared" si="11"/>
        <v>-3502.2995466666666</v>
      </c>
      <c r="AK19" s="236">
        <f t="shared" si="11"/>
        <v>-3627.3816733333329</v>
      </c>
      <c r="AL19" s="236">
        <f t="shared" si="11"/>
        <v>-3752.4637999999991</v>
      </c>
      <c r="AM19" s="236">
        <f t="shared" si="11"/>
        <v>-3877.5459266666658</v>
      </c>
      <c r="AN19" s="236">
        <f t="shared" si="11"/>
        <v>-4002.6280533333334</v>
      </c>
      <c r="AO19" s="236">
        <f t="shared" si="12"/>
        <v>-3924.4517241666667</v>
      </c>
      <c r="AP19" s="236">
        <f t="shared" si="13"/>
        <v>-3637.8051838888891</v>
      </c>
      <c r="AQ19" s="236">
        <f t="shared" si="14"/>
        <v>-3340.7351330555557</v>
      </c>
      <c r="AR19" s="236">
        <f t="shared" si="15"/>
        <v>-3033.2415716666655</v>
      </c>
      <c r="AS19" s="236">
        <f t="shared" si="16"/>
        <v>-2715.3244997222214</v>
      </c>
      <c r="AT19" s="236">
        <f t="shared" si="17"/>
        <v>-2386.9839172222214</v>
      </c>
      <c r="AU19" s="236">
        <f t="shared" si="18"/>
        <v>-2048.2198241666661</v>
      </c>
      <c r="AV19" s="236">
        <f t="shared" si="19"/>
        <v>-1699.0322205555549</v>
      </c>
      <c r="AW19" s="236">
        <f t="shared" si="20"/>
        <v>-1339.4211063888886</v>
      </c>
      <c r="AX19" s="236">
        <f t="shared" si="21"/>
        <v>-969.38648166666633</v>
      </c>
      <c r="AY19" s="236">
        <f t="shared" si="22"/>
        <v>-588.9283463888886</v>
      </c>
    </row>
    <row r="20" spans="1:51">
      <c r="A20" s="240">
        <v>15</v>
      </c>
      <c r="B20" s="240"/>
      <c r="C20" s="224" t="s">
        <v>180</v>
      </c>
      <c r="D20" s="241"/>
      <c r="E20" s="242"/>
      <c r="F20" s="242"/>
      <c r="G20" s="242"/>
      <c r="H20" s="242"/>
      <c r="I20" s="242"/>
      <c r="J20" s="242"/>
      <c r="K20" s="242"/>
      <c r="L20" s="242"/>
      <c r="M20" s="242"/>
      <c r="N20" s="242">
        <v>49213</v>
      </c>
      <c r="O20" s="242">
        <f t="shared" ref="O20:AN20" si="23">((N9/2)+SUM(O9:Y9)+(Z9/2))/12</f>
        <v>49212.639999999992</v>
      </c>
      <c r="P20" s="242">
        <f t="shared" si="23"/>
        <v>49212.639999999992</v>
      </c>
      <c r="Q20" s="242">
        <f t="shared" si="23"/>
        <v>49212.639999999992</v>
      </c>
      <c r="R20" s="242">
        <f t="shared" si="23"/>
        <v>49212.639999999992</v>
      </c>
      <c r="S20" s="242">
        <f t="shared" si="23"/>
        <v>49212.639999999992</v>
      </c>
      <c r="T20" s="242">
        <f t="shared" si="23"/>
        <v>49212.639999999992</v>
      </c>
      <c r="U20" s="242">
        <f t="shared" si="23"/>
        <v>49212.639999999992</v>
      </c>
      <c r="V20" s="242">
        <f t="shared" si="23"/>
        <v>49212.639999999992</v>
      </c>
      <c r="W20" s="242">
        <f t="shared" si="23"/>
        <v>49212.639999999992</v>
      </c>
      <c r="X20" s="242">
        <f t="shared" si="23"/>
        <v>49212.639999999992</v>
      </c>
      <c r="Y20" s="242">
        <f t="shared" si="23"/>
        <v>49212.639999999992</v>
      </c>
      <c r="Z20" s="242">
        <f t="shared" si="23"/>
        <v>49212.639999999992</v>
      </c>
      <c r="AA20" s="242">
        <f t="shared" si="23"/>
        <v>49212.639999999992</v>
      </c>
      <c r="AB20" s="242">
        <f t="shared" si="23"/>
        <v>49212.639999999992</v>
      </c>
      <c r="AC20" s="242">
        <f t="shared" si="23"/>
        <v>49212.639999999992</v>
      </c>
      <c r="AD20" s="242">
        <f t="shared" si="23"/>
        <v>49212.639999999992</v>
      </c>
      <c r="AE20" s="242">
        <f t="shared" si="23"/>
        <v>49212.639999999992</v>
      </c>
      <c r="AF20" s="242">
        <f t="shared" si="23"/>
        <v>49212.639999999992</v>
      </c>
      <c r="AG20" s="242">
        <f t="shared" si="23"/>
        <v>49212.639999999992</v>
      </c>
      <c r="AH20" s="242">
        <f t="shared" si="23"/>
        <v>49212.639999999992</v>
      </c>
      <c r="AI20" s="242">
        <f t="shared" si="23"/>
        <v>49212.639999999992</v>
      </c>
      <c r="AJ20" s="242">
        <f t="shared" si="23"/>
        <v>49212.639999999992</v>
      </c>
      <c r="AK20" s="242">
        <f t="shared" si="23"/>
        <v>49212.639999999992</v>
      </c>
      <c r="AL20" s="242">
        <f t="shared" si="23"/>
        <v>49212.639999999992</v>
      </c>
      <c r="AM20" s="242">
        <f t="shared" si="23"/>
        <v>49212.639999999992</v>
      </c>
      <c r="AN20" s="242">
        <f t="shared" si="23"/>
        <v>49212.639999999992</v>
      </c>
      <c r="AO20" s="242">
        <f t="shared" ref="AO20" si="24">((AN9/2)+SUM(AO9:AY9)+(AZ9/2))/12</f>
        <v>47162.113333333335</v>
      </c>
      <c r="AP20" s="242">
        <f t="shared" ref="AP20" si="25">((AO9/2)+SUM(AP9:AZ9)+(BA9/2))/12</f>
        <v>43061.060000000005</v>
      </c>
      <c r="AQ20" s="242">
        <f t="shared" ref="AQ20" si="26">((AP9/2)+SUM(AQ9:BA9)+(BB9/2))/12</f>
        <v>38960.006666666675</v>
      </c>
      <c r="AR20" s="242">
        <f t="shared" ref="AR20" si="27">((AQ9/2)+SUM(AR9:BB9)+(BC9/2))/12</f>
        <v>34858.953333333338</v>
      </c>
      <c r="AS20" s="242">
        <f t="shared" ref="AS20" si="28">((AR9/2)+SUM(AS9:BC9)+(BD9/2))/12</f>
        <v>30757.900000000005</v>
      </c>
      <c r="AT20" s="242">
        <f t="shared" ref="AT20" si="29">((AS9/2)+SUM(AT9:BD9)+(BE9/2))/12</f>
        <v>26656.846666666668</v>
      </c>
      <c r="AU20" s="242">
        <f t="shared" ref="AU20" si="30">((AT9/2)+SUM(AU9:BE9)+(BF9/2))/12</f>
        <v>22555.793333333335</v>
      </c>
      <c r="AV20" s="242">
        <f t="shared" ref="AV20" si="31">((AU9/2)+SUM(AV9:BF9)+(BG9/2))/12</f>
        <v>18454.740000000002</v>
      </c>
      <c r="AW20" s="242">
        <f t="shared" ref="AW20" si="32">((AV9/2)+SUM(AW9:BG9)+(BH9/2))/12</f>
        <v>14353.686666666666</v>
      </c>
      <c r="AX20" s="242">
        <f t="shared" ref="AX20" si="33">((AW9/2)+SUM(AX9:BH9)+(BI9/2))/12</f>
        <v>10252.633333333333</v>
      </c>
      <c r="AY20" s="242">
        <f t="shared" ref="AY20" si="34">((AX9/2)+SUM(AY9:BI9)+(BJ9/2))/12</f>
        <v>6151.579999999999</v>
      </c>
    </row>
    <row r="21" spans="1:51">
      <c r="A21" s="240">
        <v>16</v>
      </c>
      <c r="B21" s="240"/>
      <c r="C21" s="224" t="s">
        <v>181</v>
      </c>
      <c r="D21" s="232"/>
      <c r="E21" s="231"/>
      <c r="F21" s="231"/>
      <c r="G21" s="231"/>
      <c r="H21" s="231"/>
      <c r="I21" s="231"/>
      <c r="J21" s="231"/>
      <c r="K21" s="231"/>
      <c r="L21" s="231"/>
      <c r="M21" s="231"/>
      <c r="N21" s="231">
        <f t="shared" ref="N21:AN21" si="35">N20</f>
        <v>49213</v>
      </c>
      <c r="O21" s="231">
        <f t="shared" si="35"/>
        <v>49212.639999999992</v>
      </c>
      <c r="P21" s="231">
        <f t="shared" si="35"/>
        <v>49212.639999999992</v>
      </c>
      <c r="Q21" s="231">
        <f t="shared" si="35"/>
        <v>49212.639999999992</v>
      </c>
      <c r="R21" s="231">
        <f t="shared" si="35"/>
        <v>49212.639999999992</v>
      </c>
      <c r="S21" s="231">
        <f t="shared" si="35"/>
        <v>49212.639999999992</v>
      </c>
      <c r="T21" s="231">
        <f t="shared" si="35"/>
        <v>49212.639999999992</v>
      </c>
      <c r="U21" s="231">
        <f t="shared" si="35"/>
        <v>49212.639999999992</v>
      </c>
      <c r="V21" s="231">
        <f t="shared" si="35"/>
        <v>49212.639999999992</v>
      </c>
      <c r="W21" s="231">
        <f t="shared" si="35"/>
        <v>49212.639999999992</v>
      </c>
      <c r="X21" s="231">
        <f t="shared" si="35"/>
        <v>49212.639999999992</v>
      </c>
      <c r="Y21" s="231">
        <f t="shared" si="35"/>
        <v>49212.639999999992</v>
      </c>
      <c r="Z21" s="231">
        <f t="shared" si="35"/>
        <v>49212.639999999992</v>
      </c>
      <c r="AA21" s="231">
        <f t="shared" si="35"/>
        <v>49212.639999999992</v>
      </c>
      <c r="AB21" s="231">
        <f t="shared" si="35"/>
        <v>49212.639999999992</v>
      </c>
      <c r="AC21" s="231">
        <f t="shared" si="35"/>
        <v>49212.639999999992</v>
      </c>
      <c r="AD21" s="231">
        <f t="shared" si="35"/>
        <v>49212.639999999992</v>
      </c>
      <c r="AE21" s="231">
        <f t="shared" si="35"/>
        <v>49212.639999999992</v>
      </c>
      <c r="AF21" s="231">
        <f t="shared" si="35"/>
        <v>49212.639999999992</v>
      </c>
      <c r="AG21" s="231">
        <f t="shared" si="35"/>
        <v>49212.639999999992</v>
      </c>
      <c r="AH21" s="231">
        <f t="shared" si="35"/>
        <v>49212.639999999992</v>
      </c>
      <c r="AI21" s="231">
        <f t="shared" si="35"/>
        <v>49212.639999999992</v>
      </c>
      <c r="AJ21" s="231">
        <f t="shared" si="35"/>
        <v>49212.639999999992</v>
      </c>
      <c r="AK21" s="231">
        <f t="shared" si="35"/>
        <v>49212.639999999992</v>
      </c>
      <c r="AL21" s="231">
        <f t="shared" si="35"/>
        <v>49212.639999999992</v>
      </c>
      <c r="AM21" s="231">
        <f t="shared" si="35"/>
        <v>49212.639999999992</v>
      </c>
      <c r="AN21" s="231">
        <f t="shared" si="35"/>
        <v>49212.639999999992</v>
      </c>
      <c r="AO21" s="231">
        <f t="shared" ref="AO21:AY21" si="36">AO20</f>
        <v>47162.113333333335</v>
      </c>
      <c r="AP21" s="231">
        <f t="shared" si="36"/>
        <v>43061.060000000005</v>
      </c>
      <c r="AQ21" s="231">
        <f t="shared" si="36"/>
        <v>38960.006666666675</v>
      </c>
      <c r="AR21" s="231">
        <f t="shared" si="36"/>
        <v>34858.953333333338</v>
      </c>
      <c r="AS21" s="231">
        <f t="shared" si="36"/>
        <v>30757.900000000005</v>
      </c>
      <c r="AT21" s="231">
        <f t="shared" si="36"/>
        <v>26656.846666666668</v>
      </c>
      <c r="AU21" s="231">
        <f t="shared" si="36"/>
        <v>22555.793333333335</v>
      </c>
      <c r="AV21" s="231">
        <f t="shared" si="36"/>
        <v>18454.740000000002</v>
      </c>
      <c r="AW21" s="231">
        <f t="shared" si="36"/>
        <v>14353.686666666666</v>
      </c>
      <c r="AX21" s="231">
        <f t="shared" si="36"/>
        <v>10252.633333333333</v>
      </c>
      <c r="AY21" s="231">
        <f t="shared" si="36"/>
        <v>6151.579999999999</v>
      </c>
    </row>
    <row r="22" spans="1:51" ht="6" customHeight="1"/>
    <row r="23" spans="1:51">
      <c r="A23" s="224" t="s">
        <v>153</v>
      </c>
    </row>
  </sheetData>
  <pageMargins left="0.7" right="0.7" top="1.1634374999999999" bottom="0.75" header="0.3" footer="0.3"/>
  <pageSetup scale="72" fitToWidth="2" orientation="landscape" r:id="rId1"/>
  <headerFooter differentOddEven="1" differentFirst="1" scaleWithDoc="0">
    <oddHeader>&amp;R&amp;8Dominion Energy Utah
Docket No 21-057-??
DEU Exhibit 1.1
Page 3 of 3</oddHeader>
    <evenHeader>&amp;R&amp;"Arial,Regular"Dominion Energy Utah
Docket No 21-057-30
DEU Exhibit 1.2
Page 2 of 2</evenHeader>
    <firstHeader>&amp;R&amp;"Arial,Regular"Dominion Energy Utah
Docket No 21-057-30
DEU Exhibit 1.2
Page 1 of 2</firstHeader>
  </headerFooter>
  <colBreaks count="1" manualBreakCount="1">
    <brk id="2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K35"/>
  <sheetViews>
    <sheetView view="pageLayout" zoomScaleNormal="100" zoomScaleSheetLayoutView="70" workbookViewId="0">
      <selection activeCell="B19" sqref="B19"/>
    </sheetView>
  </sheetViews>
  <sheetFormatPr defaultRowHeight="12.75"/>
  <cols>
    <col min="1" max="1" width="9.85546875" style="15" customWidth="1"/>
    <col min="2" max="2" width="49.42578125" customWidth="1"/>
    <col min="3" max="3" width="2" customWidth="1"/>
    <col min="4" max="4" width="1.140625" customWidth="1"/>
    <col min="5" max="5" width="16.42578125" customWidth="1"/>
    <col min="6" max="6" width="2.42578125" customWidth="1"/>
    <col min="7" max="7" width="1.7109375" customWidth="1"/>
    <col min="8" max="8" width="15.28515625" customWidth="1"/>
    <col min="9" max="9" width="2.28515625" customWidth="1"/>
    <col min="10" max="10" width="2.42578125" customWidth="1"/>
    <col min="11" max="11" width="14" customWidth="1"/>
  </cols>
  <sheetData>
    <row r="1" spans="1:11">
      <c r="A1" s="254" t="s">
        <v>39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>
      <c r="A2" s="253"/>
      <c r="B2" s="253"/>
      <c r="C2" s="253"/>
      <c r="D2" s="253"/>
      <c r="E2" s="253"/>
      <c r="F2" s="253"/>
      <c r="G2" s="95"/>
      <c r="H2" s="4"/>
      <c r="I2" s="4"/>
      <c r="J2" s="4"/>
      <c r="K2" s="4"/>
    </row>
    <row r="3" spans="1:11">
      <c r="A3" s="96"/>
      <c r="B3" s="97" t="s">
        <v>54</v>
      </c>
      <c r="C3" s="98"/>
      <c r="D3" s="98"/>
      <c r="E3" s="99" t="s">
        <v>55</v>
      </c>
      <c r="F3" s="98"/>
      <c r="G3" s="98"/>
      <c r="H3" s="99" t="s">
        <v>56</v>
      </c>
      <c r="I3" s="4"/>
      <c r="J3" s="4"/>
      <c r="K3" s="99" t="s">
        <v>208</v>
      </c>
    </row>
    <row r="4" spans="1:11">
      <c r="A4" s="96"/>
      <c r="B4" s="98"/>
      <c r="C4" s="98"/>
      <c r="D4" s="98"/>
      <c r="E4" s="99"/>
      <c r="F4" s="98"/>
      <c r="G4" s="98"/>
      <c r="H4" s="4"/>
      <c r="I4" s="4"/>
      <c r="J4" s="4"/>
      <c r="K4" s="4"/>
    </row>
    <row r="5" spans="1:11">
      <c r="A5" s="100"/>
      <c r="B5" s="101"/>
      <c r="C5" s="101"/>
      <c r="D5" s="101"/>
      <c r="E5" s="101" t="s">
        <v>204</v>
      </c>
      <c r="F5" s="4"/>
      <c r="G5" s="4"/>
      <c r="H5" s="101" t="s">
        <v>205</v>
      </c>
      <c r="I5" s="4"/>
      <c r="J5" s="4"/>
      <c r="K5" s="101" t="s">
        <v>206</v>
      </c>
    </row>
    <row r="6" spans="1:11">
      <c r="A6" s="100"/>
      <c r="B6" s="102"/>
      <c r="C6" s="102"/>
      <c r="D6" s="102"/>
      <c r="E6" s="103" t="s">
        <v>41</v>
      </c>
      <c r="F6" s="4"/>
      <c r="G6" s="4"/>
      <c r="H6" s="103" t="s">
        <v>41</v>
      </c>
      <c r="I6" s="4"/>
      <c r="J6" s="4"/>
      <c r="K6" s="103" t="s">
        <v>41</v>
      </c>
    </row>
    <row r="7" spans="1:11">
      <c r="A7" s="100">
        <v>1</v>
      </c>
      <c r="B7" s="59" t="s">
        <v>42</v>
      </c>
      <c r="C7" s="59"/>
      <c r="D7" s="59"/>
      <c r="E7" s="104">
        <f>LOOKUP(E34,'Exhibit 1.1 Mains'!$D$2:$AY$2,'Exhibit 1.1 Mains'!$D$12:$AY$12)</f>
        <v>20886810.390000008</v>
      </c>
      <c r="F7" s="105"/>
      <c r="G7" s="4"/>
      <c r="H7" s="104">
        <f>LOOKUP(E34,'Exhibit 1.2 Services'!$D$2:$AY$2,'Exhibit 1.2 Services'!$D$9:$AY$9)</f>
        <v>49212.639999999999</v>
      </c>
      <c r="I7" s="4"/>
      <c r="J7" s="4"/>
      <c r="K7" s="104"/>
    </row>
    <row r="8" spans="1:11">
      <c r="A8" s="100">
        <f t="shared" ref="A8:A19" si="0">A7+1</f>
        <v>2</v>
      </c>
      <c r="B8" s="59" t="s">
        <v>44</v>
      </c>
      <c r="C8" s="59"/>
      <c r="D8" s="59"/>
      <c r="E8" s="106">
        <v>0</v>
      </c>
      <c r="F8" s="105"/>
      <c r="G8" s="4"/>
      <c r="H8" s="106">
        <v>0</v>
      </c>
      <c r="I8" s="4"/>
      <c r="J8" s="4"/>
      <c r="K8" s="107"/>
    </row>
    <row r="9" spans="1:11">
      <c r="A9" s="100">
        <f t="shared" si="0"/>
        <v>3</v>
      </c>
      <c r="B9" s="59" t="s">
        <v>230</v>
      </c>
      <c r="C9" s="59"/>
      <c r="D9" s="59"/>
      <c r="E9" s="108">
        <f>SUM(E7:E8)</f>
        <v>20886810.390000008</v>
      </c>
      <c r="F9" s="4"/>
      <c r="G9" s="4"/>
      <c r="H9" s="108">
        <f>SUM(H7:H8)</f>
        <v>49212.639999999999</v>
      </c>
      <c r="I9" s="5"/>
      <c r="J9" s="4"/>
      <c r="K9" s="109"/>
    </row>
    <row r="10" spans="1:11">
      <c r="A10" s="100">
        <f t="shared" si="0"/>
        <v>4</v>
      </c>
      <c r="B10" s="59" t="s">
        <v>46</v>
      </c>
      <c r="C10" s="59"/>
      <c r="D10" s="59"/>
      <c r="E10" s="107">
        <f>LOOKUP(E35,'Exhibit 1.1 Mains'!$D$2:$AY$2,'Exhibit 1.1 Mains'!$D$22:$AY$22)</f>
        <v>-302268.87300375022</v>
      </c>
      <c r="F10" s="105"/>
      <c r="G10" s="4"/>
      <c r="H10" s="107">
        <f>LOOKUP(E35,'Exhibit 1.2 Services'!$D$2:$AY$2,'Exhibit 1.2 Services'!$D$19:$AY$19)</f>
        <v>-1125.7391399999999</v>
      </c>
      <c r="I10" s="4"/>
      <c r="J10" s="4"/>
      <c r="K10" s="107"/>
    </row>
    <row r="11" spans="1:11">
      <c r="A11" s="100">
        <f t="shared" si="0"/>
        <v>5</v>
      </c>
      <c r="B11" s="59" t="s">
        <v>47</v>
      </c>
      <c r="C11" s="59"/>
      <c r="D11" s="59"/>
      <c r="E11" s="110">
        <f>LOOKUP(E35,'Exhibit 1.1 Mains'!$D$2:$AY$2,'Exhibit 1.1 Mains'!$D$21:$AY$21)</f>
        <v>-285770.02861211775</v>
      </c>
      <c r="F11" s="105"/>
      <c r="G11" s="4"/>
      <c r="H11" s="110">
        <f>LOOKUP(E35,'Exhibit 1.2 Services'!$D$2:$AY$2,'Exhibit 1.2 Services'!$D$18:$AY$18)</f>
        <v>-596.73394408104002</v>
      </c>
      <c r="I11" s="4"/>
      <c r="J11" s="4"/>
      <c r="K11" s="111"/>
    </row>
    <row r="12" spans="1:11">
      <c r="A12" s="100">
        <f t="shared" si="0"/>
        <v>6</v>
      </c>
      <c r="B12" s="59" t="s">
        <v>48</v>
      </c>
      <c r="C12" s="59"/>
      <c r="D12" s="59"/>
      <c r="E12" s="112">
        <f>SUM(E9:E11)</f>
        <v>20298771.488384139</v>
      </c>
      <c r="F12" s="105"/>
      <c r="G12" s="4"/>
      <c r="H12" s="112">
        <f>SUM(H9:H11)</f>
        <v>47490.166915918962</v>
      </c>
      <c r="I12" s="4"/>
      <c r="J12" s="4"/>
      <c r="K12" s="109"/>
    </row>
    <row r="13" spans="1:11">
      <c r="A13" s="100">
        <f t="shared" si="0"/>
        <v>7</v>
      </c>
      <c r="B13" s="59" t="s">
        <v>49</v>
      </c>
      <c r="C13" s="59"/>
      <c r="D13" s="59"/>
      <c r="E13" s="113">
        <v>8.8999999999999996E-2</v>
      </c>
      <c r="F13" s="105"/>
      <c r="G13" s="4"/>
      <c r="H13" s="113">
        <v>8.8999999999999996E-2</v>
      </c>
      <c r="I13" s="4"/>
      <c r="J13" s="4"/>
      <c r="K13" s="114"/>
    </row>
    <row r="14" spans="1:11">
      <c r="A14" s="100">
        <f t="shared" si="0"/>
        <v>8</v>
      </c>
      <c r="B14" s="59" t="s">
        <v>50</v>
      </c>
      <c r="C14" s="59"/>
      <c r="D14" s="59"/>
      <c r="E14" s="104">
        <f>E12*E13</f>
        <v>1806590.6624661882</v>
      </c>
      <c r="F14" s="105"/>
      <c r="G14" s="4"/>
      <c r="H14" s="104">
        <f>H12*H13</f>
        <v>4226.6248555167876</v>
      </c>
      <c r="I14" s="4"/>
      <c r="J14" s="4"/>
      <c r="K14" s="109"/>
    </row>
    <row r="15" spans="1:11">
      <c r="A15" s="100">
        <f t="shared" si="0"/>
        <v>9</v>
      </c>
      <c r="B15" s="59" t="s">
        <v>51</v>
      </c>
      <c r="C15" s="59"/>
      <c r="D15" s="59"/>
      <c r="E15" s="104">
        <f>SUM('Exhibit 1.1 Mains'!$P$15:$AA$15)</f>
        <v>403025.16400500032</v>
      </c>
      <c r="F15" s="105"/>
      <c r="G15" s="4"/>
      <c r="H15" s="104">
        <f>SUM('Exhibit 1.2 Services'!$P$12:$AA$12)</f>
        <v>1500.98552</v>
      </c>
      <c r="I15" s="4"/>
      <c r="J15" s="4"/>
      <c r="K15" s="109"/>
    </row>
    <row r="16" spans="1:11">
      <c r="A16" s="100">
        <f t="shared" si="0"/>
        <v>10</v>
      </c>
      <c r="B16" s="59" t="s">
        <v>52</v>
      </c>
      <c r="C16" s="59"/>
      <c r="D16" s="59"/>
      <c r="E16" s="112">
        <f>E12*0.012</f>
        <v>243585.25786060968</v>
      </c>
      <c r="F16" s="105"/>
      <c r="G16" s="4"/>
      <c r="H16" s="112">
        <f>H12*0.012</f>
        <v>569.88200299102755</v>
      </c>
      <c r="I16" s="4"/>
      <c r="J16" s="4"/>
      <c r="K16" s="109"/>
    </row>
    <row r="17" spans="1:11">
      <c r="A17" s="100">
        <f t="shared" si="0"/>
        <v>11</v>
      </c>
      <c r="B17" s="59" t="s">
        <v>156</v>
      </c>
      <c r="C17" s="59"/>
      <c r="D17" s="59"/>
      <c r="E17" s="109">
        <f>SUM(E14:E16)</f>
        <v>2453201.0843317984</v>
      </c>
      <c r="F17" s="4"/>
      <c r="G17" s="4"/>
      <c r="H17" s="109">
        <f>SUM(H14:H16)</f>
        <v>6297.4923785078154</v>
      </c>
      <c r="I17" s="4"/>
      <c r="J17" s="4"/>
      <c r="K17" s="109"/>
    </row>
    <row r="18" spans="1:11">
      <c r="A18" s="100">
        <f t="shared" si="0"/>
        <v>12</v>
      </c>
      <c r="B18" s="59" t="s">
        <v>169</v>
      </c>
      <c r="C18" s="59"/>
      <c r="D18" s="59"/>
      <c r="E18" s="115">
        <v>0</v>
      </c>
      <c r="F18" s="4"/>
      <c r="G18" s="4"/>
      <c r="H18" s="115">
        <v>0</v>
      </c>
      <c r="I18" s="4"/>
      <c r="J18" s="4"/>
      <c r="K18" s="115"/>
    </row>
    <row r="19" spans="1:11">
      <c r="A19" s="100">
        <f t="shared" si="0"/>
        <v>13</v>
      </c>
      <c r="B19" s="59" t="s">
        <v>170</v>
      </c>
      <c r="C19" s="59"/>
      <c r="D19" s="59"/>
      <c r="E19" s="108">
        <f>E17-E18</f>
        <v>2453201.0843317984</v>
      </c>
      <c r="F19" s="4"/>
      <c r="G19" s="4"/>
      <c r="H19" s="108">
        <f>H17-H18</f>
        <v>6297.4923785078154</v>
      </c>
      <c r="I19" s="4"/>
      <c r="J19" s="4"/>
      <c r="K19" s="108">
        <f>E19+H19</f>
        <v>2459498.5767103061</v>
      </c>
    </row>
    <row r="20" spans="1:11">
      <c r="A20" s="116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B21" s="59"/>
      <c r="C21" s="4"/>
      <c r="D21" s="4"/>
      <c r="E21" s="87"/>
    </row>
    <row r="22" spans="1:11">
      <c r="B22" s="59"/>
      <c r="C22" s="4"/>
      <c r="D22" s="4"/>
      <c r="E22" s="5"/>
    </row>
    <row r="23" spans="1:11">
      <c r="B23" s="59"/>
      <c r="E23" s="58"/>
    </row>
    <row r="24" spans="1:11">
      <c r="A24" s="13"/>
      <c r="E24" s="4"/>
    </row>
    <row r="25" spans="1:11">
      <c r="A25" s="13"/>
      <c r="E25" s="58"/>
    </row>
    <row r="26" spans="1:11">
      <c r="A26" s="12"/>
      <c r="E26" s="14"/>
      <c r="F26" s="3"/>
      <c r="G26" s="3"/>
    </row>
    <row r="27" spans="1:11">
      <c r="A27" s="12"/>
      <c r="E27" s="14"/>
      <c r="F27" s="3"/>
      <c r="G27" s="3"/>
    </row>
    <row r="28" spans="1:11">
      <c r="A28" s="12"/>
      <c r="E28" s="4"/>
    </row>
    <row r="29" spans="1:11" ht="12.75" customHeight="1">
      <c r="A29" s="85"/>
      <c r="B29" s="85"/>
      <c r="C29" s="85"/>
      <c r="D29" s="85"/>
      <c r="E29" s="58"/>
      <c r="F29" s="85"/>
      <c r="G29" s="85"/>
      <c r="H29" s="85"/>
      <c r="I29" s="69"/>
    </row>
    <row r="30" spans="1:11">
      <c r="A30" s="85"/>
      <c r="B30" s="85"/>
      <c r="C30" s="85"/>
      <c r="D30" s="85"/>
      <c r="E30" s="58"/>
      <c r="F30" s="85"/>
      <c r="G30" s="85"/>
      <c r="H30" s="85"/>
      <c r="I30" s="69"/>
    </row>
    <row r="31" spans="1:11">
      <c r="A31" s="12"/>
      <c r="F31" s="14"/>
      <c r="G31" s="3"/>
      <c r="H31" s="3"/>
      <c r="I31" s="69"/>
    </row>
    <row r="32" spans="1:11">
      <c r="A32" s="67"/>
    </row>
    <row r="33" spans="1:5">
      <c r="A33" s="67"/>
    </row>
    <row r="34" spans="1:5">
      <c r="B34" t="s">
        <v>157</v>
      </c>
      <c r="E34" s="4">
        <v>44530</v>
      </c>
    </row>
    <row r="35" spans="1:5">
      <c r="B35" s="57" t="s">
        <v>158</v>
      </c>
      <c r="C35" s="57"/>
      <c r="D35" s="57"/>
      <c r="E35" s="4">
        <v>44620</v>
      </c>
    </row>
  </sheetData>
  <mergeCells count="2">
    <mergeCell ref="A2:F2"/>
    <mergeCell ref="A1:K1"/>
  </mergeCells>
  <pageMargins left="0.7" right="0.7" top="0.89124999999999999" bottom="0.75" header="0.3" footer="0.3"/>
  <pageSetup scale="77" orientation="portrait" r:id="rId1"/>
  <headerFooter scaleWithDoc="0">
    <oddHeader xml:space="preserve">&amp;R&amp;"Arial,Regular"Dominion Energy Utah
Docket No 21-057-30
DEU Exhibit 1.3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1:J26"/>
  <sheetViews>
    <sheetView view="pageLayout" zoomScaleNormal="100" workbookViewId="0">
      <selection activeCell="E6" sqref="E6"/>
    </sheetView>
  </sheetViews>
  <sheetFormatPr defaultRowHeight="12.75"/>
  <cols>
    <col min="1" max="1" width="26.42578125" customWidth="1"/>
    <col min="2" max="2" width="3.28515625" customWidth="1"/>
    <col min="3" max="3" width="12.140625" customWidth="1"/>
    <col min="4" max="4" width="2.5703125" customWidth="1"/>
    <col min="5" max="5" width="23.5703125" bestFit="1" customWidth="1"/>
    <col min="6" max="6" width="2.7109375" customWidth="1"/>
    <col min="7" max="7" width="14" bestFit="1" customWidth="1"/>
    <col min="8" max="8" width="2.5703125" customWidth="1"/>
    <col min="9" max="9" width="16" bestFit="1" customWidth="1"/>
    <col min="10" max="10" width="3.85546875" customWidth="1"/>
  </cols>
  <sheetData>
    <row r="1" spans="2:10" ht="15.75">
      <c r="B1" s="117"/>
      <c r="C1" s="255" t="s">
        <v>53</v>
      </c>
      <c r="D1" s="255"/>
      <c r="E1" s="255"/>
      <c r="F1" s="255"/>
      <c r="G1" s="255"/>
      <c r="H1" s="255"/>
      <c r="I1" s="255"/>
      <c r="J1" s="90"/>
    </row>
    <row r="2" spans="2:10" ht="15">
      <c r="B2" s="117"/>
      <c r="C2" s="117"/>
      <c r="D2" s="118"/>
      <c r="E2" s="118"/>
      <c r="F2" s="118"/>
      <c r="G2" s="117"/>
      <c r="H2" s="118"/>
      <c r="I2" s="117"/>
      <c r="J2" s="90"/>
    </row>
    <row r="3" spans="2:10" ht="15">
      <c r="B3" s="117"/>
      <c r="C3" s="117"/>
      <c r="D3" s="118"/>
      <c r="E3" s="118"/>
      <c r="F3" s="118"/>
      <c r="G3" s="117"/>
      <c r="H3" s="118"/>
      <c r="I3" s="117"/>
      <c r="J3" s="90"/>
    </row>
    <row r="4" spans="2:10" ht="15">
      <c r="B4" s="117"/>
      <c r="C4" s="117"/>
      <c r="D4" s="119"/>
      <c r="E4" s="119" t="s">
        <v>54</v>
      </c>
      <c r="F4" s="119"/>
      <c r="G4" s="119" t="s">
        <v>55</v>
      </c>
      <c r="H4" s="119"/>
      <c r="I4" s="119" t="s">
        <v>56</v>
      </c>
      <c r="J4" s="120"/>
    </row>
    <row r="5" spans="2:10" ht="15.75">
      <c r="B5" s="117"/>
      <c r="C5" s="117"/>
      <c r="D5" s="117"/>
      <c r="E5" s="121"/>
      <c r="F5" s="117"/>
      <c r="G5" s="117"/>
      <c r="H5" s="117"/>
      <c r="I5" s="121"/>
      <c r="J5" s="122"/>
    </row>
    <row r="6" spans="2:10" ht="15">
      <c r="B6" s="117"/>
      <c r="C6" s="117"/>
      <c r="D6" s="119"/>
      <c r="E6" s="119" t="s">
        <v>57</v>
      </c>
      <c r="F6" s="119"/>
      <c r="G6" s="4"/>
      <c r="H6" s="119"/>
      <c r="I6" s="119" t="s">
        <v>4</v>
      </c>
      <c r="J6" s="120"/>
    </row>
    <row r="7" spans="2:10" ht="15">
      <c r="B7" s="117"/>
      <c r="C7" s="117"/>
      <c r="D7" s="123"/>
      <c r="E7" s="123" t="s">
        <v>59</v>
      </c>
      <c r="F7" s="123"/>
      <c r="G7" s="119" t="s">
        <v>58</v>
      </c>
      <c r="H7" s="123"/>
      <c r="I7" s="119" t="s">
        <v>168</v>
      </c>
      <c r="J7" s="124"/>
    </row>
    <row r="8" spans="2:10" ht="15">
      <c r="B8" s="117"/>
      <c r="C8" s="117"/>
      <c r="D8" s="117"/>
      <c r="E8" s="119" t="s">
        <v>43</v>
      </c>
      <c r="F8" s="117"/>
      <c r="G8" s="125" t="s">
        <v>60</v>
      </c>
      <c r="H8" s="117"/>
      <c r="I8" s="125" t="s">
        <v>40</v>
      </c>
      <c r="J8" s="122"/>
    </row>
    <row r="9" spans="2:10" ht="15">
      <c r="B9" s="119">
        <v>1</v>
      </c>
      <c r="C9" s="117" t="s">
        <v>61</v>
      </c>
      <c r="D9" s="126"/>
      <c r="E9" s="127">
        <v>343311795</v>
      </c>
      <c r="F9" s="126"/>
      <c r="G9" s="128">
        <f>E9/$E$17</f>
        <v>0.87705511279901616</v>
      </c>
      <c r="H9" s="126"/>
      <c r="I9" s="126">
        <f>G9*$I$17</f>
        <v>2157115.8016256774</v>
      </c>
      <c r="J9" s="129"/>
    </row>
    <row r="10" spans="2:10" ht="15">
      <c r="B10" s="119">
        <v>2</v>
      </c>
      <c r="C10" s="117" t="s">
        <v>62</v>
      </c>
      <c r="D10" s="130"/>
      <c r="E10" s="130">
        <v>2811909</v>
      </c>
      <c r="F10" s="130"/>
      <c r="G10" s="128">
        <f t="shared" ref="G10:G15" si="0">E10/$E$17</f>
        <v>7.1835550106152599E-3</v>
      </c>
      <c r="H10" s="130"/>
      <c r="I10" s="126">
        <f t="shared" ref="I10:I15" si="1">G10*$I$17</f>
        <v>17667.943324328418</v>
      </c>
      <c r="J10" s="131"/>
    </row>
    <row r="11" spans="2:10" ht="15">
      <c r="B11" s="119">
        <v>3</v>
      </c>
      <c r="C11" s="117" t="s">
        <v>63</v>
      </c>
      <c r="D11" s="130"/>
      <c r="E11" s="130">
        <v>2731602</v>
      </c>
      <c r="F11" s="130"/>
      <c r="G11" s="128">
        <f t="shared" si="0"/>
        <v>6.9783955434214494E-3</v>
      </c>
      <c r="H11" s="130"/>
      <c r="I11" s="126">
        <f t="shared" si="1"/>
        <v>17163.353906766599</v>
      </c>
      <c r="J11" s="131"/>
    </row>
    <row r="12" spans="2:10" ht="15">
      <c r="B12" s="119">
        <v>4</v>
      </c>
      <c r="C12" s="117" t="s">
        <v>64</v>
      </c>
      <c r="D12" s="130"/>
      <c r="E12" s="130">
        <v>151600</v>
      </c>
      <c r="F12" s="130"/>
      <c r="G12" s="128">
        <f t="shared" si="0"/>
        <v>3.8729096126840281E-4</v>
      </c>
      <c r="H12" s="130"/>
      <c r="I12" s="126">
        <f t="shared" si="1"/>
        <v>952.54156801240299</v>
      </c>
      <c r="J12" s="131"/>
    </row>
    <row r="13" spans="2:10" ht="15">
      <c r="B13" s="119">
        <v>5</v>
      </c>
      <c r="C13" s="117" t="s">
        <v>194</v>
      </c>
      <c r="D13" s="130"/>
      <c r="E13" s="130">
        <v>40061659</v>
      </c>
      <c r="F13" s="130"/>
      <c r="G13" s="128">
        <f t="shared" si="0"/>
        <v>0.10234510833850238</v>
      </c>
      <c r="H13" s="130"/>
      <c r="I13" s="126">
        <f t="shared" si="1"/>
        <v>251717.6482918087</v>
      </c>
      <c r="J13" s="131"/>
    </row>
    <row r="14" spans="2:10" ht="15">
      <c r="B14" s="119">
        <v>6</v>
      </c>
      <c r="C14" s="117" t="s">
        <v>65</v>
      </c>
      <c r="D14" s="130"/>
      <c r="E14" s="130">
        <v>0</v>
      </c>
      <c r="F14" s="130"/>
      <c r="G14" s="128">
        <f t="shared" si="0"/>
        <v>0</v>
      </c>
      <c r="H14" s="130"/>
      <c r="I14" s="126">
        <f t="shared" si="1"/>
        <v>0</v>
      </c>
      <c r="J14" s="131"/>
    </row>
    <row r="15" spans="2:10" ht="15">
      <c r="B15" s="119">
        <v>7</v>
      </c>
      <c r="C15" s="117" t="s">
        <v>195</v>
      </c>
      <c r="D15" s="130"/>
      <c r="E15" s="130">
        <v>2368404</v>
      </c>
      <c r="F15" s="130"/>
      <c r="G15" s="128">
        <f t="shared" si="0"/>
        <v>6.0505373471763215E-3</v>
      </c>
      <c r="H15" s="130"/>
      <c r="I15" s="132">
        <f t="shared" si="1"/>
        <v>14881.287993712715</v>
      </c>
      <c r="J15" s="131"/>
    </row>
    <row r="16" spans="2:10" ht="15">
      <c r="B16" s="119"/>
      <c r="C16" s="117"/>
      <c r="D16" s="133"/>
      <c r="E16" s="127"/>
      <c r="F16" s="133"/>
      <c r="G16" s="127"/>
      <c r="H16" s="133"/>
      <c r="I16" s="133"/>
      <c r="J16" s="134"/>
    </row>
    <row r="17" spans="2:10" ht="15">
      <c r="B17" s="119">
        <v>8</v>
      </c>
      <c r="C17" s="117" t="s">
        <v>66</v>
      </c>
      <c r="D17" s="133"/>
      <c r="E17" s="133">
        <f>SUM(E9:E15)</f>
        <v>391436969</v>
      </c>
      <c r="F17" s="133"/>
      <c r="G17" s="135">
        <f>SUM(G9:G15)</f>
        <v>1.0000000000000002</v>
      </c>
      <c r="H17" s="133"/>
      <c r="I17" s="133">
        <f>'Exhibit 1.3'!K19</f>
        <v>2459498.5767103061</v>
      </c>
      <c r="J17" s="133" t="s">
        <v>45</v>
      </c>
    </row>
    <row r="18" spans="2:10" ht="15">
      <c r="B18" s="119"/>
      <c r="C18" s="117"/>
      <c r="D18" s="133"/>
      <c r="E18" s="133"/>
      <c r="F18" s="133"/>
      <c r="G18" s="133"/>
      <c r="H18" s="133"/>
      <c r="I18" s="133"/>
      <c r="J18" s="134"/>
    </row>
    <row r="19" spans="2:10" ht="15">
      <c r="B19" s="117"/>
      <c r="C19" s="117"/>
      <c r="D19" s="117"/>
      <c r="E19" s="117"/>
      <c r="F19" s="117"/>
      <c r="G19" s="117"/>
      <c r="H19" s="117"/>
      <c r="I19" s="117"/>
      <c r="J19" s="122"/>
    </row>
    <row r="20" spans="2:10" ht="15">
      <c r="B20" s="117"/>
      <c r="C20" s="117" t="s">
        <v>209</v>
      </c>
      <c r="D20" s="117"/>
      <c r="E20" s="117"/>
      <c r="F20" s="117"/>
      <c r="G20" s="117"/>
      <c r="H20" s="117"/>
      <c r="I20" s="117"/>
      <c r="J20" s="122"/>
    </row>
    <row r="21" spans="2:10" ht="15">
      <c r="B21" s="117"/>
      <c r="C21" s="117" t="s">
        <v>226</v>
      </c>
      <c r="D21" s="117"/>
      <c r="E21" s="117"/>
      <c r="F21" s="117"/>
      <c r="G21" s="117"/>
      <c r="H21" s="117"/>
      <c r="I21" s="117"/>
      <c r="J21" s="136"/>
    </row>
    <row r="22" spans="2:10" ht="15.75">
      <c r="B22" s="121"/>
      <c r="C22" s="121"/>
      <c r="D22" s="121"/>
      <c r="E22" s="121"/>
      <c r="F22" s="121"/>
      <c r="G22" s="121"/>
      <c r="H22" s="121"/>
      <c r="I22" s="121"/>
      <c r="J22" s="4"/>
    </row>
    <row r="23" spans="2:10" ht="15.75">
      <c r="B23" s="68"/>
      <c r="C23" s="68"/>
      <c r="D23" s="68"/>
      <c r="E23" s="68"/>
      <c r="F23" s="68"/>
      <c r="G23" s="68"/>
      <c r="H23" s="68"/>
      <c r="I23" s="68"/>
    </row>
    <row r="24" spans="2:10" ht="15.75">
      <c r="B24" s="68"/>
      <c r="C24" s="68"/>
      <c r="D24" s="68"/>
      <c r="E24" s="68"/>
      <c r="F24" s="68"/>
      <c r="G24" s="68"/>
      <c r="H24" s="68"/>
      <c r="I24" s="68"/>
    </row>
    <row r="25" spans="2:10" ht="15.75">
      <c r="B25" s="68"/>
      <c r="C25" s="68"/>
      <c r="D25" s="68"/>
      <c r="E25" s="68"/>
      <c r="F25" s="68"/>
      <c r="G25" s="68"/>
      <c r="H25" s="68"/>
      <c r="I25" s="68"/>
    </row>
    <row r="26" spans="2:10" ht="15.75">
      <c r="B26" s="68"/>
      <c r="C26" s="68"/>
      <c r="D26" s="68"/>
      <c r="E26" s="68"/>
      <c r="F26" s="68"/>
      <c r="G26" s="68"/>
      <c r="H26" s="68"/>
      <c r="I26" s="68"/>
    </row>
  </sheetData>
  <mergeCells count="1">
    <mergeCell ref="C1:I1"/>
  </mergeCells>
  <pageMargins left="0.7" right="0.7" top="0.86458333333333304" bottom="0.75" header="0.3" footer="0.3"/>
  <pageSetup scale="74" orientation="portrait" r:id="rId1"/>
  <headerFooter scaleWithDoc="0">
    <oddHeader xml:space="preserve">&amp;R&amp;"Arial,Regular"Dominion Energy Utah
Docket No 21-057-30
DEU Exhibit 1.4
</oddHeader>
  </headerFooter>
  <colBreaks count="1" manualBreakCount="1">
    <brk id="10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75"/>
  <sheetViews>
    <sheetView view="pageLayout" zoomScale="80" zoomScaleNormal="85" zoomScalePageLayoutView="80" workbookViewId="0">
      <selection activeCell="M4" sqref="M4"/>
    </sheetView>
  </sheetViews>
  <sheetFormatPr defaultRowHeight="12.75"/>
  <cols>
    <col min="1" max="1" width="4.42578125" style="4" customWidth="1"/>
    <col min="2" max="3" width="9.140625" style="4"/>
    <col min="4" max="4" width="7.42578125" style="4" bestFit="1" customWidth="1"/>
    <col min="5" max="5" width="9.140625" style="4" bestFit="1" customWidth="1"/>
    <col min="6" max="6" width="2" style="4" customWidth="1"/>
    <col min="7" max="7" width="13.28515625" style="4" customWidth="1"/>
    <col min="8" max="8" width="15.42578125" style="4" bestFit="1" customWidth="1"/>
    <col min="9" max="9" width="13.28515625" style="4" customWidth="1"/>
    <col min="10" max="10" width="2" style="4" customWidth="1"/>
    <col min="11" max="11" width="15.28515625" style="4" customWidth="1"/>
    <col min="12" max="12" width="12" style="4" bestFit="1" customWidth="1"/>
    <col min="13" max="15" width="13.7109375" style="4" customWidth="1"/>
    <col min="16" max="16" width="5.140625" customWidth="1"/>
    <col min="17" max="17" width="5.140625" style="63" customWidth="1"/>
    <col min="18" max="18" width="16.7109375" bestFit="1" customWidth="1"/>
    <col min="19" max="19" width="5" customWidth="1"/>
    <col min="20" max="20" width="15" bestFit="1" customWidth="1"/>
    <col min="21" max="21" width="10.42578125" style="63" bestFit="1" customWidth="1"/>
    <col min="22" max="22" width="10.42578125" bestFit="1" customWidth="1"/>
    <col min="23" max="23" width="4.140625" style="63" customWidth="1"/>
    <col min="24" max="24" width="10.42578125" bestFit="1" customWidth="1"/>
  </cols>
  <sheetData>
    <row r="1" spans="1:24" ht="15.75">
      <c r="A1" s="256" t="s">
        <v>210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24">
      <c r="A2" s="137"/>
      <c r="B2" s="138"/>
      <c r="C2" s="138"/>
      <c r="D2" s="138"/>
      <c r="E2" s="139"/>
      <c r="F2" s="139"/>
      <c r="G2" s="138"/>
      <c r="H2" s="138"/>
      <c r="I2" s="138"/>
      <c r="J2" s="140"/>
      <c r="K2" s="138"/>
      <c r="L2" s="138"/>
      <c r="M2" s="138"/>
      <c r="N2" s="138"/>
      <c r="O2" s="138"/>
    </row>
    <row r="3" spans="1:24">
      <c r="A3" s="137"/>
      <c r="B3" s="137"/>
      <c r="C3" s="137" t="s">
        <v>54</v>
      </c>
      <c r="D3" s="137" t="s">
        <v>55</v>
      </c>
      <c r="E3" s="141" t="s">
        <v>56</v>
      </c>
      <c r="F3" s="141"/>
      <c r="G3" s="137" t="s">
        <v>67</v>
      </c>
      <c r="H3" s="137" t="s">
        <v>68</v>
      </c>
      <c r="I3" s="142" t="s">
        <v>69</v>
      </c>
      <c r="J3" s="142"/>
      <c r="K3" s="142" t="s">
        <v>70</v>
      </c>
      <c r="L3" s="142" t="s">
        <v>71</v>
      </c>
      <c r="M3" s="142" t="s">
        <v>72</v>
      </c>
      <c r="N3" s="142" t="s">
        <v>73</v>
      </c>
      <c r="O3" s="142" t="s">
        <v>74</v>
      </c>
    </row>
    <row r="4" spans="1:24">
      <c r="A4" s="137"/>
      <c r="B4" s="143" t="s">
        <v>75</v>
      </c>
      <c r="C4" s="144"/>
      <c r="D4" s="144"/>
      <c r="E4" s="145"/>
      <c r="F4" s="145"/>
      <c r="G4" s="257" t="s">
        <v>173</v>
      </c>
      <c r="H4" s="257"/>
      <c r="I4" s="257"/>
      <c r="J4" s="144"/>
      <c r="K4" s="146" t="s">
        <v>211</v>
      </c>
      <c r="L4" s="147"/>
      <c r="M4" s="146" t="s">
        <v>211</v>
      </c>
      <c r="N4" s="146" t="s">
        <v>76</v>
      </c>
      <c r="O4" s="146" t="s">
        <v>77</v>
      </c>
    </row>
    <row r="5" spans="1:24">
      <c r="A5" s="137"/>
      <c r="B5" s="143"/>
      <c r="C5" s="144"/>
      <c r="D5" s="144"/>
      <c r="E5" s="145"/>
      <c r="F5" s="145"/>
      <c r="G5" s="141"/>
      <c r="H5" s="141"/>
      <c r="I5" s="141"/>
      <c r="J5" s="144"/>
      <c r="K5" s="146" t="s">
        <v>212</v>
      </c>
      <c r="L5" s="147" t="s">
        <v>78</v>
      </c>
      <c r="M5" s="146" t="s">
        <v>212</v>
      </c>
      <c r="N5" s="146"/>
      <c r="O5" s="146" t="s">
        <v>79</v>
      </c>
      <c r="R5" t="s">
        <v>161</v>
      </c>
    </row>
    <row r="6" spans="1:24" ht="13.5" thickBot="1">
      <c r="A6" s="137"/>
      <c r="B6" s="148" t="s">
        <v>80</v>
      </c>
      <c r="C6" s="149"/>
      <c r="D6" s="149"/>
      <c r="E6" s="150" t="s">
        <v>81</v>
      </c>
      <c r="F6" s="151"/>
      <c r="G6" s="152" t="s">
        <v>81</v>
      </c>
      <c r="H6" s="152" t="s">
        <v>172</v>
      </c>
      <c r="I6" s="153" t="s">
        <v>82</v>
      </c>
      <c r="J6" s="144"/>
      <c r="K6" s="152" t="s">
        <v>40</v>
      </c>
      <c r="L6" s="152" t="s">
        <v>83</v>
      </c>
      <c r="M6" s="152" t="s">
        <v>84</v>
      </c>
      <c r="N6" s="152"/>
      <c r="O6" s="152"/>
      <c r="R6" t="s">
        <v>162</v>
      </c>
      <c r="T6" t="s">
        <v>163</v>
      </c>
      <c r="V6" t="s">
        <v>164</v>
      </c>
      <c r="X6" t="s">
        <v>165</v>
      </c>
    </row>
    <row r="7" spans="1:24">
      <c r="A7" s="137">
        <v>1</v>
      </c>
      <c r="B7" s="154" t="s">
        <v>85</v>
      </c>
      <c r="C7" s="154" t="s">
        <v>86</v>
      </c>
      <c r="D7" s="154" t="s">
        <v>87</v>
      </c>
      <c r="E7" s="155">
        <v>45</v>
      </c>
      <c r="F7" s="155"/>
      <c r="G7" s="156">
        <v>63675932</v>
      </c>
      <c r="H7" s="157">
        <v>2.6480100000000002</v>
      </c>
      <c r="I7" s="158">
        <f>ROUND(G7*H7,0)</f>
        <v>168614505</v>
      </c>
      <c r="J7" s="159"/>
      <c r="K7" s="156">
        <f>M7*G7</f>
        <v>1465183.1953199999</v>
      </c>
      <c r="L7" s="160">
        <f>L12</f>
        <v>8.6890074457520554E-3</v>
      </c>
      <c r="M7" s="17">
        <f>ROUND(L7*SUM(H7:H7),5)</f>
        <v>2.3009999999999999E-2</v>
      </c>
      <c r="N7" s="17">
        <v>0</v>
      </c>
      <c r="O7" s="17">
        <f>M7-N7</f>
        <v>2.3009999999999999E-2</v>
      </c>
      <c r="Q7" s="62"/>
      <c r="R7" s="64">
        <f>H7</f>
        <v>2.6480100000000002</v>
      </c>
      <c r="S7" s="17"/>
      <c r="T7" s="17">
        <f>R7+O7</f>
        <v>2.6710200000000004</v>
      </c>
      <c r="U7" s="62"/>
      <c r="V7" s="88">
        <v>9.2337900000000008</v>
      </c>
      <c r="W7" s="62"/>
      <c r="X7" s="61">
        <f>V7+O7</f>
        <v>9.2568000000000001</v>
      </c>
    </row>
    <row r="8" spans="1:24">
      <c r="A8" s="137">
        <f>A7+1</f>
        <v>2</v>
      </c>
      <c r="B8" s="154"/>
      <c r="C8" s="154" t="s">
        <v>88</v>
      </c>
      <c r="D8" s="154" t="s">
        <v>166</v>
      </c>
      <c r="E8" s="155">
        <v>45</v>
      </c>
      <c r="F8" s="155"/>
      <c r="G8" s="156">
        <v>17285586</v>
      </c>
      <c r="H8" s="157">
        <v>1.4456100000000001</v>
      </c>
      <c r="I8" s="158">
        <f>ROUND(G8*H8,0)</f>
        <v>24988216</v>
      </c>
      <c r="J8" s="161"/>
      <c r="K8" s="156">
        <f>M8*G8</f>
        <v>217106.96015999999</v>
      </c>
      <c r="L8" s="160">
        <f>L12</f>
        <v>8.6890074457520554E-3</v>
      </c>
      <c r="M8" s="17">
        <f>ROUND(L8*SUM(H8:H8),5)</f>
        <v>1.256E-2</v>
      </c>
      <c r="N8" s="17">
        <v>0</v>
      </c>
      <c r="O8" s="17">
        <f>M8-N8</f>
        <v>1.256E-2</v>
      </c>
      <c r="Q8" s="62"/>
      <c r="R8" s="64">
        <f>H8</f>
        <v>1.4456100000000001</v>
      </c>
      <c r="S8" s="17"/>
      <c r="T8" s="17">
        <f>R8+O8</f>
        <v>1.45817</v>
      </c>
      <c r="U8" s="62"/>
      <c r="V8" s="88">
        <v>7.9600499999999998</v>
      </c>
      <c r="W8" s="62"/>
      <c r="X8" s="61">
        <f>V8+O8</f>
        <v>7.9726099999999995</v>
      </c>
    </row>
    <row r="9" spans="1:24">
      <c r="A9" s="137"/>
      <c r="B9" s="162"/>
      <c r="C9" s="154"/>
      <c r="D9" s="154"/>
      <c r="E9" s="163"/>
      <c r="F9" s="163"/>
      <c r="G9" s="156"/>
      <c r="H9" s="157"/>
      <c r="I9" s="158"/>
      <c r="J9" s="161"/>
      <c r="K9" s="156"/>
      <c r="L9" s="157"/>
      <c r="M9" s="158"/>
      <c r="N9" s="158"/>
      <c r="O9" s="158"/>
      <c r="P9" s="4"/>
      <c r="Q9" s="62"/>
      <c r="R9" s="17"/>
      <c r="S9" s="17"/>
      <c r="T9" s="17"/>
      <c r="U9" s="62"/>
      <c r="V9" s="88"/>
      <c r="W9" s="62"/>
    </row>
    <row r="10" spans="1:24">
      <c r="A10" s="137">
        <f>A8+1</f>
        <v>3</v>
      </c>
      <c r="B10" s="164" t="s">
        <v>90</v>
      </c>
      <c r="C10" s="154" t="s">
        <v>86</v>
      </c>
      <c r="D10" s="154" t="str">
        <f>D7</f>
        <v>First</v>
      </c>
      <c r="E10" s="163">
        <f>E7</f>
        <v>45</v>
      </c>
      <c r="F10" s="163"/>
      <c r="G10" s="156">
        <v>26277818</v>
      </c>
      <c r="H10" s="157">
        <v>1.94617</v>
      </c>
      <c r="I10" s="158">
        <f t="shared" ref="I10:I11" si="0">ROUND(G10*H10,0)</f>
        <v>51141101</v>
      </c>
      <c r="J10" s="161"/>
      <c r="K10" s="156">
        <f>M10*G10</f>
        <v>444357.90238000004</v>
      </c>
      <c r="L10" s="160">
        <f>L12</f>
        <v>8.6890074457520554E-3</v>
      </c>
      <c r="M10" s="17">
        <f>ROUND(L10*SUM(H10:H10),5)</f>
        <v>1.6910000000000001E-2</v>
      </c>
      <c r="N10" s="17">
        <v>0</v>
      </c>
      <c r="O10" s="17">
        <f>M10-N10</f>
        <v>1.6910000000000001E-2</v>
      </c>
      <c r="P10" s="4"/>
      <c r="Q10" s="62"/>
      <c r="R10" s="64">
        <f t="shared" ref="R10:R11" si="1">H10</f>
        <v>1.94617</v>
      </c>
      <c r="S10" s="17"/>
      <c r="T10" s="17">
        <f>R10+O10</f>
        <v>1.9630799999999999</v>
      </c>
      <c r="U10" s="62"/>
      <c r="V10" s="89">
        <v>7.9415399999999998</v>
      </c>
      <c r="W10" s="62"/>
      <c r="X10" s="61">
        <f>V10+O10</f>
        <v>7.95845</v>
      </c>
    </row>
    <row r="11" spans="1:24">
      <c r="A11" s="137">
        <f>A10+1</f>
        <v>4</v>
      </c>
      <c r="B11" s="164"/>
      <c r="C11" s="154" t="s">
        <v>88</v>
      </c>
      <c r="D11" s="154" t="str">
        <f>D8</f>
        <v>Over</v>
      </c>
      <c r="E11" s="163">
        <f>E8</f>
        <v>45</v>
      </c>
      <c r="F11" s="163"/>
      <c r="G11" s="156">
        <v>4724848</v>
      </c>
      <c r="H11" s="157">
        <v>0.74377000000000004</v>
      </c>
      <c r="I11" s="158">
        <f t="shared" si="0"/>
        <v>3514200</v>
      </c>
      <c r="J11" s="161"/>
      <c r="K11" s="156">
        <f>M11*G11</f>
        <v>30522.518079999998</v>
      </c>
      <c r="L11" s="160">
        <f>L12</f>
        <v>8.6890074457520554E-3</v>
      </c>
      <c r="M11" s="17">
        <f>ROUND(L11*SUM(H11:H11),5)</f>
        <v>6.4599999999999996E-3</v>
      </c>
      <c r="N11" s="17">
        <v>0</v>
      </c>
      <c r="O11" s="17">
        <f>M11-N11</f>
        <v>6.4599999999999996E-3</v>
      </c>
      <c r="P11" s="4"/>
      <c r="Q11" s="62"/>
      <c r="R11" s="64">
        <f t="shared" si="1"/>
        <v>0.74377000000000004</v>
      </c>
      <c r="S11" s="17"/>
      <c r="T11" s="17">
        <f>R11+O11</f>
        <v>0.75023000000000006</v>
      </c>
      <c r="U11" s="62"/>
      <c r="V11" s="89">
        <v>6.6677900000000001</v>
      </c>
      <c r="W11" s="62"/>
      <c r="X11" s="61">
        <f>V11+O11</f>
        <v>6.6742499999999998</v>
      </c>
    </row>
    <row r="12" spans="1:24" ht="13.5" thickBot="1">
      <c r="A12" s="137">
        <f>A11+1</f>
        <v>5</v>
      </c>
      <c r="B12" s="165" t="s">
        <v>91</v>
      </c>
      <c r="C12" s="138"/>
      <c r="D12" s="154"/>
      <c r="E12" s="163"/>
      <c r="F12" s="163"/>
      <c r="G12" s="166">
        <f>SUM(G10:G11,G7:G8)</f>
        <v>111964184</v>
      </c>
      <c r="H12" s="167"/>
      <c r="I12" s="166">
        <f>SUM(I7:I11)</f>
        <v>248258022</v>
      </c>
      <c r="J12" s="168"/>
      <c r="K12" s="166">
        <f>'Exhibit 1.4 COS'!I9</f>
        <v>2157115.8016256774</v>
      </c>
      <c r="L12" s="169">
        <f>K12/I12</f>
        <v>8.6890074457520554E-3</v>
      </c>
      <c r="M12" s="166"/>
      <c r="N12" s="166"/>
      <c r="O12" s="166"/>
      <c r="P12" s="4"/>
      <c r="Q12" s="62"/>
      <c r="R12" s="17"/>
      <c r="S12" s="17"/>
      <c r="T12" s="17"/>
      <c r="U12" s="62"/>
      <c r="V12" s="88"/>
      <c r="W12" s="62"/>
    </row>
    <row r="13" spans="1:24" ht="14.25" thickTop="1" thickBot="1">
      <c r="A13" s="137"/>
      <c r="B13" s="170"/>
      <c r="C13" s="170"/>
      <c r="D13" s="170"/>
      <c r="E13" s="171"/>
      <c r="F13" s="145"/>
      <c r="G13" s="172"/>
      <c r="H13" s="170"/>
      <c r="I13" s="172"/>
      <c r="J13" s="172"/>
      <c r="K13" s="172"/>
      <c r="L13" s="172"/>
      <c r="M13" s="172"/>
      <c r="N13" s="172"/>
      <c r="O13" s="172"/>
      <c r="P13" s="4"/>
      <c r="Q13" s="62"/>
      <c r="R13" s="17"/>
      <c r="S13" s="17"/>
      <c r="T13" s="17"/>
      <c r="U13" s="62"/>
      <c r="V13" s="88"/>
      <c r="W13" s="62"/>
    </row>
    <row r="14" spans="1:24">
      <c r="A14" s="137"/>
      <c r="B14" s="144"/>
      <c r="C14" s="144"/>
      <c r="D14" s="144"/>
      <c r="E14" s="145"/>
      <c r="F14" s="145"/>
      <c r="G14" s="173"/>
      <c r="H14" s="144"/>
      <c r="I14" s="173"/>
      <c r="J14" s="173"/>
      <c r="K14" s="146" t="s">
        <v>211</v>
      </c>
      <c r="L14" s="147"/>
      <c r="M14" s="146" t="s">
        <v>211</v>
      </c>
      <c r="N14" s="146" t="s">
        <v>76</v>
      </c>
      <c r="O14" s="146"/>
      <c r="P14" s="4"/>
      <c r="Q14" s="62"/>
      <c r="R14" s="17"/>
      <c r="S14" s="17"/>
      <c r="T14" s="17"/>
      <c r="U14" s="62"/>
      <c r="V14" s="88"/>
      <c r="W14" s="62"/>
    </row>
    <row r="15" spans="1:24">
      <c r="A15" s="137"/>
      <c r="B15" s="143" t="s">
        <v>92</v>
      </c>
      <c r="C15" s="144"/>
      <c r="D15" s="144"/>
      <c r="E15" s="145"/>
      <c r="F15" s="145"/>
      <c r="G15" s="257" t="s">
        <v>171</v>
      </c>
      <c r="H15" s="257"/>
      <c r="I15" s="257"/>
      <c r="J15" s="144"/>
      <c r="K15" s="146" t="s">
        <v>212</v>
      </c>
      <c r="L15" s="147" t="s">
        <v>78</v>
      </c>
      <c r="M15" s="146" t="s">
        <v>212</v>
      </c>
      <c r="N15" s="146"/>
      <c r="O15" s="146"/>
      <c r="P15" s="4"/>
      <c r="Q15" s="62"/>
      <c r="R15" s="17"/>
      <c r="S15" s="17"/>
      <c r="T15" s="17"/>
      <c r="U15" s="62"/>
      <c r="V15" s="88"/>
      <c r="W15" s="62"/>
    </row>
    <row r="16" spans="1:24" ht="13.5" thickBot="1">
      <c r="A16" s="137"/>
      <c r="B16" s="148" t="s">
        <v>80</v>
      </c>
      <c r="C16" s="149"/>
      <c r="D16" s="149"/>
      <c r="E16" s="150" t="s">
        <v>81</v>
      </c>
      <c r="F16" s="151"/>
      <c r="G16" s="152" t="s">
        <v>81</v>
      </c>
      <c r="H16" s="152" t="s">
        <v>172</v>
      </c>
      <c r="I16" s="153" t="s">
        <v>82</v>
      </c>
      <c r="J16" s="144"/>
      <c r="K16" s="152" t="s">
        <v>40</v>
      </c>
      <c r="L16" s="152" t="s">
        <v>83</v>
      </c>
      <c r="M16" s="152" t="s">
        <v>84</v>
      </c>
      <c r="N16" s="152"/>
      <c r="O16" s="152"/>
      <c r="P16" s="4"/>
      <c r="Q16" s="62"/>
      <c r="R16" s="17"/>
      <c r="S16" s="17"/>
      <c r="T16" s="17"/>
      <c r="U16" s="62"/>
      <c r="V16" s="88"/>
      <c r="W16" s="62"/>
    </row>
    <row r="17" spans="1:24">
      <c r="A17" s="137">
        <f>A12+1</f>
        <v>6</v>
      </c>
      <c r="B17" s="174" t="s">
        <v>93</v>
      </c>
      <c r="C17" s="154"/>
      <c r="D17" s="154" t="s">
        <v>94</v>
      </c>
      <c r="E17" s="163">
        <v>0</v>
      </c>
      <c r="F17" s="163"/>
      <c r="G17" s="156">
        <v>253955</v>
      </c>
      <c r="H17" s="157">
        <v>8.1191399999999998</v>
      </c>
      <c r="I17" s="158">
        <f>ROUND(G17*H17,0)</f>
        <v>2061896</v>
      </c>
      <c r="J17" s="161"/>
      <c r="K17" s="156">
        <f>'Exhibit 1.4 COS'!I11</f>
        <v>17163.353906766599</v>
      </c>
      <c r="L17" s="175">
        <f>K17/I17</f>
        <v>8.3240638260933617E-3</v>
      </c>
      <c r="M17" s="17">
        <f>ROUND(L17*SUM(H17:H17),5)</f>
        <v>6.7580000000000001E-2</v>
      </c>
      <c r="N17" s="17">
        <v>0</v>
      </c>
      <c r="O17" s="17">
        <f>M17-N17</f>
        <v>6.7580000000000001E-2</v>
      </c>
      <c r="P17" s="4"/>
      <c r="Q17" s="62"/>
      <c r="R17" s="64">
        <f t="shared" ref="R17" si="2">H17</f>
        <v>8.1191399999999998</v>
      </c>
      <c r="S17" s="17"/>
      <c r="T17" s="17">
        <f>R17+O17</f>
        <v>8.1867199999999993</v>
      </c>
      <c r="U17" s="62"/>
      <c r="V17" s="88">
        <v>14.444039999999999</v>
      </c>
      <c r="W17" s="62"/>
      <c r="X17" s="61">
        <f>V17+O17</f>
        <v>14.511619999999999</v>
      </c>
    </row>
    <row r="18" spans="1:24">
      <c r="A18" s="137"/>
      <c r="B18" s="174"/>
      <c r="C18" s="154"/>
      <c r="D18" s="154"/>
      <c r="E18" s="163"/>
      <c r="F18" s="163"/>
      <c r="G18" s="156"/>
      <c r="H18" s="157"/>
      <c r="I18" s="156"/>
      <c r="J18" s="161"/>
      <c r="K18" s="156"/>
      <c r="L18" s="176"/>
      <c r="M18" s="17"/>
      <c r="N18" s="17"/>
      <c r="O18" s="17"/>
      <c r="P18" s="4"/>
      <c r="Q18" s="62"/>
      <c r="R18" s="17"/>
      <c r="S18" s="17"/>
      <c r="T18" s="17"/>
      <c r="U18" s="62"/>
      <c r="V18" s="88"/>
      <c r="W18" s="62"/>
    </row>
    <row r="19" spans="1:24" ht="13.5" thickBot="1">
      <c r="A19" s="137"/>
      <c r="B19" s="171"/>
      <c r="C19" s="171"/>
      <c r="D19" s="171"/>
      <c r="E19" s="171"/>
      <c r="F19" s="145"/>
      <c r="G19" s="177"/>
      <c r="H19" s="178"/>
      <c r="I19" s="178"/>
      <c r="J19" s="144"/>
      <c r="K19" s="177"/>
      <c r="L19" s="178"/>
      <c r="M19" s="178"/>
      <c r="N19" s="178"/>
      <c r="O19" s="178"/>
      <c r="P19" s="4"/>
      <c r="Q19" s="62"/>
      <c r="R19" s="17"/>
      <c r="S19" s="17"/>
      <c r="T19" s="17"/>
      <c r="U19" s="62"/>
      <c r="V19" s="88"/>
      <c r="W19" s="62"/>
    </row>
    <row r="20" spans="1:24">
      <c r="A20" s="137"/>
      <c r="B20" s="145"/>
      <c r="C20" s="145"/>
      <c r="D20" s="145"/>
      <c r="E20" s="145"/>
      <c r="F20" s="145"/>
      <c r="G20" s="179"/>
      <c r="H20" s="180"/>
      <c r="I20" s="180"/>
      <c r="J20" s="144"/>
      <c r="K20" s="146" t="s">
        <v>211</v>
      </c>
      <c r="L20" s="147"/>
      <c r="M20" s="146" t="s">
        <v>211</v>
      </c>
      <c r="N20" s="146" t="s">
        <v>76</v>
      </c>
      <c r="O20" s="146"/>
      <c r="P20" s="4"/>
      <c r="Q20" s="62"/>
      <c r="R20" s="17"/>
      <c r="S20" s="17"/>
      <c r="T20" s="17"/>
      <c r="U20" s="62"/>
      <c r="V20" s="88"/>
      <c r="W20" s="62"/>
    </row>
    <row r="21" spans="1:24">
      <c r="A21" s="137"/>
      <c r="B21" s="143" t="s">
        <v>95</v>
      </c>
      <c r="C21" s="145"/>
      <c r="D21" s="145"/>
      <c r="E21" s="145"/>
      <c r="F21" s="146"/>
      <c r="G21" s="257" t="s">
        <v>171</v>
      </c>
      <c r="H21" s="257"/>
      <c r="I21" s="257"/>
      <c r="J21" s="144"/>
      <c r="K21" s="146" t="s">
        <v>212</v>
      </c>
      <c r="L21" s="147" t="s">
        <v>78</v>
      </c>
      <c r="M21" s="146" t="s">
        <v>212</v>
      </c>
      <c r="N21" s="146"/>
      <c r="O21" s="146"/>
      <c r="P21" s="4"/>
      <c r="Q21" s="62"/>
      <c r="R21" s="17"/>
      <c r="S21" s="17"/>
      <c r="T21" s="17"/>
      <c r="U21" s="62"/>
      <c r="V21" s="88"/>
      <c r="W21" s="62"/>
    </row>
    <row r="22" spans="1:24" ht="13.5" thickBot="1">
      <c r="A22" s="137"/>
      <c r="B22" s="148" t="s">
        <v>80</v>
      </c>
      <c r="C22" s="149"/>
      <c r="D22" s="149"/>
      <c r="E22" s="150" t="s">
        <v>81</v>
      </c>
      <c r="F22" s="151"/>
      <c r="G22" s="152" t="s">
        <v>81</v>
      </c>
      <c r="H22" s="152" t="s">
        <v>172</v>
      </c>
      <c r="I22" s="153" t="s">
        <v>82</v>
      </c>
      <c r="J22" s="144"/>
      <c r="K22" s="152" t="s">
        <v>40</v>
      </c>
      <c r="L22" s="152" t="s">
        <v>83</v>
      </c>
      <c r="M22" s="152" t="s">
        <v>84</v>
      </c>
      <c r="N22" s="152"/>
      <c r="O22" s="152"/>
      <c r="P22" s="4"/>
      <c r="Q22" s="62"/>
      <c r="R22" s="17"/>
      <c r="S22" s="17"/>
      <c r="T22" s="17"/>
      <c r="U22" s="62"/>
      <c r="V22" s="88"/>
      <c r="W22" s="62"/>
    </row>
    <row r="23" spans="1:24">
      <c r="A23" s="137">
        <f>A17+1</f>
        <v>7</v>
      </c>
      <c r="B23" s="154" t="s">
        <v>85</v>
      </c>
      <c r="C23" s="154" t="s">
        <v>86</v>
      </c>
      <c r="D23" s="154" t="s">
        <v>87</v>
      </c>
      <c r="E23" s="163">
        <v>200</v>
      </c>
      <c r="F23" s="163"/>
      <c r="G23" s="156">
        <v>395564</v>
      </c>
      <c r="H23" s="157">
        <v>1.56992</v>
      </c>
      <c r="I23" s="158">
        <f t="shared" ref="I23:I25" si="3">ROUND(G23*H23,0)</f>
        <v>621004</v>
      </c>
      <c r="J23" s="161"/>
      <c r="K23" s="156">
        <f>M23*G23</f>
        <v>4869.3928399999995</v>
      </c>
      <c r="L23" s="181">
        <f>L30</f>
        <v>7.838748477911597E-3</v>
      </c>
      <c r="M23" s="157">
        <f>ROUND(L23*SUM(H23:H23),5)</f>
        <v>1.231E-2</v>
      </c>
      <c r="N23" s="17">
        <v>0</v>
      </c>
      <c r="O23" s="157">
        <f>M23-N23</f>
        <v>1.231E-2</v>
      </c>
      <c r="P23" s="4"/>
      <c r="Q23" s="62"/>
      <c r="R23" s="64">
        <f t="shared" ref="R23:R29" si="4">H23</f>
        <v>1.56992</v>
      </c>
      <c r="S23" s="17"/>
      <c r="T23" s="17">
        <f>R23+O23</f>
        <v>1.58223</v>
      </c>
      <c r="U23" s="62"/>
      <c r="V23" s="88">
        <v>7.6931399999999996</v>
      </c>
      <c r="W23" s="62"/>
      <c r="X23" s="61">
        <f>V23+O23</f>
        <v>7.7054499999999999</v>
      </c>
    </row>
    <row r="24" spans="1:24">
      <c r="A24" s="137">
        <f>A23+1</f>
        <v>8</v>
      </c>
      <c r="B24" s="162"/>
      <c r="C24" s="154" t="s">
        <v>88</v>
      </c>
      <c r="D24" s="154" t="s">
        <v>89</v>
      </c>
      <c r="E24" s="163">
        <v>1800</v>
      </c>
      <c r="F24" s="163"/>
      <c r="G24" s="156">
        <v>613746</v>
      </c>
      <c r="H24" s="157">
        <v>1.07247</v>
      </c>
      <c r="I24" s="158">
        <f t="shared" si="3"/>
        <v>658224</v>
      </c>
      <c r="J24" s="161"/>
      <c r="K24" s="156">
        <f>M24*G24</f>
        <v>5161.6038600000002</v>
      </c>
      <c r="L24" s="181">
        <f>L30</f>
        <v>7.838748477911597E-3</v>
      </c>
      <c r="M24" s="157">
        <f>ROUND(L24*SUM(H24:H24),5)</f>
        <v>8.4100000000000008E-3</v>
      </c>
      <c r="N24" s="17">
        <v>0</v>
      </c>
      <c r="O24" s="157">
        <f>M24-N24</f>
        <v>8.4100000000000008E-3</v>
      </c>
      <c r="P24" s="4"/>
      <c r="Q24" s="62"/>
      <c r="R24" s="64">
        <f t="shared" si="4"/>
        <v>1.07247</v>
      </c>
      <c r="S24" s="17"/>
      <c r="T24" s="17">
        <f>R24+O24</f>
        <v>1.0808800000000001</v>
      </c>
      <c r="U24" s="62"/>
      <c r="V24" s="88">
        <v>7.1746600000000003</v>
      </c>
      <c r="W24" s="62"/>
      <c r="X24" s="61">
        <f>V24+O24</f>
        <v>7.1830699999999998</v>
      </c>
    </row>
    <row r="25" spans="1:24">
      <c r="A25" s="137">
        <f>A24+1</f>
        <v>9</v>
      </c>
      <c r="B25" s="162"/>
      <c r="C25" s="154" t="s">
        <v>96</v>
      </c>
      <c r="D25" s="154" t="s">
        <v>94</v>
      </c>
      <c r="E25" s="163">
        <v>2000</v>
      </c>
      <c r="F25" s="163"/>
      <c r="G25" s="156">
        <v>188147</v>
      </c>
      <c r="H25" s="157">
        <v>0.54883000000000004</v>
      </c>
      <c r="I25" s="158">
        <f t="shared" si="3"/>
        <v>103261</v>
      </c>
      <c r="J25" s="161"/>
      <c r="K25" s="156">
        <f>M25*G25</f>
        <v>809.03210000000001</v>
      </c>
      <c r="L25" s="181">
        <f>L30</f>
        <v>7.838748477911597E-3</v>
      </c>
      <c r="M25" s="157">
        <f>ROUND(L25*SUM(H25:H25),5)</f>
        <v>4.3E-3</v>
      </c>
      <c r="N25" s="17">
        <v>0</v>
      </c>
      <c r="O25" s="157">
        <f>M25-N25</f>
        <v>4.3E-3</v>
      </c>
      <c r="P25" s="4"/>
      <c r="Q25" s="62"/>
      <c r="R25" s="64">
        <f t="shared" si="4"/>
        <v>0.54883000000000004</v>
      </c>
      <c r="S25" s="17"/>
      <c r="T25" s="17">
        <f>R25+O25</f>
        <v>0.55313000000000001</v>
      </c>
      <c r="U25" s="62"/>
      <c r="V25" s="88">
        <v>6.6288799999999997</v>
      </c>
      <c r="W25" s="62"/>
      <c r="X25" s="61">
        <f>V25+O25</f>
        <v>6.6331799999999994</v>
      </c>
    </row>
    <row r="26" spans="1:24">
      <c r="A26" s="137"/>
      <c r="B26" s="162" t="s">
        <v>97</v>
      </c>
      <c r="C26" s="154"/>
      <c r="D26" s="154"/>
      <c r="E26" s="163"/>
      <c r="F26" s="163"/>
      <c r="G26" s="156"/>
      <c r="H26" s="182"/>
      <c r="I26" s="158"/>
      <c r="J26" s="161"/>
      <c r="K26" s="156"/>
      <c r="L26" s="181"/>
      <c r="M26" s="157"/>
      <c r="N26" s="157"/>
      <c r="O26" s="157"/>
      <c r="P26" s="4"/>
      <c r="Q26" s="62"/>
      <c r="R26" s="17"/>
      <c r="S26" s="17"/>
      <c r="T26" s="17"/>
      <c r="U26" s="62"/>
      <c r="V26" s="88"/>
      <c r="W26" s="62"/>
    </row>
    <row r="27" spans="1:24">
      <c r="A27" s="137">
        <f>A25+1</f>
        <v>10</v>
      </c>
      <c r="B27" s="164" t="s">
        <v>90</v>
      </c>
      <c r="C27" s="154" t="s">
        <v>86</v>
      </c>
      <c r="D27" s="154" t="str">
        <f t="shared" ref="D27:E29" si="5">D23</f>
        <v>First</v>
      </c>
      <c r="E27" s="163">
        <f t="shared" si="5"/>
        <v>200</v>
      </c>
      <c r="F27" s="163"/>
      <c r="G27" s="156">
        <v>530579</v>
      </c>
      <c r="H27" s="157">
        <v>1.0381100000000001</v>
      </c>
      <c r="I27" s="158">
        <f t="shared" ref="I27:I29" si="6">ROUND(G27*H27,0)</f>
        <v>550799</v>
      </c>
      <c r="J27" s="161"/>
      <c r="K27" s="156">
        <f>M27*G27</f>
        <v>4318.9130599999999</v>
      </c>
      <c r="L27" s="181">
        <f>L30</f>
        <v>7.838748477911597E-3</v>
      </c>
      <c r="M27" s="157">
        <f>ROUND(L27*SUM(H27:H27),5)</f>
        <v>8.1399999999999997E-3</v>
      </c>
      <c r="N27" s="17">
        <v>0</v>
      </c>
      <c r="O27" s="157">
        <f>M27-N27</f>
        <v>8.1399999999999997E-3</v>
      </c>
      <c r="P27" s="4"/>
      <c r="Q27" s="62"/>
      <c r="R27" s="64">
        <f t="shared" si="4"/>
        <v>1.0381100000000001</v>
      </c>
      <c r="S27" s="17"/>
      <c r="T27" s="17">
        <f>R27+O27</f>
        <v>1.0462500000000001</v>
      </c>
      <c r="U27" s="62"/>
      <c r="V27" s="88">
        <v>7.1059299999999999</v>
      </c>
      <c r="W27" s="62"/>
      <c r="X27" s="61">
        <f>V27+O27</f>
        <v>7.1140699999999999</v>
      </c>
    </row>
    <row r="28" spans="1:24">
      <c r="A28" s="137">
        <f>A27+1</f>
        <v>11</v>
      </c>
      <c r="B28" s="164"/>
      <c r="C28" s="154" t="s">
        <v>88</v>
      </c>
      <c r="D28" s="154" t="str">
        <f t="shared" si="5"/>
        <v>Next</v>
      </c>
      <c r="E28" s="163">
        <f t="shared" si="5"/>
        <v>1800</v>
      </c>
      <c r="F28" s="163"/>
      <c r="G28" s="156">
        <v>590914</v>
      </c>
      <c r="H28" s="157">
        <v>0.54066999999999998</v>
      </c>
      <c r="I28" s="158">
        <f t="shared" si="6"/>
        <v>319489</v>
      </c>
      <c r="J28" s="161"/>
      <c r="K28" s="156">
        <f>M28*G28</f>
        <v>2505.4753599999999</v>
      </c>
      <c r="L28" s="181">
        <f>L30</f>
        <v>7.838748477911597E-3</v>
      </c>
      <c r="M28" s="157">
        <f>ROUND(L28*SUM(H28:H28),5)</f>
        <v>4.2399999999999998E-3</v>
      </c>
      <c r="N28" s="17">
        <v>0</v>
      </c>
      <c r="O28" s="157">
        <f>M28-N28</f>
        <v>4.2399999999999998E-3</v>
      </c>
      <c r="P28" s="4"/>
      <c r="Q28" s="62"/>
      <c r="R28" s="64">
        <f t="shared" si="4"/>
        <v>0.54066999999999998</v>
      </c>
      <c r="S28" s="17"/>
      <c r="T28" s="17">
        <f>R28+O28</f>
        <v>0.54491000000000001</v>
      </c>
      <c r="U28" s="62"/>
      <c r="V28" s="88">
        <v>6.5874699999999997</v>
      </c>
      <c r="W28" s="62"/>
      <c r="X28" s="61">
        <f>V28+O28</f>
        <v>6.59171</v>
      </c>
    </row>
    <row r="29" spans="1:24">
      <c r="A29" s="137">
        <f>A28+1</f>
        <v>12</v>
      </c>
      <c r="B29" s="164"/>
      <c r="C29" s="154" t="s">
        <v>96</v>
      </c>
      <c r="D29" s="154" t="str">
        <f t="shared" si="5"/>
        <v>All Over</v>
      </c>
      <c r="E29" s="163">
        <f t="shared" si="5"/>
        <v>2000</v>
      </c>
      <c r="F29" s="163"/>
      <c r="G29" s="156">
        <v>67334</v>
      </c>
      <c r="H29" s="157">
        <v>1.703E-2</v>
      </c>
      <c r="I29" s="158">
        <f t="shared" si="6"/>
        <v>1147</v>
      </c>
      <c r="J29" s="161"/>
      <c r="K29" s="156">
        <f>M29*G29</f>
        <v>8.7534199999999984</v>
      </c>
      <c r="L29" s="181">
        <f>L30</f>
        <v>7.838748477911597E-3</v>
      </c>
      <c r="M29" s="157">
        <f>ROUND(L29*SUM(H29:H29),5)</f>
        <v>1.2999999999999999E-4</v>
      </c>
      <c r="N29" s="17">
        <v>0</v>
      </c>
      <c r="O29" s="157">
        <f>M29-N29</f>
        <v>1.2999999999999999E-4</v>
      </c>
      <c r="P29" s="4"/>
      <c r="Q29" s="62"/>
      <c r="R29" s="64">
        <f t="shared" si="4"/>
        <v>1.703E-2</v>
      </c>
      <c r="S29" s="17"/>
      <c r="T29" s="17">
        <f>R29+O29</f>
        <v>1.7160000000000002E-2</v>
      </c>
      <c r="U29" s="62"/>
      <c r="V29" s="88">
        <v>6.0416800000000004</v>
      </c>
      <c r="W29" s="62"/>
      <c r="X29" s="61">
        <f>V29+O29</f>
        <v>6.0418100000000008</v>
      </c>
    </row>
    <row r="30" spans="1:24">
      <c r="A30" s="137">
        <f>A29+1</f>
        <v>13</v>
      </c>
      <c r="B30" s="165" t="s">
        <v>91</v>
      </c>
      <c r="C30" s="138"/>
      <c r="D30" s="154"/>
      <c r="E30" s="163"/>
      <c r="F30" s="163"/>
      <c r="G30" s="183">
        <f>SUM(G23:G29)</f>
        <v>2386284</v>
      </c>
      <c r="H30" s="184"/>
      <c r="I30" s="183">
        <f>SUM(I23:I29)</f>
        <v>2253924</v>
      </c>
      <c r="J30" s="161"/>
      <c r="K30" s="183">
        <f>'Exhibit 1.4 COS'!I10</f>
        <v>17667.943324328418</v>
      </c>
      <c r="L30" s="175">
        <f>K30/I30</f>
        <v>7.838748477911597E-3</v>
      </c>
      <c r="M30" s="183"/>
      <c r="N30" s="183"/>
      <c r="O30" s="183"/>
      <c r="P30" s="4"/>
      <c r="Q30" s="62"/>
      <c r="R30" s="17"/>
      <c r="S30" s="17"/>
      <c r="T30" s="17"/>
      <c r="U30" s="62"/>
      <c r="V30" s="88"/>
      <c r="W30" s="62"/>
    </row>
    <row r="31" spans="1:24">
      <c r="A31" s="137"/>
      <c r="B31" s="165"/>
      <c r="C31" s="138"/>
      <c r="D31" s="154"/>
      <c r="E31" s="163"/>
      <c r="F31" s="163"/>
      <c r="G31" s="185"/>
      <c r="H31" s="186"/>
      <c r="I31" s="185"/>
      <c r="J31" s="161"/>
      <c r="K31" s="185"/>
      <c r="L31" s="176"/>
      <c r="M31" s="185"/>
      <c r="N31" s="185"/>
      <c r="O31" s="185"/>
      <c r="P31" s="4"/>
      <c r="Q31" s="62"/>
      <c r="R31" s="17"/>
      <c r="S31" s="17"/>
      <c r="T31" s="17"/>
      <c r="U31" s="62"/>
      <c r="V31" s="88"/>
      <c r="W31" s="62"/>
    </row>
    <row r="32" spans="1:24" ht="13.5" thickBot="1">
      <c r="A32" s="137"/>
      <c r="B32" s="170"/>
      <c r="C32" s="170"/>
      <c r="D32" s="170"/>
      <c r="E32" s="171"/>
      <c r="F32" s="145"/>
      <c r="G32" s="172"/>
      <c r="H32" s="170"/>
      <c r="I32" s="172"/>
      <c r="J32" s="173"/>
      <c r="K32" s="172"/>
      <c r="L32" s="170"/>
      <c r="M32" s="172"/>
      <c r="N32" s="172"/>
      <c r="O32" s="172"/>
      <c r="P32" s="4"/>
      <c r="Q32" s="62"/>
      <c r="R32" s="17"/>
      <c r="S32" s="17"/>
      <c r="T32" s="17"/>
      <c r="U32" s="62"/>
      <c r="V32" s="88"/>
      <c r="W32" s="62"/>
    </row>
    <row r="33" spans="1:24">
      <c r="A33" s="137"/>
      <c r="B33" s="144"/>
      <c r="C33" s="144"/>
      <c r="D33" s="144"/>
      <c r="E33" s="145"/>
      <c r="F33" s="145"/>
      <c r="G33" s="173"/>
      <c r="H33" s="144"/>
      <c r="I33" s="173"/>
      <c r="J33" s="173"/>
      <c r="K33" s="146" t="s">
        <v>211</v>
      </c>
      <c r="L33" s="147"/>
      <c r="M33" s="146" t="s">
        <v>211</v>
      </c>
      <c r="N33" s="146" t="s">
        <v>76</v>
      </c>
      <c r="O33" s="146"/>
      <c r="P33" s="4"/>
      <c r="Q33" s="62"/>
      <c r="R33" s="17"/>
      <c r="S33" s="17"/>
      <c r="T33" s="17"/>
      <c r="U33" s="62"/>
      <c r="V33" s="88"/>
      <c r="W33" s="62"/>
    </row>
    <row r="34" spans="1:24">
      <c r="A34" s="137"/>
      <c r="B34" s="143" t="s">
        <v>98</v>
      </c>
      <c r="C34" s="144"/>
      <c r="D34" s="144"/>
      <c r="E34" s="147"/>
      <c r="F34" s="147"/>
      <c r="G34" s="257" t="s">
        <v>171</v>
      </c>
      <c r="H34" s="257"/>
      <c r="I34" s="257"/>
      <c r="J34" s="144"/>
      <c r="K34" s="146" t="s">
        <v>212</v>
      </c>
      <c r="L34" s="147" t="s">
        <v>78</v>
      </c>
      <c r="M34" s="146" t="s">
        <v>212</v>
      </c>
      <c r="N34" s="146"/>
      <c r="O34" s="146"/>
      <c r="P34" s="4"/>
      <c r="Q34" s="62"/>
      <c r="R34" s="17"/>
      <c r="S34" s="17"/>
      <c r="T34" s="17"/>
      <c r="U34" s="62"/>
      <c r="V34" s="88"/>
      <c r="W34" s="62"/>
    </row>
    <row r="35" spans="1:24" ht="13.5" thickBot="1">
      <c r="A35" s="137"/>
      <c r="B35" s="148" t="s">
        <v>80</v>
      </c>
      <c r="C35" s="149"/>
      <c r="D35" s="149"/>
      <c r="E35" s="150" t="s">
        <v>81</v>
      </c>
      <c r="F35" s="151"/>
      <c r="G35" s="152" t="s">
        <v>81</v>
      </c>
      <c r="H35" s="152" t="s">
        <v>172</v>
      </c>
      <c r="I35" s="153" t="s">
        <v>82</v>
      </c>
      <c r="J35" s="144"/>
      <c r="K35" s="152" t="s">
        <v>40</v>
      </c>
      <c r="L35" s="152" t="s">
        <v>83</v>
      </c>
      <c r="M35" s="152" t="s">
        <v>84</v>
      </c>
      <c r="N35" s="152"/>
      <c r="O35" s="152"/>
      <c r="P35" s="4"/>
      <c r="Q35" s="62"/>
      <c r="R35" s="17"/>
      <c r="S35" s="17"/>
      <c r="T35" s="17"/>
      <c r="U35" s="62"/>
      <c r="V35" s="88"/>
      <c r="W35" s="62"/>
    </row>
    <row r="36" spans="1:24">
      <c r="A36" s="137">
        <f>A30+1</f>
        <v>14</v>
      </c>
      <c r="B36" s="154"/>
      <c r="C36" s="154" t="s">
        <v>86</v>
      </c>
      <c r="D36" s="154" t="s">
        <v>87</v>
      </c>
      <c r="E36" s="187">
        <v>2000</v>
      </c>
      <c r="F36" s="188"/>
      <c r="G36" s="156">
        <v>144006</v>
      </c>
      <c r="H36" s="157">
        <v>0.91912000000000005</v>
      </c>
      <c r="I36" s="158">
        <f t="shared" ref="I36:I38" si="7">ROUND(G36*H36,0)</f>
        <v>132359</v>
      </c>
      <c r="J36" s="161"/>
      <c r="K36" s="156">
        <f>M36*G36</f>
        <v>848.19533999999999</v>
      </c>
      <c r="L36" s="160">
        <f>L39</f>
        <v>6.406526422068448E-3</v>
      </c>
      <c r="M36" s="157">
        <f>ROUND(L36*SUM(H36:H36),5)</f>
        <v>5.8900000000000003E-3</v>
      </c>
      <c r="N36" s="17">
        <v>0</v>
      </c>
      <c r="O36" s="157">
        <f>M36-N36</f>
        <v>5.8900000000000003E-3</v>
      </c>
      <c r="P36" s="4"/>
      <c r="Q36" s="62"/>
      <c r="R36" s="64">
        <f t="shared" ref="R36:R38" si="8">H36</f>
        <v>0.91912000000000005</v>
      </c>
      <c r="S36" s="17"/>
      <c r="T36" s="17">
        <f>R36+O36</f>
        <v>0.92501</v>
      </c>
      <c r="U36" s="62"/>
      <c r="V36" s="88">
        <v>6.3308600000000004</v>
      </c>
      <c r="W36" s="62"/>
      <c r="X36" s="61">
        <f>V36+O36</f>
        <v>6.3367500000000003</v>
      </c>
    </row>
    <row r="37" spans="1:24">
      <c r="A37" s="137">
        <f>A36+1</f>
        <v>15</v>
      </c>
      <c r="B37" s="162"/>
      <c r="C37" s="154" t="s">
        <v>88</v>
      </c>
      <c r="D37" s="154" t="s">
        <v>89</v>
      </c>
      <c r="E37" s="187">
        <v>18000</v>
      </c>
      <c r="F37" s="188"/>
      <c r="G37" s="156">
        <v>117613</v>
      </c>
      <c r="H37" s="157">
        <v>0.13879</v>
      </c>
      <c r="I37" s="158">
        <f t="shared" si="7"/>
        <v>16324</v>
      </c>
      <c r="J37" s="161"/>
      <c r="K37" s="156">
        <f>M37*G37</f>
        <v>104.67556999999999</v>
      </c>
      <c r="L37" s="160">
        <f>L39</f>
        <v>6.406526422068448E-3</v>
      </c>
      <c r="M37" s="157">
        <f>ROUND(L37*SUM(H37:H37),5)</f>
        <v>8.8999999999999995E-4</v>
      </c>
      <c r="N37" s="17">
        <v>0</v>
      </c>
      <c r="O37" s="157">
        <f>M37-N37</f>
        <v>8.8999999999999995E-4</v>
      </c>
      <c r="P37" s="4"/>
      <c r="Q37" s="62"/>
      <c r="R37" s="64">
        <f t="shared" si="8"/>
        <v>0.13879</v>
      </c>
      <c r="S37" s="17"/>
      <c r="T37" s="17">
        <f>R37+O37</f>
        <v>0.13968</v>
      </c>
      <c r="U37" s="62"/>
      <c r="V37" s="88">
        <v>5.5221099999999996</v>
      </c>
      <c r="W37" s="62"/>
      <c r="X37" s="61">
        <f>V37+O37</f>
        <v>5.5229999999999997</v>
      </c>
    </row>
    <row r="38" spans="1:24">
      <c r="A38" s="137">
        <f>A37+1</f>
        <v>16</v>
      </c>
      <c r="B38" s="162"/>
      <c r="C38" s="154" t="s">
        <v>96</v>
      </c>
      <c r="D38" s="154" t="s">
        <v>94</v>
      </c>
      <c r="E38" s="187">
        <v>20000</v>
      </c>
      <c r="F38" s="188"/>
      <c r="G38" s="156">
        <v>0</v>
      </c>
      <c r="H38" s="157">
        <v>8.1689999999999999E-2</v>
      </c>
      <c r="I38" s="158">
        <f t="shared" si="7"/>
        <v>0</v>
      </c>
      <c r="J38" s="161"/>
      <c r="K38" s="156">
        <f>M38*G38</f>
        <v>0</v>
      </c>
      <c r="L38" s="160">
        <f>L39</f>
        <v>6.406526422068448E-3</v>
      </c>
      <c r="M38" s="157">
        <f>ROUND(L38*SUM(H38:H38),5)</f>
        <v>5.1999999999999995E-4</v>
      </c>
      <c r="N38" s="17">
        <v>0</v>
      </c>
      <c r="O38" s="157">
        <f>M38-N38</f>
        <v>5.1999999999999995E-4</v>
      </c>
      <c r="P38" s="4"/>
      <c r="Q38" s="62"/>
      <c r="R38" s="64">
        <f t="shared" si="8"/>
        <v>8.1689999999999999E-2</v>
      </c>
      <c r="S38" s="17"/>
      <c r="T38" s="17">
        <f>R38+O38</f>
        <v>8.2210000000000005E-2</v>
      </c>
      <c r="U38" s="62"/>
      <c r="V38" s="88">
        <v>5.4629399999999997</v>
      </c>
      <c r="W38" s="62"/>
      <c r="X38" s="61">
        <f>V38+O38</f>
        <v>5.4634599999999995</v>
      </c>
    </row>
    <row r="39" spans="1:24">
      <c r="A39" s="137">
        <f>A38+1</f>
        <v>17</v>
      </c>
      <c r="B39" s="165" t="s">
        <v>91</v>
      </c>
      <c r="C39" s="138"/>
      <c r="D39" s="154"/>
      <c r="E39" s="163"/>
      <c r="F39" s="163"/>
      <c r="G39" s="183">
        <f>SUM(G36:G38)</f>
        <v>261619</v>
      </c>
      <c r="H39" s="184"/>
      <c r="I39" s="183">
        <f>SUM(I36:I38)</f>
        <v>148683</v>
      </c>
      <c r="J39" s="161"/>
      <c r="K39" s="183">
        <f>'Exhibit 1.4 COS'!I12</f>
        <v>952.54156801240299</v>
      </c>
      <c r="L39" s="175">
        <f>K39/I39</f>
        <v>6.406526422068448E-3</v>
      </c>
      <c r="M39" s="183"/>
      <c r="N39" s="183"/>
      <c r="O39" s="183"/>
      <c r="P39" s="4"/>
      <c r="Q39" s="62"/>
      <c r="R39" s="17"/>
      <c r="S39" s="17"/>
      <c r="T39" s="17"/>
      <c r="U39" s="62"/>
      <c r="V39" s="17"/>
      <c r="W39" s="62"/>
    </row>
    <row r="40" spans="1:24">
      <c r="A40" s="137"/>
      <c r="B40" s="165"/>
      <c r="C40" s="138"/>
      <c r="D40" s="154"/>
      <c r="E40" s="163"/>
      <c r="F40" s="163"/>
      <c r="G40" s="185"/>
      <c r="H40" s="186"/>
      <c r="I40" s="185"/>
      <c r="J40" s="161"/>
      <c r="K40" s="185"/>
      <c r="L40" s="176"/>
      <c r="M40" s="185"/>
      <c r="N40" s="185"/>
      <c r="O40" s="185"/>
      <c r="P40" s="4"/>
      <c r="Q40" s="62"/>
      <c r="R40" s="17"/>
      <c r="S40" s="17"/>
      <c r="T40" s="17"/>
      <c r="U40" s="62"/>
      <c r="V40" s="17"/>
      <c r="W40" s="62"/>
    </row>
    <row r="41" spans="1:24" ht="13.5" thickBot="1">
      <c r="A41" s="137"/>
      <c r="B41" s="189"/>
      <c r="C41" s="190"/>
      <c r="D41" s="190"/>
      <c r="E41" s="191"/>
      <c r="F41" s="192"/>
      <c r="G41" s="193"/>
      <c r="H41" s="194"/>
      <c r="I41" s="172"/>
      <c r="J41" s="161"/>
      <c r="K41" s="193"/>
      <c r="L41" s="194"/>
      <c r="M41" s="172"/>
      <c r="N41" s="172"/>
      <c r="O41" s="172"/>
      <c r="P41" s="4"/>
      <c r="Q41" s="62"/>
      <c r="R41" s="17"/>
      <c r="S41" s="17"/>
      <c r="T41" s="17"/>
      <c r="U41" s="62"/>
      <c r="V41" s="17"/>
      <c r="W41" s="62"/>
    </row>
    <row r="42" spans="1:24">
      <c r="A42" s="137"/>
      <c r="B42" s="195"/>
      <c r="C42" s="196"/>
      <c r="D42" s="196"/>
      <c r="E42" s="192"/>
      <c r="F42" s="192"/>
      <c r="G42" s="197"/>
      <c r="H42" s="198"/>
      <c r="I42" s="173"/>
      <c r="J42" s="161"/>
      <c r="K42" s="146" t="s">
        <v>211</v>
      </c>
      <c r="L42" s="147"/>
      <c r="M42" s="146" t="s">
        <v>211</v>
      </c>
      <c r="N42" s="146" t="s">
        <v>76</v>
      </c>
      <c r="O42" s="146"/>
      <c r="P42" s="4"/>
      <c r="Q42" s="62"/>
      <c r="R42" s="17"/>
      <c r="S42" s="17"/>
      <c r="T42" s="17"/>
      <c r="U42" s="62"/>
      <c r="V42" s="17"/>
      <c r="W42" s="62"/>
    </row>
    <row r="43" spans="1:24">
      <c r="A43" s="137"/>
      <c r="B43" s="143" t="s">
        <v>192</v>
      </c>
      <c r="C43" s="144"/>
      <c r="D43" s="144"/>
      <c r="E43" s="147"/>
      <c r="F43" s="147"/>
      <c r="G43" s="257" t="s">
        <v>171</v>
      </c>
      <c r="H43" s="257"/>
      <c r="I43" s="257"/>
      <c r="J43" s="144"/>
      <c r="K43" s="146" t="s">
        <v>212</v>
      </c>
      <c r="L43" s="147" t="s">
        <v>78</v>
      </c>
      <c r="M43" s="146" t="s">
        <v>212</v>
      </c>
      <c r="N43" s="146"/>
      <c r="O43" s="146"/>
      <c r="P43" s="4"/>
      <c r="Q43" s="62"/>
      <c r="R43" s="17"/>
      <c r="S43" s="17"/>
      <c r="T43" s="17"/>
      <c r="U43" s="62"/>
      <c r="V43" s="17"/>
      <c r="W43" s="62"/>
    </row>
    <row r="44" spans="1:24" ht="13.5" thickBot="1">
      <c r="A44" s="137"/>
      <c r="B44" s="148" t="s">
        <v>80</v>
      </c>
      <c r="C44" s="149"/>
      <c r="D44" s="149"/>
      <c r="E44" s="150" t="s">
        <v>81</v>
      </c>
      <c r="F44" s="151"/>
      <c r="G44" s="152" t="s">
        <v>81</v>
      </c>
      <c r="H44" s="152" t="s">
        <v>172</v>
      </c>
      <c r="I44" s="153" t="s">
        <v>82</v>
      </c>
      <c r="J44" s="144"/>
      <c r="K44" s="152" t="s">
        <v>40</v>
      </c>
      <c r="L44" s="152" t="s">
        <v>83</v>
      </c>
      <c r="M44" s="152" t="s">
        <v>84</v>
      </c>
      <c r="N44" s="152"/>
      <c r="O44" s="152"/>
      <c r="P44" s="4"/>
      <c r="Q44" s="62"/>
      <c r="R44" s="17"/>
      <c r="S44" s="17"/>
      <c r="T44" s="17"/>
      <c r="U44" s="62"/>
      <c r="V44" s="17"/>
      <c r="W44" s="62"/>
    </row>
    <row r="45" spans="1:24">
      <c r="A45" s="137">
        <f>A39+1</f>
        <v>18</v>
      </c>
      <c r="B45" s="154"/>
      <c r="C45" s="154" t="s">
        <v>86</v>
      </c>
      <c r="D45" s="154" t="s">
        <v>87</v>
      </c>
      <c r="E45" s="163">
        <v>10000</v>
      </c>
      <c r="F45" s="163"/>
      <c r="G45" s="156">
        <v>676496</v>
      </c>
      <c r="H45" s="157">
        <v>0.54627999999999999</v>
      </c>
      <c r="I45" s="158">
        <f t="shared" ref="I45:I49" si="9">ROUND(G45*H45,0)</f>
        <v>369556</v>
      </c>
      <c r="J45" s="161"/>
      <c r="K45" s="156">
        <f>M45*G45</f>
        <v>2097.1376</v>
      </c>
      <c r="L45" s="160">
        <f>L50</f>
        <v>5.6831085722397739E-3</v>
      </c>
      <c r="M45" s="157">
        <f>ROUND(L45*SUM(H45:H45),5)</f>
        <v>3.0999999999999999E-3</v>
      </c>
      <c r="N45" s="17">
        <v>0</v>
      </c>
      <c r="O45" s="157">
        <f>M45-N45</f>
        <v>3.0999999999999999E-3</v>
      </c>
      <c r="P45" s="4"/>
      <c r="Q45" s="62"/>
      <c r="R45" s="64">
        <f>H45</f>
        <v>0.54627999999999999</v>
      </c>
      <c r="S45" s="17"/>
      <c r="T45" s="17">
        <f>R45+O45</f>
        <v>0.54937999999999998</v>
      </c>
      <c r="U45" s="62"/>
      <c r="V45" s="17"/>
      <c r="W45" s="62"/>
      <c r="X45" s="61"/>
    </row>
    <row r="46" spans="1:24">
      <c r="A46" s="137">
        <f>A45+1</f>
        <v>19</v>
      </c>
      <c r="B46" s="162"/>
      <c r="C46" s="154" t="s">
        <v>88</v>
      </c>
      <c r="D46" s="154" t="s">
        <v>89</v>
      </c>
      <c r="E46" s="163">
        <v>112500</v>
      </c>
      <c r="F46" s="163"/>
      <c r="G46" s="156">
        <v>1680294</v>
      </c>
      <c r="H46" s="157">
        <v>0.51195999999999997</v>
      </c>
      <c r="I46" s="158">
        <f t="shared" si="9"/>
        <v>860243</v>
      </c>
      <c r="J46" s="161"/>
      <c r="K46" s="156">
        <f>M46*G46</f>
        <v>4889.6555399999997</v>
      </c>
      <c r="L46" s="160">
        <f>L50</f>
        <v>5.6831085722397739E-3</v>
      </c>
      <c r="M46" s="157">
        <f>ROUND(L46*SUM(H46:H46),5)</f>
        <v>2.9099999999999998E-3</v>
      </c>
      <c r="N46" s="17">
        <v>0</v>
      </c>
      <c r="O46" s="157">
        <f>M46-N46</f>
        <v>2.9099999999999998E-3</v>
      </c>
      <c r="P46" s="4"/>
      <c r="Q46" s="62"/>
      <c r="R46" s="64">
        <f t="shared" ref="R46:R48" si="10">H46</f>
        <v>0.51195999999999997</v>
      </c>
      <c r="S46" s="17"/>
      <c r="T46" s="17">
        <f>R46+O46</f>
        <v>0.51486999999999994</v>
      </c>
      <c r="U46" s="62"/>
      <c r="V46" s="17"/>
      <c r="W46" s="62"/>
      <c r="X46" s="61"/>
    </row>
    <row r="47" spans="1:24">
      <c r="A47" s="137">
        <f>A46+1</f>
        <v>20</v>
      </c>
      <c r="B47" s="162"/>
      <c r="C47" s="154" t="s">
        <v>96</v>
      </c>
      <c r="D47" s="154" t="s">
        <v>89</v>
      </c>
      <c r="E47" s="163">
        <v>477500</v>
      </c>
      <c r="F47" s="163"/>
      <c r="G47" s="156">
        <v>882783</v>
      </c>
      <c r="H47" s="157">
        <v>0.35938999999999999</v>
      </c>
      <c r="I47" s="158">
        <f t="shared" si="9"/>
        <v>317263</v>
      </c>
      <c r="J47" s="161"/>
      <c r="K47" s="156">
        <f>M47*G47</f>
        <v>1800.8773200000001</v>
      </c>
      <c r="L47" s="160">
        <f>L50</f>
        <v>5.6831085722397739E-3</v>
      </c>
      <c r="M47" s="157">
        <f>ROUND(L47*SUM(H47:H47),5)</f>
        <v>2.0400000000000001E-3</v>
      </c>
      <c r="N47" s="17">
        <v>0</v>
      </c>
      <c r="O47" s="157">
        <f>M47-N47</f>
        <v>2.0400000000000001E-3</v>
      </c>
      <c r="P47" s="4"/>
      <c r="Q47" s="62"/>
      <c r="R47" s="64">
        <f t="shared" si="10"/>
        <v>0.35938999999999999</v>
      </c>
      <c r="S47" s="17"/>
      <c r="T47" s="17">
        <f>R47+O47</f>
        <v>0.36142999999999997</v>
      </c>
      <c r="U47" s="62"/>
      <c r="V47" s="17"/>
      <c r="W47" s="62"/>
      <c r="X47" s="61"/>
    </row>
    <row r="48" spans="1:24">
      <c r="A48" s="137">
        <f>A47+1</f>
        <v>21</v>
      </c>
      <c r="B48" s="162"/>
      <c r="C48" s="154" t="s">
        <v>99</v>
      </c>
      <c r="D48" s="154" t="s">
        <v>94</v>
      </c>
      <c r="E48" s="163">
        <v>600000</v>
      </c>
      <c r="F48" s="163"/>
      <c r="G48" s="156">
        <v>0</v>
      </c>
      <c r="H48" s="157">
        <v>7.7249999999999999E-2</v>
      </c>
      <c r="I48" s="158">
        <f t="shared" si="9"/>
        <v>0</v>
      </c>
      <c r="J48" s="161"/>
      <c r="K48" s="156">
        <f>M48*G48</f>
        <v>0</v>
      </c>
      <c r="L48" s="160">
        <f>L50</f>
        <v>5.6831085722397739E-3</v>
      </c>
      <c r="M48" s="157">
        <f>ROUND(L48*SUM(H48:H48),5)</f>
        <v>4.4000000000000002E-4</v>
      </c>
      <c r="N48" s="17">
        <v>0</v>
      </c>
      <c r="O48" s="157">
        <f>M48-N48</f>
        <v>4.4000000000000002E-4</v>
      </c>
      <c r="Q48" s="62"/>
      <c r="R48" s="64">
        <f t="shared" si="10"/>
        <v>7.7249999999999999E-2</v>
      </c>
      <c r="S48" s="17"/>
      <c r="T48" s="17">
        <f>R48+O48</f>
        <v>7.7689999999999995E-2</v>
      </c>
      <c r="U48" s="62"/>
      <c r="V48" s="17"/>
      <c r="W48" s="62"/>
    </row>
    <row r="49" spans="1:24">
      <c r="A49" s="137">
        <f>A48+1</f>
        <v>22</v>
      </c>
      <c r="B49" s="199" t="s">
        <v>100</v>
      </c>
      <c r="C49" s="154"/>
      <c r="D49" s="154"/>
      <c r="E49" s="163"/>
      <c r="F49" s="163"/>
      <c r="G49" s="156">
        <v>45000</v>
      </c>
      <c r="H49" s="157">
        <v>23.81</v>
      </c>
      <c r="I49" s="158">
        <f t="shared" si="9"/>
        <v>1071450</v>
      </c>
      <c r="J49" s="161"/>
      <c r="K49" s="156">
        <f>M49*G49</f>
        <v>6088.9500000000007</v>
      </c>
      <c r="L49" s="160">
        <f>L50</f>
        <v>5.6831085722397739E-3</v>
      </c>
      <c r="M49" s="157">
        <f>ROUND(L49*SUM(H49:H49),5)</f>
        <v>0.13531000000000001</v>
      </c>
      <c r="N49" s="17">
        <v>0</v>
      </c>
      <c r="O49" s="157">
        <f>M49-N49</f>
        <v>0.13531000000000001</v>
      </c>
      <c r="Q49" s="62"/>
      <c r="R49" s="64">
        <f>H49</f>
        <v>23.81</v>
      </c>
      <c r="S49" s="17"/>
      <c r="T49" s="17">
        <f>R49+O49</f>
        <v>23.945309999999999</v>
      </c>
      <c r="U49" s="62"/>
      <c r="V49" s="17"/>
      <c r="W49" s="62"/>
    </row>
    <row r="50" spans="1:24">
      <c r="A50" s="137">
        <f>A49+1</f>
        <v>23</v>
      </c>
      <c r="B50" s="199" t="s">
        <v>101</v>
      </c>
      <c r="C50" s="138"/>
      <c r="D50" s="154"/>
      <c r="E50" s="163"/>
      <c r="F50" s="163"/>
      <c r="G50" s="183">
        <f>SUM(G45:G49)</f>
        <v>3284573</v>
      </c>
      <c r="H50" s="184"/>
      <c r="I50" s="183">
        <f>SUM(I45:I49)</f>
        <v>2618512</v>
      </c>
      <c r="J50" s="161"/>
      <c r="K50" s="183">
        <f>'Exhibit 1.4 COS'!I15</f>
        <v>14881.287993712715</v>
      </c>
      <c r="L50" s="175">
        <f>K50/I50</f>
        <v>5.6831085722397739E-3</v>
      </c>
      <c r="M50" s="183"/>
      <c r="N50" s="183"/>
      <c r="O50" s="183"/>
      <c r="Q50" s="62"/>
      <c r="R50" s="17">
        <f>R49/12</f>
        <v>1.9841666666666666</v>
      </c>
      <c r="S50" s="17"/>
      <c r="T50" s="17">
        <f>T49/12</f>
        <v>1.9954425</v>
      </c>
      <c r="U50" s="62"/>
      <c r="V50" s="17"/>
      <c r="W50" s="62"/>
    </row>
    <row r="51" spans="1:24">
      <c r="A51" s="137"/>
      <c r="B51" s="165"/>
      <c r="C51" s="138"/>
      <c r="D51" s="154"/>
      <c r="E51" s="163"/>
      <c r="F51" s="163"/>
      <c r="G51" s="185"/>
      <c r="H51" s="186"/>
      <c r="I51" s="185"/>
      <c r="J51" s="161"/>
      <c r="K51" s="185"/>
      <c r="L51" s="200"/>
      <c r="M51" s="185"/>
      <c r="N51" s="185"/>
      <c r="O51" s="185"/>
      <c r="Q51" s="62"/>
      <c r="R51" s="17"/>
      <c r="S51" s="17"/>
      <c r="T51" s="17"/>
      <c r="U51" s="62"/>
      <c r="V51" s="17"/>
      <c r="W51" s="62"/>
    </row>
    <row r="52" spans="1:24" ht="13.5" thickBot="1">
      <c r="A52" s="137"/>
      <c r="B52" s="189"/>
      <c r="C52" s="190"/>
      <c r="D52" s="190"/>
      <c r="E52" s="191"/>
      <c r="F52" s="201"/>
      <c r="G52" s="193"/>
      <c r="H52" s="194"/>
      <c r="I52" s="172"/>
      <c r="J52" s="161"/>
      <c r="K52" s="193"/>
      <c r="L52" s="194"/>
      <c r="M52" s="172"/>
      <c r="N52" s="172"/>
      <c r="O52" s="172"/>
      <c r="Q52" s="62"/>
      <c r="R52" s="17"/>
      <c r="S52" s="17"/>
      <c r="T52" s="17"/>
      <c r="U52" s="62"/>
      <c r="V52" s="17"/>
      <c r="W52" s="62"/>
    </row>
    <row r="53" spans="1:24">
      <c r="A53" s="137"/>
      <c r="B53" s="195"/>
      <c r="C53" s="196"/>
      <c r="D53" s="196"/>
      <c r="E53" s="192"/>
      <c r="F53" s="201"/>
      <c r="G53" s="197"/>
      <c r="H53" s="198"/>
      <c r="I53" s="173"/>
      <c r="J53" s="161"/>
      <c r="K53" s="146" t="s">
        <v>211</v>
      </c>
      <c r="L53" s="147"/>
      <c r="M53" s="146" t="s">
        <v>211</v>
      </c>
      <c r="N53" s="146" t="s">
        <v>76</v>
      </c>
      <c r="O53" s="146"/>
      <c r="Q53" s="62"/>
      <c r="R53" s="17"/>
      <c r="S53" s="17"/>
      <c r="T53" s="17"/>
      <c r="U53" s="62"/>
      <c r="V53" s="17"/>
      <c r="W53" s="62"/>
    </row>
    <row r="54" spans="1:24">
      <c r="A54" s="137"/>
      <c r="B54" s="143" t="s">
        <v>193</v>
      </c>
      <c r="C54" s="144"/>
      <c r="D54" s="144"/>
      <c r="E54" s="147"/>
      <c r="F54" s="201"/>
      <c r="G54" s="257" t="s">
        <v>171</v>
      </c>
      <c r="H54" s="257"/>
      <c r="I54" s="257"/>
      <c r="J54" s="161"/>
      <c r="K54" s="146" t="s">
        <v>212</v>
      </c>
      <c r="L54" s="147" t="s">
        <v>78</v>
      </c>
      <c r="M54" s="146" t="s">
        <v>212</v>
      </c>
      <c r="N54" s="146"/>
      <c r="O54" s="146"/>
      <c r="Q54" s="62"/>
      <c r="R54" s="17"/>
      <c r="S54" s="17"/>
      <c r="T54" s="17"/>
      <c r="U54" s="62"/>
      <c r="V54" s="17"/>
      <c r="W54" s="62"/>
    </row>
    <row r="55" spans="1:24" ht="13.5" thickBot="1">
      <c r="A55" s="137"/>
      <c r="B55" s="148" t="s">
        <v>80</v>
      </c>
      <c r="C55" s="149"/>
      <c r="D55" s="149"/>
      <c r="E55" s="150" t="s">
        <v>81</v>
      </c>
      <c r="F55" s="201"/>
      <c r="G55" s="152" t="s">
        <v>81</v>
      </c>
      <c r="H55" s="152" t="s">
        <v>172</v>
      </c>
      <c r="I55" s="153" t="s">
        <v>82</v>
      </c>
      <c r="J55" s="161"/>
      <c r="K55" s="152" t="s">
        <v>40</v>
      </c>
      <c r="L55" s="152" t="s">
        <v>83</v>
      </c>
      <c r="M55" s="152" t="s">
        <v>84</v>
      </c>
      <c r="N55" s="152"/>
      <c r="O55" s="152"/>
      <c r="Q55" s="62"/>
      <c r="R55" s="17"/>
      <c r="S55" s="17"/>
      <c r="T55" s="17"/>
      <c r="U55" s="62"/>
      <c r="V55" s="17"/>
      <c r="W55" s="62"/>
    </row>
    <row r="56" spans="1:24">
      <c r="A56" s="137">
        <f>A50+1</f>
        <v>24</v>
      </c>
      <c r="B56" s="154"/>
      <c r="C56" s="154" t="s">
        <v>86</v>
      </c>
      <c r="D56" s="154" t="s">
        <v>87</v>
      </c>
      <c r="E56" s="163">
        <v>200</v>
      </c>
      <c r="F56" s="201"/>
      <c r="G56" s="156">
        <v>2711309</v>
      </c>
      <c r="H56" s="157">
        <v>1.17191</v>
      </c>
      <c r="I56" s="158">
        <f t="shared" ref="I56:I60" si="11">ROUND(G56*H56,0)</f>
        <v>3177410</v>
      </c>
      <c r="J56" s="161"/>
      <c r="K56" s="156">
        <f>M56*G56</f>
        <v>24889.816620000001</v>
      </c>
      <c r="L56" s="202">
        <f>L61</f>
        <v>7.8323361664304429E-3</v>
      </c>
      <c r="M56" s="157">
        <f>ROUND(L56*SUM(H56:H56),5)</f>
        <v>9.1800000000000007E-3</v>
      </c>
      <c r="N56" s="17">
        <v>0</v>
      </c>
      <c r="O56" s="157">
        <f>M56-N56</f>
        <v>9.1800000000000007E-3</v>
      </c>
      <c r="P56" s="61"/>
      <c r="Q56" s="62"/>
      <c r="R56" s="64">
        <f t="shared" ref="R56:R59" si="12">H56</f>
        <v>1.17191</v>
      </c>
      <c r="S56" s="17"/>
      <c r="T56" s="17">
        <f>R56+O56</f>
        <v>1.18109</v>
      </c>
      <c r="U56" s="62"/>
      <c r="V56" s="17"/>
      <c r="W56" s="62"/>
      <c r="X56" s="61"/>
    </row>
    <row r="57" spans="1:24">
      <c r="A57" s="137">
        <f>A56+1</f>
        <v>25</v>
      </c>
      <c r="B57" s="162"/>
      <c r="C57" s="154" t="s">
        <v>88</v>
      </c>
      <c r="D57" s="154" t="s">
        <v>89</v>
      </c>
      <c r="E57" s="163">
        <v>1800</v>
      </c>
      <c r="F57" s="201"/>
      <c r="G57" s="156">
        <v>10875498</v>
      </c>
      <c r="H57" s="157">
        <v>0.76607999999999998</v>
      </c>
      <c r="I57" s="158">
        <f t="shared" si="11"/>
        <v>8331502</v>
      </c>
      <c r="J57" s="161"/>
      <c r="K57" s="156">
        <f>M57*G57</f>
        <v>65252.988000000005</v>
      </c>
      <c r="L57" s="202">
        <f>L61</f>
        <v>7.8323361664304429E-3</v>
      </c>
      <c r="M57" s="157">
        <f>ROUND(L57*SUM(H57:H57),5)</f>
        <v>6.0000000000000001E-3</v>
      </c>
      <c r="N57" s="17">
        <v>0</v>
      </c>
      <c r="O57" s="157">
        <f>M57-N57</f>
        <v>6.0000000000000001E-3</v>
      </c>
      <c r="P57" s="61"/>
      <c r="Q57" s="62"/>
      <c r="R57" s="64">
        <f t="shared" si="12"/>
        <v>0.76607999999999998</v>
      </c>
      <c r="S57" s="17"/>
      <c r="T57" s="17">
        <f>R57+O57</f>
        <v>0.77207999999999999</v>
      </c>
      <c r="U57" s="62"/>
      <c r="V57" s="17"/>
      <c r="W57" s="62"/>
      <c r="X57" s="61"/>
    </row>
    <row r="58" spans="1:24">
      <c r="A58" s="137">
        <f>A57+1</f>
        <v>26</v>
      </c>
      <c r="B58" s="162"/>
      <c r="C58" s="154" t="s">
        <v>96</v>
      </c>
      <c r="D58" s="154" t="s">
        <v>89</v>
      </c>
      <c r="E58" s="163">
        <v>98000</v>
      </c>
      <c r="F58" s="201"/>
      <c r="G58" s="156">
        <v>30366605</v>
      </c>
      <c r="H58" s="157">
        <v>0.31328</v>
      </c>
      <c r="I58" s="158">
        <f t="shared" si="11"/>
        <v>9513250</v>
      </c>
      <c r="J58" s="161"/>
      <c r="K58" s="156">
        <f>M58*G58</f>
        <v>74398.182249999998</v>
      </c>
      <c r="L58" s="202">
        <f>L61</f>
        <v>7.8323361664304429E-3</v>
      </c>
      <c r="M58" s="157">
        <f>ROUND(L58*SUM(H58:H58),5)</f>
        <v>2.4499999999999999E-3</v>
      </c>
      <c r="N58" s="17">
        <v>0</v>
      </c>
      <c r="O58" s="157">
        <f>M58-N58</f>
        <v>2.4499999999999999E-3</v>
      </c>
      <c r="P58" s="61"/>
      <c r="Q58" s="62"/>
      <c r="R58" s="64">
        <f t="shared" si="12"/>
        <v>0.31328</v>
      </c>
      <c r="S58" s="17"/>
      <c r="T58" s="17">
        <f>R58+O58</f>
        <v>0.31573000000000001</v>
      </c>
      <c r="U58" s="62"/>
      <c r="V58" s="17"/>
      <c r="W58" s="62"/>
      <c r="X58" s="61"/>
    </row>
    <row r="59" spans="1:24">
      <c r="A59" s="137">
        <f>A58+1</f>
        <v>27</v>
      </c>
      <c r="B59" s="162"/>
      <c r="C59" s="154" t="s">
        <v>99</v>
      </c>
      <c r="D59" s="154" t="s">
        <v>94</v>
      </c>
      <c r="E59" s="163">
        <v>100000</v>
      </c>
      <c r="F59" s="201"/>
      <c r="G59" s="156">
        <v>10737739</v>
      </c>
      <c r="H59" s="157">
        <v>0.11595</v>
      </c>
      <c r="I59" s="158">
        <f t="shared" si="11"/>
        <v>1245041</v>
      </c>
      <c r="J59" s="161"/>
      <c r="K59" s="185">
        <f>M59*G59</f>
        <v>9771.3424900000009</v>
      </c>
      <c r="L59" s="202">
        <f>L61</f>
        <v>7.8323361664304429E-3</v>
      </c>
      <c r="M59" s="203">
        <f>ROUND(L59*SUM(H59:H59),5)</f>
        <v>9.1E-4</v>
      </c>
      <c r="N59" s="17">
        <v>0</v>
      </c>
      <c r="O59" s="203">
        <f>M59-N59</f>
        <v>9.1E-4</v>
      </c>
      <c r="P59" s="61"/>
      <c r="Q59" s="62"/>
      <c r="R59" s="64">
        <f t="shared" si="12"/>
        <v>0.11595</v>
      </c>
      <c r="S59" s="17"/>
      <c r="T59" s="17">
        <f>R59+O59</f>
        <v>0.11685999999999999</v>
      </c>
      <c r="U59" s="62"/>
      <c r="V59" s="17"/>
      <c r="W59" s="62"/>
      <c r="X59" s="61"/>
    </row>
    <row r="60" spans="1:24">
      <c r="A60" s="137">
        <f>A59+1</f>
        <v>28</v>
      </c>
      <c r="B60" s="199" t="s">
        <v>100</v>
      </c>
      <c r="C60" s="164"/>
      <c r="D60" s="195"/>
      <c r="E60" s="201"/>
      <c r="F60" s="201"/>
      <c r="G60" s="204">
        <v>207201</v>
      </c>
      <c r="H60" s="157">
        <v>47.64</v>
      </c>
      <c r="I60" s="158">
        <f t="shared" si="11"/>
        <v>9871056</v>
      </c>
      <c r="J60" s="161"/>
      <c r="K60" s="204">
        <f>M60*G60</f>
        <v>77312.90913</v>
      </c>
      <c r="L60" s="205">
        <f>L61</f>
        <v>7.8323361664304429E-3</v>
      </c>
      <c r="M60" s="206">
        <f>ROUND(L60*SUM(H60:H60),5)</f>
        <v>0.37313000000000002</v>
      </c>
      <c r="N60" s="206">
        <v>0</v>
      </c>
      <c r="O60" s="206">
        <f>M60-N60</f>
        <v>0.37313000000000002</v>
      </c>
      <c r="Q60" s="62"/>
      <c r="R60" s="64">
        <f>H60</f>
        <v>47.64</v>
      </c>
      <c r="S60" s="17"/>
      <c r="T60" s="17">
        <f>R60+O60</f>
        <v>48.013130000000004</v>
      </c>
      <c r="U60" s="62"/>
      <c r="V60" s="17"/>
      <c r="W60" s="62"/>
      <c r="X60" s="61"/>
    </row>
    <row r="61" spans="1:24">
      <c r="A61" s="137">
        <f>A60+1</f>
        <v>29</v>
      </c>
      <c r="B61" s="199" t="s">
        <v>101</v>
      </c>
      <c r="C61" s="164"/>
      <c r="D61" s="195"/>
      <c r="E61" s="201"/>
      <c r="F61" s="201"/>
      <c r="G61" s="185">
        <f>SUM(G56:G60)</f>
        <v>54898352</v>
      </c>
      <c r="H61" s="207"/>
      <c r="I61" s="185">
        <f>SUM(I56:I60)</f>
        <v>32138259</v>
      </c>
      <c r="J61" s="161"/>
      <c r="K61" s="185">
        <f>'Exhibit 1.4 COS'!I13</f>
        <v>251717.6482918087</v>
      </c>
      <c r="L61" s="176">
        <f>K61/I61</f>
        <v>7.8323361664304429E-3</v>
      </c>
      <c r="M61" s="208"/>
      <c r="N61" s="208"/>
      <c r="O61" s="208"/>
      <c r="Q61" s="62"/>
      <c r="R61" s="17">
        <f>R60/12</f>
        <v>3.97</v>
      </c>
      <c r="S61" s="17"/>
      <c r="T61" s="17">
        <f>T60/12</f>
        <v>4.0010941666666673</v>
      </c>
      <c r="U61" s="62"/>
      <c r="V61" s="17"/>
      <c r="W61" s="62"/>
    </row>
    <row r="62" spans="1:24">
      <c r="A62" s="137"/>
      <c r="B62" s="199"/>
      <c r="C62" s="164"/>
      <c r="D62" s="195"/>
      <c r="E62" s="201"/>
      <c r="F62" s="201"/>
      <c r="G62" s="185"/>
      <c r="H62" s="203"/>
      <c r="I62" s="185"/>
      <c r="J62" s="161"/>
      <c r="K62" s="185"/>
      <c r="L62" s="176"/>
      <c r="M62" s="208"/>
      <c r="N62" s="208"/>
      <c r="O62" s="208"/>
      <c r="Q62" s="62"/>
      <c r="R62" s="17"/>
      <c r="S62" s="17"/>
      <c r="T62" s="17"/>
      <c r="U62" s="62"/>
      <c r="V62" s="17"/>
      <c r="W62" s="62"/>
    </row>
    <row r="63" spans="1:24" ht="13.5" thickBot="1">
      <c r="A63" s="137"/>
      <c r="B63" s="189"/>
      <c r="C63" s="209"/>
      <c r="D63" s="189"/>
      <c r="E63" s="210"/>
      <c r="F63" s="201"/>
      <c r="G63" s="211"/>
      <c r="H63" s="212"/>
      <c r="I63" s="172"/>
      <c r="J63" s="144"/>
      <c r="K63" s="172"/>
      <c r="L63" s="212"/>
      <c r="M63" s="172"/>
      <c r="N63" s="172"/>
      <c r="O63" s="172"/>
      <c r="Q63" s="62"/>
      <c r="R63" s="17"/>
      <c r="S63" s="17"/>
      <c r="T63" s="17"/>
      <c r="U63" s="62"/>
      <c r="V63" s="17"/>
      <c r="W63" s="62"/>
    </row>
    <row r="64" spans="1:24">
      <c r="A64" s="137"/>
      <c r="B64" s="195"/>
      <c r="C64" s="164"/>
      <c r="D64" s="195"/>
      <c r="E64" s="201"/>
      <c r="F64" s="201"/>
      <c r="G64" s="185"/>
      <c r="H64" s="208"/>
      <c r="I64" s="173"/>
      <c r="J64" s="144"/>
      <c r="K64" s="146" t="s">
        <v>211</v>
      </c>
      <c r="L64" s="147"/>
      <c r="M64" s="146" t="s">
        <v>211</v>
      </c>
      <c r="N64" s="146" t="s">
        <v>76</v>
      </c>
      <c r="O64" s="146"/>
      <c r="Q64" s="62"/>
      <c r="R64" s="17"/>
      <c r="S64" s="17"/>
      <c r="T64" s="17"/>
      <c r="U64" s="62"/>
      <c r="V64" s="17"/>
      <c r="W64" s="62"/>
    </row>
    <row r="65" spans="1:24">
      <c r="A65" s="137"/>
      <c r="B65" s="143" t="s">
        <v>102</v>
      </c>
      <c r="C65" s="144"/>
      <c r="D65" s="144"/>
      <c r="E65" s="147"/>
      <c r="F65" s="147"/>
      <c r="G65" s="257" t="s">
        <v>171</v>
      </c>
      <c r="H65" s="257"/>
      <c r="I65" s="257"/>
      <c r="J65" s="144"/>
      <c r="K65" s="146" t="s">
        <v>212</v>
      </c>
      <c r="L65" s="147" t="s">
        <v>78</v>
      </c>
      <c r="M65" s="146" t="s">
        <v>212</v>
      </c>
      <c r="N65" s="146"/>
      <c r="O65" s="146"/>
      <c r="Q65" s="62"/>
      <c r="R65" s="17"/>
      <c r="S65" s="17"/>
      <c r="T65" s="17"/>
      <c r="U65" s="62"/>
      <c r="V65" s="17"/>
      <c r="W65" s="62"/>
    </row>
    <row r="66" spans="1:24" ht="13.5" thickBot="1">
      <c r="A66" s="137"/>
      <c r="B66" s="148" t="s">
        <v>80</v>
      </c>
      <c r="C66" s="149"/>
      <c r="D66" s="149"/>
      <c r="E66" s="150" t="s">
        <v>81</v>
      </c>
      <c r="F66" s="151"/>
      <c r="G66" s="152" t="s">
        <v>81</v>
      </c>
      <c r="H66" s="152" t="s">
        <v>172</v>
      </c>
      <c r="I66" s="153" t="s">
        <v>82</v>
      </c>
      <c r="J66" s="144"/>
      <c r="K66" s="152" t="s">
        <v>40</v>
      </c>
      <c r="L66" s="152" t="s">
        <v>83</v>
      </c>
      <c r="M66" s="152" t="s">
        <v>84</v>
      </c>
      <c r="N66" s="152"/>
      <c r="O66" s="152"/>
      <c r="Q66" s="62"/>
      <c r="R66" s="17"/>
      <c r="S66" s="17"/>
      <c r="T66" s="17"/>
      <c r="U66" s="62"/>
      <c r="V66" s="17"/>
      <c r="W66" s="62"/>
    </row>
    <row r="67" spans="1:24">
      <c r="A67" s="137">
        <f>A61+1</f>
        <v>30</v>
      </c>
      <c r="B67" s="174" t="s">
        <v>93</v>
      </c>
      <c r="C67" s="154"/>
      <c r="D67" s="154" t="s">
        <v>94</v>
      </c>
      <c r="E67" s="163">
        <v>0</v>
      </c>
      <c r="F67" s="163"/>
      <c r="G67" s="156">
        <v>26011</v>
      </c>
      <c r="H67" s="157">
        <v>0.81601000000000001</v>
      </c>
      <c r="I67" s="158">
        <f>ROUND(G67*H67,0)</f>
        <v>21225</v>
      </c>
      <c r="J67" s="161"/>
      <c r="K67" s="156">
        <f>'Exhibit 1.4 COS'!I14</f>
        <v>0</v>
      </c>
      <c r="L67" s="160">
        <f>K67/I67</f>
        <v>0</v>
      </c>
      <c r="M67" s="157">
        <f>ROUND(L67*SUM(H67:H67),5)</f>
        <v>0</v>
      </c>
      <c r="N67" s="17">
        <v>0</v>
      </c>
      <c r="O67" s="157">
        <f>M67-N67</f>
        <v>0</v>
      </c>
      <c r="Q67" s="62"/>
      <c r="R67" s="64">
        <f t="shared" ref="R67" si="13">H67</f>
        <v>0.81601000000000001</v>
      </c>
      <c r="S67" s="17"/>
      <c r="T67" s="17">
        <f>R67+O67</f>
        <v>0.81601000000000001</v>
      </c>
      <c r="U67" s="62"/>
      <c r="V67" s="17"/>
      <c r="W67" s="62"/>
      <c r="X67" s="61"/>
    </row>
    <row r="68" spans="1:24">
      <c r="A68" s="137">
        <f>A67+1</f>
        <v>31</v>
      </c>
      <c r="B68" s="165" t="s">
        <v>91</v>
      </c>
      <c r="C68" s="138"/>
      <c r="D68" s="154"/>
      <c r="E68" s="163"/>
      <c r="F68" s="163"/>
      <c r="G68" s="213">
        <f>SUM(G67)</f>
        <v>26011</v>
      </c>
      <c r="H68" s="214"/>
      <c r="I68" s="215">
        <f>SUM(I67)</f>
        <v>21225</v>
      </c>
      <c r="J68" s="161"/>
      <c r="K68" s="185"/>
      <c r="L68" s="186"/>
      <c r="M68" s="185"/>
      <c r="N68" s="185"/>
      <c r="O68" s="185"/>
    </row>
    <row r="69" spans="1:24">
      <c r="A69" s="137"/>
      <c r="B69" s="195"/>
      <c r="C69" s="196"/>
      <c r="D69" s="196"/>
      <c r="E69" s="192"/>
      <c r="F69" s="192"/>
      <c r="G69" s="216"/>
      <c r="H69" s="217"/>
      <c r="I69" s="218"/>
      <c r="J69" s="161"/>
      <c r="K69" s="216"/>
      <c r="L69" s="217"/>
      <c r="M69" s="218"/>
      <c r="N69" s="218"/>
      <c r="O69" s="218"/>
    </row>
    <row r="70" spans="1:24" ht="13.5" thickBot="1">
      <c r="A70" s="137">
        <f>A68+1</f>
        <v>32</v>
      </c>
      <c r="B70" s="138"/>
      <c r="C70" s="138"/>
      <c r="D70" s="138"/>
      <c r="E70" s="139"/>
      <c r="F70" s="139"/>
      <c r="G70" s="138"/>
      <c r="H70" s="138"/>
      <c r="I70" s="219" t="s">
        <v>4</v>
      </c>
      <c r="J70" s="140"/>
      <c r="K70" s="220">
        <f>SUM(K67,K61,K50,K39,K30,K17,K12)</f>
        <v>2459498.5767103061</v>
      </c>
      <c r="L70" s="138"/>
      <c r="M70" s="221"/>
      <c r="N70" s="138"/>
      <c r="O70" s="138"/>
    </row>
    <row r="71" spans="1:24" ht="13.5" thickTop="1"/>
    <row r="73" spans="1:24">
      <c r="G73" s="58"/>
    </row>
    <row r="75" spans="1:24">
      <c r="L75" s="84"/>
    </row>
  </sheetData>
  <mergeCells count="8">
    <mergeCell ref="A1:O1"/>
    <mergeCell ref="G54:I54"/>
    <mergeCell ref="G65:I65"/>
    <mergeCell ref="G4:I4"/>
    <mergeCell ref="G15:I15"/>
    <mergeCell ref="G21:I21"/>
    <mergeCell ref="G34:I34"/>
    <mergeCell ref="G43:I43"/>
  </mergeCells>
  <pageMargins left="0.7" right="0.7" top="0.81968750000000001" bottom="0.75" header="0.3" footer="0.3"/>
  <pageSetup scale="36" orientation="portrait" r:id="rId1"/>
  <headerFooter scaleWithDoc="0">
    <oddHeader xml:space="preserve">&amp;R&amp;"Arial,Regular"Dominion Energy Utah
Docket No 21-057-30
DEU Exhibit 1.5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J39"/>
  <sheetViews>
    <sheetView view="pageLayout" zoomScaleNormal="100" workbookViewId="0">
      <selection activeCell="B1" sqref="B1:I1"/>
    </sheetView>
  </sheetViews>
  <sheetFormatPr defaultRowHeight="12.75"/>
  <cols>
    <col min="1" max="1" width="11.42578125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1" spans="1:10">
      <c r="A1" s="18"/>
      <c r="B1" s="265" t="s">
        <v>103</v>
      </c>
      <c r="C1" s="266"/>
      <c r="D1" s="266"/>
      <c r="E1" s="266"/>
      <c r="F1" s="266"/>
      <c r="G1" s="266"/>
      <c r="H1" s="266"/>
      <c r="I1" s="266"/>
      <c r="J1" s="19"/>
    </row>
    <row r="2" spans="1:10">
      <c r="A2" s="18"/>
      <c r="B2" s="265" t="s">
        <v>104</v>
      </c>
      <c r="C2" s="266"/>
      <c r="D2" s="266"/>
      <c r="E2" s="266"/>
      <c r="F2" s="266"/>
      <c r="G2" s="266"/>
      <c r="H2" s="266"/>
      <c r="I2" s="266"/>
      <c r="J2" s="19"/>
    </row>
    <row r="3" spans="1:10">
      <c r="A3" s="18"/>
      <c r="B3" s="18"/>
      <c r="C3" s="20"/>
      <c r="D3" s="18"/>
      <c r="E3" s="18"/>
      <c r="F3" s="18"/>
      <c r="G3" s="18"/>
      <c r="H3" s="18"/>
      <c r="I3" s="18"/>
      <c r="J3" s="18"/>
    </row>
    <row r="4" spans="1:10">
      <c r="A4" s="18"/>
      <c r="B4" s="18"/>
      <c r="C4" s="20"/>
      <c r="D4" s="18"/>
      <c r="E4" s="18"/>
      <c r="F4" s="18"/>
      <c r="G4" s="18"/>
      <c r="H4" s="18"/>
      <c r="I4" s="18"/>
      <c r="J4" s="18"/>
    </row>
    <row r="5" spans="1:10">
      <c r="A5" s="18"/>
      <c r="B5" s="21" t="s">
        <v>105</v>
      </c>
      <c r="C5" s="21" t="s">
        <v>106</v>
      </c>
      <c r="D5" s="22" t="s">
        <v>107</v>
      </c>
      <c r="E5" s="267" t="s">
        <v>108</v>
      </c>
      <c r="F5" s="267"/>
      <c r="G5" s="267" t="s">
        <v>109</v>
      </c>
      <c r="H5" s="267"/>
      <c r="I5" s="267" t="s">
        <v>110</v>
      </c>
      <c r="J5" s="267"/>
    </row>
    <row r="6" spans="1:10">
      <c r="A6" s="18"/>
      <c r="B6" s="23"/>
      <c r="C6" s="19"/>
      <c r="D6" s="23"/>
      <c r="E6" s="265" t="s">
        <v>111</v>
      </c>
      <c r="F6" s="266"/>
      <c r="G6" s="265" t="s">
        <v>112</v>
      </c>
      <c r="H6" s="266"/>
      <c r="I6" s="23"/>
      <c r="J6" s="23"/>
    </row>
    <row r="7" spans="1:10">
      <c r="A7" s="24"/>
      <c r="B7" s="25" t="s">
        <v>84</v>
      </c>
      <c r="C7" s="25"/>
      <c r="D7" s="26" t="s">
        <v>113</v>
      </c>
      <c r="E7" s="258" t="s">
        <v>114</v>
      </c>
      <c r="F7" s="259"/>
      <c r="G7" s="260" t="s">
        <v>115</v>
      </c>
      <c r="H7" s="261"/>
      <c r="I7" s="27"/>
      <c r="J7" s="27"/>
    </row>
    <row r="8" spans="1:10" ht="13.5" thickBot="1">
      <c r="A8" s="28"/>
      <c r="B8" s="29" t="s">
        <v>116</v>
      </c>
      <c r="C8" s="29" t="s">
        <v>117</v>
      </c>
      <c r="D8" s="30" t="s">
        <v>118</v>
      </c>
      <c r="E8" s="262">
        <f>A39</f>
        <v>44562</v>
      </c>
      <c r="F8" s="262"/>
      <c r="G8" s="263" t="s">
        <v>119</v>
      </c>
      <c r="H8" s="264"/>
      <c r="I8" s="31" t="s">
        <v>120</v>
      </c>
      <c r="J8" s="29"/>
    </row>
    <row r="9" spans="1:10">
      <c r="A9" s="18"/>
      <c r="B9" s="18"/>
      <c r="C9" s="20"/>
      <c r="D9" s="18"/>
      <c r="E9" s="18"/>
      <c r="F9" s="18"/>
      <c r="G9" s="18"/>
      <c r="H9" s="18"/>
      <c r="I9" s="18"/>
      <c r="J9" s="18"/>
    </row>
    <row r="10" spans="1:10">
      <c r="A10" s="20">
        <v>1</v>
      </c>
      <c r="B10" s="20" t="s">
        <v>61</v>
      </c>
      <c r="C10" s="20" t="s">
        <v>121</v>
      </c>
      <c r="D10" s="32">
        <v>14.9</v>
      </c>
      <c r="E10" s="33">
        <f>ROUND((D10*$D$39)+$B$39,2)</f>
        <v>144.33000000000001</v>
      </c>
      <c r="F10" s="33"/>
      <c r="G10" s="33">
        <f>ROUND((D10*$D$36)+$B$36,2)</f>
        <v>144.68</v>
      </c>
      <c r="H10" s="33"/>
      <c r="I10" s="33">
        <f>G10-E10</f>
        <v>0.34999999999999432</v>
      </c>
      <c r="J10" s="33"/>
    </row>
    <row r="11" spans="1:10">
      <c r="A11" s="20">
        <f t="shared" ref="A11:A21" si="0">A10+1</f>
        <v>2</v>
      </c>
      <c r="B11" s="18"/>
      <c r="C11" s="20" t="s">
        <v>122</v>
      </c>
      <c r="D11" s="32">
        <v>12.5</v>
      </c>
      <c r="E11" s="34">
        <f>ROUND((D11*$D$39)+$B$39,2)</f>
        <v>122.17</v>
      </c>
      <c r="F11" s="34"/>
      <c r="G11" s="34">
        <f>ROUND((D11*$D$36)+$B$36,2)</f>
        <v>122.46</v>
      </c>
      <c r="H11" s="34"/>
      <c r="I11" s="34">
        <f t="shared" ref="I11:I21" si="1">G11-E11</f>
        <v>0.28999999999999204</v>
      </c>
      <c r="J11" s="34"/>
    </row>
    <row r="12" spans="1:10">
      <c r="A12" s="20">
        <f t="shared" si="0"/>
        <v>3</v>
      </c>
      <c r="B12" s="18"/>
      <c r="C12" s="20" t="s">
        <v>123</v>
      </c>
      <c r="D12" s="32">
        <v>10.1</v>
      </c>
      <c r="E12" s="34">
        <f>ROUND((D12*$D$39)+$B$39,2)</f>
        <v>100.01</v>
      </c>
      <c r="F12" s="34"/>
      <c r="G12" s="34">
        <f>ROUND((D12*$D$36)+$B$36,2)</f>
        <v>100.24</v>
      </c>
      <c r="H12" s="34"/>
      <c r="I12" s="34">
        <f t="shared" si="1"/>
        <v>0.22999999999998977</v>
      </c>
      <c r="J12" s="34"/>
    </row>
    <row r="13" spans="1:10">
      <c r="A13" s="20">
        <f t="shared" si="0"/>
        <v>4</v>
      </c>
      <c r="B13" s="18"/>
      <c r="C13" s="20" t="s">
        <v>124</v>
      </c>
      <c r="D13" s="32">
        <v>8.3000000000000007</v>
      </c>
      <c r="E13" s="34">
        <f>ROUND((D13*$C$39)+$B$39,2)</f>
        <v>72.66</v>
      </c>
      <c r="F13" s="34"/>
      <c r="G13" s="34">
        <f>ROUND((D13*$C$36)+$B$36,2)</f>
        <v>72.81</v>
      </c>
      <c r="H13" s="34"/>
      <c r="I13" s="34">
        <f t="shared" si="1"/>
        <v>0.15000000000000568</v>
      </c>
      <c r="J13" s="34"/>
    </row>
    <row r="14" spans="1:10">
      <c r="A14" s="20">
        <f t="shared" si="0"/>
        <v>5</v>
      </c>
      <c r="B14" s="18"/>
      <c r="C14" s="20" t="s">
        <v>125</v>
      </c>
      <c r="D14" s="32">
        <v>4.4000000000000004</v>
      </c>
      <c r="E14" s="34">
        <f t="shared" ref="E14:E19" si="2">ROUND((D14*$C$39)+$B$39,2)</f>
        <v>41.69</v>
      </c>
      <c r="F14" s="34"/>
      <c r="G14" s="34">
        <f t="shared" ref="G14:G19" si="3">ROUND((D14*$C$36)+$B$36,2)</f>
        <v>41.77</v>
      </c>
      <c r="H14" s="34"/>
      <c r="I14" s="34">
        <f t="shared" si="1"/>
        <v>8.00000000000054E-2</v>
      </c>
      <c r="J14" s="34"/>
    </row>
    <row r="15" spans="1:10">
      <c r="A15" s="20">
        <f t="shared" si="0"/>
        <v>6</v>
      </c>
      <c r="B15" s="18"/>
      <c r="C15" s="20" t="s">
        <v>126</v>
      </c>
      <c r="D15" s="32">
        <v>3.1</v>
      </c>
      <c r="E15" s="34">
        <f t="shared" si="2"/>
        <v>31.37</v>
      </c>
      <c r="F15" s="34"/>
      <c r="G15" s="34">
        <f t="shared" si="3"/>
        <v>31.42</v>
      </c>
      <c r="H15" s="34"/>
      <c r="I15" s="34">
        <f t="shared" si="1"/>
        <v>5.0000000000000711E-2</v>
      </c>
      <c r="J15" s="34"/>
    </row>
    <row r="16" spans="1:10">
      <c r="A16" s="20">
        <f t="shared" si="0"/>
        <v>7</v>
      </c>
      <c r="B16" s="18"/>
      <c r="C16" s="20" t="s">
        <v>127</v>
      </c>
      <c r="D16" s="32">
        <v>2</v>
      </c>
      <c r="E16" s="34">
        <f t="shared" si="2"/>
        <v>22.63</v>
      </c>
      <c r="F16" s="34"/>
      <c r="G16" s="34">
        <f t="shared" si="3"/>
        <v>22.67</v>
      </c>
      <c r="H16" s="34"/>
      <c r="I16" s="34">
        <f t="shared" si="1"/>
        <v>4.00000000000027E-2</v>
      </c>
      <c r="J16" s="34"/>
    </row>
    <row r="17" spans="1:10">
      <c r="A17" s="20">
        <f t="shared" si="0"/>
        <v>8</v>
      </c>
      <c r="B17" s="18"/>
      <c r="C17" s="20" t="s">
        <v>128</v>
      </c>
      <c r="D17" s="32">
        <v>1.8</v>
      </c>
      <c r="E17" s="34">
        <f t="shared" si="2"/>
        <v>21.04</v>
      </c>
      <c r="F17" s="34"/>
      <c r="G17" s="34">
        <f t="shared" si="3"/>
        <v>21.08</v>
      </c>
      <c r="H17" s="34"/>
      <c r="I17" s="34">
        <f t="shared" si="1"/>
        <v>3.9999999999999147E-2</v>
      </c>
      <c r="J17" s="34"/>
    </row>
    <row r="18" spans="1:10">
      <c r="A18" s="20">
        <f t="shared" si="0"/>
        <v>9</v>
      </c>
      <c r="B18" s="18"/>
      <c r="C18" s="20" t="s">
        <v>129</v>
      </c>
      <c r="D18" s="32">
        <v>2</v>
      </c>
      <c r="E18" s="34">
        <f t="shared" si="2"/>
        <v>22.63</v>
      </c>
      <c r="F18" s="34"/>
      <c r="G18" s="34">
        <f t="shared" si="3"/>
        <v>22.67</v>
      </c>
      <c r="H18" s="34"/>
      <c r="I18" s="34">
        <f t="shared" si="1"/>
        <v>4.00000000000027E-2</v>
      </c>
      <c r="J18" s="34"/>
    </row>
    <row r="19" spans="1:10">
      <c r="A19" s="20">
        <f t="shared" si="0"/>
        <v>10</v>
      </c>
      <c r="B19" s="18"/>
      <c r="C19" s="20" t="s">
        <v>130</v>
      </c>
      <c r="D19" s="32">
        <v>3.1</v>
      </c>
      <c r="E19" s="34">
        <f t="shared" si="2"/>
        <v>31.37</v>
      </c>
      <c r="F19" s="34"/>
      <c r="G19" s="34">
        <f t="shared" si="3"/>
        <v>31.42</v>
      </c>
      <c r="H19" s="34"/>
      <c r="I19" s="34">
        <f t="shared" si="1"/>
        <v>5.0000000000000711E-2</v>
      </c>
      <c r="J19" s="34"/>
    </row>
    <row r="20" spans="1:10">
      <c r="A20" s="20">
        <f t="shared" si="0"/>
        <v>11</v>
      </c>
      <c r="B20" s="18"/>
      <c r="C20" s="20" t="s">
        <v>131</v>
      </c>
      <c r="D20" s="32">
        <v>6.3</v>
      </c>
      <c r="E20" s="34">
        <f>ROUND((D20*$D$39)+$B$39,2)</f>
        <v>64.92</v>
      </c>
      <c r="F20" s="34"/>
      <c r="G20" s="34">
        <f>ROUND((D20*$D$36)+$B$36,2)</f>
        <v>65.069999999999993</v>
      </c>
      <c r="H20" s="34"/>
      <c r="I20" s="34">
        <f t="shared" si="1"/>
        <v>0.14999999999999147</v>
      </c>
      <c r="J20" s="34"/>
    </row>
    <row r="21" spans="1:10">
      <c r="A21" s="20">
        <f t="shared" si="0"/>
        <v>12</v>
      </c>
      <c r="B21" s="18"/>
      <c r="C21" s="20" t="s">
        <v>132</v>
      </c>
      <c r="D21" s="32">
        <v>11.5</v>
      </c>
      <c r="E21" s="34">
        <f>ROUND((D21*$D$39)+$B$39,2)</f>
        <v>112.94</v>
      </c>
      <c r="F21" s="34"/>
      <c r="G21" s="34">
        <f>ROUND((D21*$D$36)+$B$36,2)</f>
        <v>113.2</v>
      </c>
      <c r="H21" s="34"/>
      <c r="I21" s="34">
        <f t="shared" si="1"/>
        <v>0.26000000000000512</v>
      </c>
      <c r="J21" s="34"/>
    </row>
    <row r="22" spans="1:10" ht="13.5" thickBot="1">
      <c r="A22" s="20"/>
      <c r="B22" s="18"/>
      <c r="C22" s="20"/>
      <c r="D22" s="35"/>
      <c r="E22" s="36"/>
      <c r="F22" s="36"/>
      <c r="G22" s="36"/>
      <c r="H22" s="36"/>
      <c r="I22" s="37"/>
      <c r="J22" s="38"/>
    </row>
    <row r="23" spans="1:10" ht="13.5" thickTop="1">
      <c r="A23" s="20"/>
      <c r="B23" s="18"/>
      <c r="C23" s="20"/>
      <c r="D23" s="39"/>
      <c r="E23" s="40"/>
      <c r="F23" s="40"/>
      <c r="G23" s="20"/>
      <c r="H23" s="20"/>
      <c r="I23" s="40" t="s">
        <v>133</v>
      </c>
      <c r="J23" s="40"/>
    </row>
    <row r="24" spans="1:10">
      <c r="A24" s="20">
        <f>A21+1</f>
        <v>13</v>
      </c>
      <c r="B24" s="18"/>
      <c r="C24" s="41" t="s">
        <v>4</v>
      </c>
      <c r="D24" s="42">
        <f>SUM(D10:D23)</f>
        <v>80</v>
      </c>
      <c r="E24" s="33">
        <f>SUM(E10:E21)</f>
        <v>787.75999999999976</v>
      </c>
      <c r="F24" s="33"/>
      <c r="G24" s="33">
        <f>SUM(G10:G21)</f>
        <v>789.49</v>
      </c>
      <c r="H24" s="33"/>
      <c r="I24" s="33">
        <f>SUM(I10:I21)</f>
        <v>1.7299999999999898</v>
      </c>
      <c r="J24" s="33"/>
    </row>
    <row r="25" spans="1:10">
      <c r="A25" s="18"/>
      <c r="B25" s="18"/>
      <c r="C25" s="20"/>
      <c r="D25" s="18"/>
      <c r="E25" s="43"/>
      <c r="F25" s="43"/>
      <c r="G25" s="43"/>
      <c r="H25" s="18"/>
      <c r="I25" s="18"/>
      <c r="J25" s="18"/>
    </row>
    <row r="26" spans="1:10">
      <c r="A26" s="20">
        <v>14</v>
      </c>
      <c r="B26" s="18" t="s">
        <v>133</v>
      </c>
      <c r="C26" s="20"/>
      <c r="D26" s="18"/>
      <c r="E26" s="18"/>
      <c r="F26" s="18"/>
      <c r="G26" s="44" t="s">
        <v>134</v>
      </c>
      <c r="H26" s="44"/>
      <c r="I26" s="45">
        <f>ROUND(I24/E24,4)*100</f>
        <v>0.22</v>
      </c>
      <c r="J26" s="46" t="s">
        <v>135</v>
      </c>
    </row>
    <row r="29" spans="1:10">
      <c r="I29" s="6"/>
    </row>
    <row r="34" spans="1:5">
      <c r="A34" s="47"/>
      <c r="B34" s="48"/>
      <c r="C34" s="16" t="s">
        <v>90</v>
      </c>
      <c r="D34" s="16" t="s">
        <v>85</v>
      </c>
    </row>
    <row r="35" spans="1:5" ht="13.5" thickBot="1">
      <c r="A35" s="48"/>
      <c r="B35" s="49" t="s">
        <v>136</v>
      </c>
      <c r="C35" s="50" t="s">
        <v>137</v>
      </c>
      <c r="D35" s="50" t="s">
        <v>137</v>
      </c>
    </row>
    <row r="36" spans="1:5">
      <c r="A36" s="51" t="s">
        <v>138</v>
      </c>
      <c r="B36" s="52">
        <v>6.75</v>
      </c>
      <c r="C36" s="53">
        <f>'Exhibit 1.5 Rates'!X10</f>
        <v>7.95845</v>
      </c>
      <c r="D36" s="53">
        <f>'Exhibit 1.5 Rates'!X7</f>
        <v>9.2568000000000001</v>
      </c>
      <c r="E36" s="91"/>
    </row>
    <row r="37" spans="1:5">
      <c r="A37" s="94">
        <v>44593</v>
      </c>
      <c r="B37" s="52"/>
      <c r="C37" s="53"/>
      <c r="D37" s="53"/>
    </row>
    <row r="38" spans="1:5">
      <c r="A38" s="48" t="s">
        <v>139</v>
      </c>
      <c r="B38" s="52"/>
      <c r="C38" s="54"/>
      <c r="D38" s="54"/>
    </row>
    <row r="39" spans="1:5">
      <c r="A39" s="55">
        <v>44562</v>
      </c>
      <c r="B39" s="52">
        <v>6.75</v>
      </c>
      <c r="C39" s="56">
        <f>'Exhibit 1.5 Rates'!V10</f>
        <v>7.9415399999999998</v>
      </c>
      <c r="D39" s="56">
        <f>'Exhibit 1.5 Rates'!V7</f>
        <v>9.2337900000000008</v>
      </c>
      <c r="E39" s="91"/>
    </row>
  </sheetData>
  <mergeCells count="11">
    <mergeCell ref="E7:F7"/>
    <mergeCell ref="G7:H7"/>
    <mergeCell ref="E8:F8"/>
    <mergeCell ref="G8:H8"/>
    <mergeCell ref="B1:I1"/>
    <mergeCell ref="B2:I2"/>
    <mergeCell ref="E5:F5"/>
    <mergeCell ref="G5:H5"/>
    <mergeCell ref="I5:J5"/>
    <mergeCell ref="E6:F6"/>
    <mergeCell ref="G6:H6"/>
  </mergeCells>
  <pageMargins left="0.7" right="0.7" top="1.0520833333333333" bottom="0.75" header="0.3" footer="0.3"/>
  <pageSetup orientation="portrait" r:id="rId1"/>
  <headerFooter scaleWithDoc="0">
    <oddHeader xml:space="preserve">&amp;R&amp;"Arial,Regular"Dominion Energy Utah
Docket No 21-057-30
DEU Exhibit 1.6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39"/>
  <sheetViews>
    <sheetView topLeftCell="A18" zoomScale="90" zoomScaleNormal="90" workbookViewId="0">
      <pane xSplit="1" topLeftCell="B1" activePane="topRight" state="frozen"/>
      <selection activeCell="D53" sqref="D53"/>
      <selection pane="topRight" activeCell="AA39" sqref="AA39"/>
    </sheetView>
  </sheetViews>
  <sheetFormatPr defaultRowHeight="12.75"/>
  <cols>
    <col min="1" max="1" width="42.42578125" style="4" bestFit="1" customWidth="1"/>
    <col min="2" max="2" width="14.7109375" style="4" customWidth="1"/>
    <col min="3" max="27" width="14.7109375" customWidth="1"/>
    <col min="28" max="50" width="14.7109375" hidden="1" customWidth="1"/>
    <col min="51" max="51" width="21" bestFit="1" customWidth="1"/>
    <col min="52" max="52" width="14.85546875" bestFit="1" customWidth="1"/>
    <col min="53" max="53" width="15.85546875" customWidth="1"/>
    <col min="54" max="54" width="14.85546875" bestFit="1" customWidth="1"/>
    <col min="55" max="55" width="14.85546875" customWidth="1"/>
    <col min="56" max="57" width="14.85546875" bestFit="1" customWidth="1"/>
    <col min="58" max="58" width="15.28515625" bestFit="1" customWidth="1"/>
    <col min="59" max="59" width="14.85546875" bestFit="1" customWidth="1"/>
    <col min="60" max="61" width="14.7109375" bestFit="1" customWidth="1"/>
  </cols>
  <sheetData>
    <row r="1" spans="1:57">
      <c r="C1" s="15">
        <f t="shared" ref="C1:N1" si="0">YEAR(C7)</f>
        <v>2021</v>
      </c>
      <c r="D1" s="15">
        <f t="shared" si="0"/>
        <v>2021</v>
      </c>
      <c r="E1" s="15">
        <f t="shared" si="0"/>
        <v>2021</v>
      </c>
      <c r="F1" s="15">
        <f t="shared" si="0"/>
        <v>2021</v>
      </c>
      <c r="G1" s="15">
        <f t="shared" si="0"/>
        <v>2021</v>
      </c>
      <c r="H1" s="15">
        <f t="shared" si="0"/>
        <v>2021</v>
      </c>
      <c r="I1" s="15">
        <f t="shared" si="0"/>
        <v>2021</v>
      </c>
      <c r="J1" s="15">
        <f t="shared" si="0"/>
        <v>2021</v>
      </c>
      <c r="K1" s="15">
        <f t="shared" si="0"/>
        <v>2021</v>
      </c>
      <c r="L1" s="15">
        <f t="shared" si="0"/>
        <v>2021</v>
      </c>
      <c r="M1" s="15">
        <f t="shared" si="0"/>
        <v>2021</v>
      </c>
      <c r="N1" s="15">
        <f t="shared" si="0"/>
        <v>2021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7">
      <c r="C2" s="15">
        <f t="shared" ref="C2:N2" si="1">MONTH(C7)</f>
        <v>1</v>
      </c>
      <c r="D2" s="15">
        <f t="shared" si="1"/>
        <v>2</v>
      </c>
      <c r="E2" s="15">
        <f t="shared" si="1"/>
        <v>3</v>
      </c>
      <c r="F2" s="15">
        <f t="shared" si="1"/>
        <v>4</v>
      </c>
      <c r="G2" s="15">
        <f t="shared" si="1"/>
        <v>5</v>
      </c>
      <c r="H2" s="15">
        <f t="shared" si="1"/>
        <v>6</v>
      </c>
      <c r="I2" s="15">
        <f t="shared" si="1"/>
        <v>7</v>
      </c>
      <c r="J2" s="15">
        <f t="shared" si="1"/>
        <v>8</v>
      </c>
      <c r="K2" s="15">
        <f t="shared" si="1"/>
        <v>9</v>
      </c>
      <c r="L2" s="15">
        <f t="shared" si="1"/>
        <v>10</v>
      </c>
      <c r="M2" s="15">
        <f t="shared" si="1"/>
        <v>11</v>
      </c>
      <c r="N2" s="15">
        <f t="shared" si="1"/>
        <v>12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7">
      <c r="C3" s="15">
        <f t="shared" ref="C3:N3" si="2">DAY(C7)</f>
        <v>31</v>
      </c>
      <c r="D3" s="15">
        <f t="shared" si="2"/>
        <v>28</v>
      </c>
      <c r="E3" s="15">
        <f t="shared" si="2"/>
        <v>31</v>
      </c>
      <c r="F3" s="15">
        <f t="shared" si="2"/>
        <v>30</v>
      </c>
      <c r="G3" s="15">
        <f t="shared" si="2"/>
        <v>31</v>
      </c>
      <c r="H3" s="15">
        <f t="shared" si="2"/>
        <v>30</v>
      </c>
      <c r="I3" s="15">
        <f t="shared" si="2"/>
        <v>31</v>
      </c>
      <c r="J3" s="15">
        <f t="shared" si="2"/>
        <v>31</v>
      </c>
      <c r="K3" s="15">
        <f t="shared" si="2"/>
        <v>30</v>
      </c>
      <c r="L3" s="15">
        <f t="shared" si="2"/>
        <v>31</v>
      </c>
      <c r="M3" s="15">
        <f t="shared" si="2"/>
        <v>30</v>
      </c>
      <c r="N3" s="15">
        <f t="shared" si="2"/>
        <v>31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</row>
    <row r="4" spans="1:57">
      <c r="C4" s="7">
        <f t="shared" ref="C4:N4" si="3">YEAR(C7)</f>
        <v>2021</v>
      </c>
      <c r="D4" s="7">
        <f t="shared" si="3"/>
        <v>2021</v>
      </c>
      <c r="E4" s="7">
        <f t="shared" si="3"/>
        <v>2021</v>
      </c>
      <c r="F4" s="7">
        <f t="shared" si="3"/>
        <v>2021</v>
      </c>
      <c r="G4" s="7">
        <f t="shared" si="3"/>
        <v>2021</v>
      </c>
      <c r="H4" s="7">
        <f t="shared" si="3"/>
        <v>2021</v>
      </c>
      <c r="I4" s="7">
        <f t="shared" si="3"/>
        <v>2021</v>
      </c>
      <c r="J4" s="7">
        <f t="shared" si="3"/>
        <v>2021</v>
      </c>
      <c r="K4" s="7">
        <f t="shared" si="3"/>
        <v>2021</v>
      </c>
      <c r="L4" s="7">
        <f t="shared" si="3"/>
        <v>2021</v>
      </c>
      <c r="M4" s="7">
        <f t="shared" si="3"/>
        <v>2021</v>
      </c>
      <c r="N4" s="7">
        <f t="shared" si="3"/>
        <v>2021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6" spans="1:57">
      <c r="A6" s="70" t="s">
        <v>2</v>
      </c>
      <c r="B6" s="70"/>
      <c r="BD6" s="63" t="s">
        <v>66</v>
      </c>
    </row>
    <row r="7" spans="1:57">
      <c r="A7" s="4" t="s">
        <v>0</v>
      </c>
      <c r="B7" s="4" t="s">
        <v>219</v>
      </c>
      <c r="C7" s="60">
        <v>44227</v>
      </c>
      <c r="D7" s="60">
        <f t="shared" ref="D7:AX7" si="4">EOMONTH(C7,1)</f>
        <v>44255</v>
      </c>
      <c r="E7" s="60">
        <f t="shared" si="4"/>
        <v>44286</v>
      </c>
      <c r="F7" s="60">
        <f t="shared" si="4"/>
        <v>44316</v>
      </c>
      <c r="G7" s="60">
        <f t="shared" si="4"/>
        <v>44347</v>
      </c>
      <c r="H7" s="60">
        <f t="shared" si="4"/>
        <v>44377</v>
      </c>
      <c r="I7" s="60">
        <f t="shared" si="4"/>
        <v>44408</v>
      </c>
      <c r="J7" s="60">
        <f t="shared" si="4"/>
        <v>44439</v>
      </c>
      <c r="K7" s="60">
        <f t="shared" si="4"/>
        <v>44469</v>
      </c>
      <c r="L7" s="60">
        <f t="shared" si="4"/>
        <v>44500</v>
      </c>
      <c r="M7" s="60">
        <f t="shared" si="4"/>
        <v>44530</v>
      </c>
      <c r="N7" s="60">
        <f t="shared" si="4"/>
        <v>44561</v>
      </c>
      <c r="O7" s="60">
        <f t="shared" si="4"/>
        <v>44592</v>
      </c>
      <c r="P7" s="60">
        <f t="shared" si="4"/>
        <v>44620</v>
      </c>
      <c r="Q7" s="60">
        <f t="shared" si="4"/>
        <v>44651</v>
      </c>
      <c r="R7" s="60">
        <f t="shared" si="4"/>
        <v>44681</v>
      </c>
      <c r="S7" s="60">
        <f t="shared" si="4"/>
        <v>44712</v>
      </c>
      <c r="T7" s="60">
        <f t="shared" si="4"/>
        <v>44742</v>
      </c>
      <c r="U7" s="60">
        <f t="shared" si="4"/>
        <v>44773</v>
      </c>
      <c r="V7" s="60">
        <f t="shared" si="4"/>
        <v>44804</v>
      </c>
      <c r="W7" s="60">
        <f t="shared" si="4"/>
        <v>44834</v>
      </c>
      <c r="X7" s="60">
        <f t="shared" si="4"/>
        <v>44865</v>
      </c>
      <c r="Y7" s="60">
        <f t="shared" si="4"/>
        <v>44895</v>
      </c>
      <c r="Z7" s="60">
        <f t="shared" si="4"/>
        <v>44926</v>
      </c>
      <c r="AA7" s="60">
        <f t="shared" si="4"/>
        <v>44957</v>
      </c>
      <c r="AB7" s="60">
        <f t="shared" si="4"/>
        <v>44985</v>
      </c>
      <c r="AC7" s="60">
        <f t="shared" si="4"/>
        <v>45016</v>
      </c>
      <c r="AD7" s="60">
        <f t="shared" si="4"/>
        <v>45046</v>
      </c>
      <c r="AE7" s="60">
        <f t="shared" si="4"/>
        <v>45077</v>
      </c>
      <c r="AF7" s="60">
        <f t="shared" si="4"/>
        <v>45107</v>
      </c>
      <c r="AG7" s="60">
        <f t="shared" si="4"/>
        <v>45138</v>
      </c>
      <c r="AH7" s="60">
        <f t="shared" si="4"/>
        <v>45169</v>
      </c>
      <c r="AI7" s="60">
        <f t="shared" si="4"/>
        <v>45199</v>
      </c>
      <c r="AJ7" s="60">
        <f t="shared" si="4"/>
        <v>45230</v>
      </c>
      <c r="AK7" s="60">
        <f t="shared" si="4"/>
        <v>45260</v>
      </c>
      <c r="AL7" s="60">
        <f t="shared" si="4"/>
        <v>45291</v>
      </c>
      <c r="AM7" s="60">
        <f t="shared" si="4"/>
        <v>45322</v>
      </c>
      <c r="AN7" s="60">
        <f t="shared" si="4"/>
        <v>45351</v>
      </c>
      <c r="AO7" s="60">
        <f t="shared" si="4"/>
        <v>45382</v>
      </c>
      <c r="AP7" s="60">
        <f t="shared" si="4"/>
        <v>45412</v>
      </c>
      <c r="AQ7" s="60">
        <f t="shared" si="4"/>
        <v>45443</v>
      </c>
      <c r="AR7" s="60">
        <f t="shared" si="4"/>
        <v>45473</v>
      </c>
      <c r="AS7" s="60">
        <f t="shared" si="4"/>
        <v>45504</v>
      </c>
      <c r="AT7" s="60">
        <f t="shared" si="4"/>
        <v>45535</v>
      </c>
      <c r="AU7" s="60">
        <f t="shared" si="4"/>
        <v>45565</v>
      </c>
      <c r="AV7" s="60">
        <f t="shared" si="4"/>
        <v>45596</v>
      </c>
      <c r="AW7" s="60">
        <f t="shared" si="4"/>
        <v>45626</v>
      </c>
      <c r="AX7" s="60">
        <f t="shared" si="4"/>
        <v>45657</v>
      </c>
      <c r="AY7" s="57" t="s">
        <v>1</v>
      </c>
      <c r="BB7" s="6"/>
      <c r="BC7" s="63" t="s">
        <v>200</v>
      </c>
      <c r="BD7" s="63" t="s">
        <v>200</v>
      </c>
      <c r="BE7" s="63" t="s">
        <v>201</v>
      </c>
    </row>
    <row r="8" spans="1:57">
      <c r="A8" s="78" t="s">
        <v>203</v>
      </c>
      <c r="B8" s="92"/>
      <c r="C8" s="8"/>
      <c r="D8" s="8"/>
      <c r="E8" s="8"/>
      <c r="F8" s="8"/>
      <c r="G8" s="8"/>
      <c r="H8" s="8"/>
      <c r="I8" s="8"/>
      <c r="J8" s="8"/>
      <c r="K8" s="8"/>
      <c r="L8" s="8"/>
      <c r="M8" s="93"/>
      <c r="N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6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>
        <f>SUM(C8:AX8)</f>
        <v>0</v>
      </c>
      <c r="BB8" s="6"/>
      <c r="BC8" s="5">
        <f>SUM(C8:N8)</f>
        <v>0</v>
      </c>
      <c r="BD8" s="5">
        <f>SUM(AA8:AL8)</f>
        <v>0</v>
      </c>
      <c r="BE8" s="5">
        <f>SUM(AM8:AX8)</f>
        <v>0</v>
      </c>
    </row>
    <row r="9" spans="1:57">
      <c r="A9" s="8" t="s">
        <v>213</v>
      </c>
      <c r="B9" s="222">
        <v>81591</v>
      </c>
      <c r="C9" s="8"/>
      <c r="D9" s="8"/>
      <c r="E9" s="8"/>
      <c r="F9" s="8"/>
      <c r="G9" s="8"/>
      <c r="H9" s="8"/>
      <c r="I9" s="8"/>
      <c r="J9" s="8"/>
      <c r="K9" s="8"/>
      <c r="L9" s="93"/>
      <c r="M9" s="5">
        <v>-2646349.6000000099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6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BA9" s="6"/>
      <c r="BB9" s="5"/>
      <c r="BC9" s="5"/>
      <c r="BD9" s="5"/>
    </row>
    <row r="10" spans="1:57">
      <c r="A10" s="8" t="s">
        <v>214</v>
      </c>
      <c r="B10" s="222">
        <v>85070</v>
      </c>
      <c r="C10" s="8"/>
      <c r="D10" s="8"/>
      <c r="E10" s="8"/>
      <c r="F10" s="8"/>
      <c r="G10" s="8"/>
      <c r="H10" s="8"/>
      <c r="I10" s="8"/>
      <c r="J10" s="8"/>
      <c r="K10" s="8"/>
      <c r="L10" s="93"/>
      <c r="M10" s="5">
        <v>-11480889.199999999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6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BA10" s="6"/>
      <c r="BB10" s="5"/>
      <c r="BC10" s="5"/>
      <c r="BD10" s="5"/>
    </row>
    <row r="11" spans="1:57">
      <c r="A11" s="8" t="s">
        <v>215</v>
      </c>
      <c r="B11" s="222">
        <v>85086</v>
      </c>
      <c r="C11" s="8"/>
      <c r="D11" s="8"/>
      <c r="E11" s="8"/>
      <c r="F11" s="8"/>
      <c r="G11" s="8"/>
      <c r="H11" s="8"/>
      <c r="I11" s="8"/>
      <c r="J11" s="8"/>
      <c r="K11" s="8"/>
      <c r="L11" s="93"/>
      <c r="M11" s="5">
        <v>-5977614.0800000001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6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BA11" s="6"/>
      <c r="BB11" s="5"/>
      <c r="BC11" s="5"/>
      <c r="BD11" s="5"/>
    </row>
    <row r="12" spans="1:57">
      <c r="A12" s="8" t="s">
        <v>217</v>
      </c>
      <c r="B12" s="222">
        <v>85768</v>
      </c>
      <c r="C12" s="8"/>
      <c r="D12" s="8"/>
      <c r="E12" s="8"/>
      <c r="F12" s="8"/>
      <c r="G12" s="8"/>
      <c r="H12" s="8"/>
      <c r="I12" s="8"/>
      <c r="J12" s="8"/>
      <c r="K12" s="8"/>
      <c r="L12" s="93"/>
      <c r="M12" s="5">
        <v>-777279.96999999904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6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BA12" s="6"/>
      <c r="BB12" s="5"/>
      <c r="BC12" s="5"/>
      <c r="BD12" s="5"/>
    </row>
    <row r="13" spans="1:57">
      <c r="A13" t="s">
        <v>216</v>
      </c>
      <c r="B13" s="222">
        <v>85150</v>
      </c>
      <c r="M13" s="5">
        <v>-4677.54</v>
      </c>
    </row>
    <row r="14" spans="1:57" ht="13.5" thickBot="1">
      <c r="A14" s="11" t="s">
        <v>1</v>
      </c>
      <c r="B14" s="11"/>
      <c r="C14" s="11">
        <f t="shared" ref="C14:L14" si="5">SUM(C8:C12)</f>
        <v>0</v>
      </c>
      <c r="D14" s="11">
        <f t="shared" si="5"/>
        <v>0</v>
      </c>
      <c r="E14" s="11">
        <f t="shared" si="5"/>
        <v>0</v>
      </c>
      <c r="F14" s="11">
        <f t="shared" si="5"/>
        <v>0</v>
      </c>
      <c r="G14" s="11">
        <f t="shared" si="5"/>
        <v>0</v>
      </c>
      <c r="H14" s="11">
        <f t="shared" si="5"/>
        <v>0</v>
      </c>
      <c r="I14" s="11">
        <f t="shared" si="5"/>
        <v>0</v>
      </c>
      <c r="J14" s="11">
        <f t="shared" si="5"/>
        <v>0</v>
      </c>
      <c r="K14" s="11">
        <f t="shared" si="5"/>
        <v>0</v>
      </c>
      <c r="L14" s="11">
        <f t="shared" si="5"/>
        <v>0</v>
      </c>
      <c r="M14" s="11">
        <f>SUM(M8:M13)</f>
        <v>-20886810.390000008</v>
      </c>
      <c r="N14" s="11">
        <f t="shared" ref="N14:AY14" si="6">SUM(N8:N12)</f>
        <v>0</v>
      </c>
      <c r="O14" s="11">
        <f t="shared" si="6"/>
        <v>0</v>
      </c>
      <c r="P14" s="11">
        <f t="shared" si="6"/>
        <v>0</v>
      </c>
      <c r="Q14" s="11">
        <f t="shared" si="6"/>
        <v>0</v>
      </c>
      <c r="R14" s="11">
        <f t="shared" si="6"/>
        <v>0</v>
      </c>
      <c r="S14" s="11">
        <f t="shared" si="6"/>
        <v>0</v>
      </c>
      <c r="T14" s="11">
        <f t="shared" si="6"/>
        <v>0</v>
      </c>
      <c r="U14" s="11">
        <f t="shared" si="6"/>
        <v>0</v>
      </c>
      <c r="V14" s="11">
        <f t="shared" si="6"/>
        <v>0</v>
      </c>
      <c r="W14" s="11">
        <f t="shared" si="6"/>
        <v>0</v>
      </c>
      <c r="X14" s="11">
        <f t="shared" si="6"/>
        <v>0</v>
      </c>
      <c r="Y14" s="11">
        <f t="shared" si="6"/>
        <v>0</v>
      </c>
      <c r="Z14" s="11">
        <f t="shared" si="6"/>
        <v>0</v>
      </c>
      <c r="AA14" s="11">
        <f t="shared" si="6"/>
        <v>0</v>
      </c>
      <c r="AB14" s="11">
        <f t="shared" si="6"/>
        <v>0</v>
      </c>
      <c r="AC14" s="11">
        <f t="shared" si="6"/>
        <v>0</v>
      </c>
      <c r="AD14" s="11">
        <f t="shared" si="6"/>
        <v>0</v>
      </c>
      <c r="AE14" s="11">
        <f t="shared" si="6"/>
        <v>0</v>
      </c>
      <c r="AF14" s="11">
        <f t="shared" si="6"/>
        <v>0</v>
      </c>
      <c r="AG14" s="11">
        <f t="shared" si="6"/>
        <v>0</v>
      </c>
      <c r="AH14" s="11">
        <f t="shared" si="6"/>
        <v>0</v>
      </c>
      <c r="AI14" s="11">
        <f t="shared" si="6"/>
        <v>0</v>
      </c>
      <c r="AJ14" s="11">
        <f t="shared" si="6"/>
        <v>0</v>
      </c>
      <c r="AK14" s="11">
        <f t="shared" si="6"/>
        <v>0</v>
      </c>
      <c r="AL14" s="11">
        <f t="shared" si="6"/>
        <v>0</v>
      </c>
      <c r="AM14" s="11">
        <f t="shared" si="6"/>
        <v>0</v>
      </c>
      <c r="AN14" s="11">
        <f t="shared" si="6"/>
        <v>0</v>
      </c>
      <c r="AO14" s="11">
        <f t="shared" si="6"/>
        <v>0</v>
      </c>
      <c r="AP14" s="11">
        <f t="shared" si="6"/>
        <v>0</v>
      </c>
      <c r="AQ14" s="11">
        <f t="shared" si="6"/>
        <v>0</v>
      </c>
      <c r="AR14" s="11">
        <f t="shared" si="6"/>
        <v>0</v>
      </c>
      <c r="AS14" s="11">
        <f t="shared" si="6"/>
        <v>0</v>
      </c>
      <c r="AT14" s="11">
        <f t="shared" si="6"/>
        <v>0</v>
      </c>
      <c r="AU14" s="11">
        <f t="shared" si="6"/>
        <v>0</v>
      </c>
      <c r="AV14" s="11">
        <f t="shared" si="6"/>
        <v>0</v>
      </c>
      <c r="AW14" s="11">
        <f t="shared" si="6"/>
        <v>0</v>
      </c>
      <c r="AX14" s="11">
        <f t="shared" si="6"/>
        <v>0</v>
      </c>
      <c r="AY14" s="11">
        <f t="shared" si="6"/>
        <v>0</v>
      </c>
      <c r="BB14" s="6"/>
      <c r="BC14" s="58">
        <f>SUM(C14:N14)</f>
        <v>-20886810.390000008</v>
      </c>
      <c r="BD14" s="58">
        <f>SUM(AA14:AL14)</f>
        <v>0</v>
      </c>
      <c r="BE14" s="58">
        <f>SUM(AM14:AX14)</f>
        <v>0</v>
      </c>
    </row>
    <row r="15" spans="1:57" ht="13.5" thickTop="1">
      <c r="A15" s="71" t="s">
        <v>220</v>
      </c>
      <c r="B15" s="71"/>
      <c r="C15" s="8"/>
      <c r="D15" s="8"/>
      <c r="E15" s="8"/>
      <c r="F15" s="8"/>
      <c r="G15" s="8"/>
      <c r="H15" s="8"/>
      <c r="I15" s="8"/>
      <c r="J15" s="8"/>
      <c r="K15" s="8"/>
      <c r="L15" s="8"/>
      <c r="M15" s="8">
        <f>M14-M13</f>
        <v>-20882132.850000009</v>
      </c>
      <c r="N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58">
        <f>SUM(C15:N15)</f>
        <v>-20882132.850000009</v>
      </c>
      <c r="BA15" s="57"/>
      <c r="BB15" s="6"/>
      <c r="BC15" s="58">
        <f>SUM(C15:N15)</f>
        <v>-20882132.850000009</v>
      </c>
    </row>
    <row r="16" spans="1:57">
      <c r="C16" s="6"/>
      <c r="D16" s="6"/>
      <c r="E16" s="6"/>
      <c r="F16" s="6"/>
      <c r="G16" s="6"/>
      <c r="H16" s="6"/>
      <c r="I16" s="6"/>
      <c r="K16" s="6"/>
      <c r="L16" s="80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6"/>
    </row>
    <row r="17" spans="1:54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79"/>
    </row>
    <row r="18" spans="1:54">
      <c r="J18" s="86"/>
      <c r="K18" s="79"/>
    </row>
    <row r="19" spans="1:54">
      <c r="A19" s="70" t="s">
        <v>3</v>
      </c>
      <c r="B19" s="70"/>
    </row>
    <row r="20" spans="1:54" s="6" customFormat="1">
      <c r="A20" s="5"/>
      <c r="B20" s="5"/>
    </row>
    <row r="21" spans="1:54">
      <c r="A21" s="70" t="s">
        <v>5</v>
      </c>
      <c r="B21" s="70"/>
      <c r="AA21" s="1" t="s">
        <v>9</v>
      </c>
      <c r="AB21" s="1" t="s">
        <v>10</v>
      </c>
      <c r="AC21" s="1" t="s">
        <v>11</v>
      </c>
      <c r="AD21" s="1" t="s">
        <v>12</v>
      </c>
      <c r="AE21" s="1" t="s">
        <v>13</v>
      </c>
      <c r="AF21" s="1" t="s">
        <v>14</v>
      </c>
      <c r="AG21" s="1" t="s">
        <v>15</v>
      </c>
      <c r="AH21" s="1" t="s">
        <v>16</v>
      </c>
      <c r="AI21" s="1" t="s">
        <v>17</v>
      </c>
      <c r="AJ21" s="1" t="s">
        <v>18</v>
      </c>
      <c r="AK21" s="1" t="s">
        <v>19</v>
      </c>
      <c r="AL21" s="1" t="s">
        <v>20</v>
      </c>
      <c r="AM21" s="1" t="s">
        <v>21</v>
      </c>
      <c r="AN21" s="1" t="s">
        <v>22</v>
      </c>
      <c r="AO21" s="1" t="s">
        <v>23</v>
      </c>
      <c r="AP21" s="1" t="s">
        <v>24</v>
      </c>
      <c r="AQ21" s="1" t="s">
        <v>25</v>
      </c>
      <c r="AR21" s="1" t="s">
        <v>26</v>
      </c>
      <c r="AS21" s="1" t="s">
        <v>27</v>
      </c>
      <c r="AT21" s="1" t="s">
        <v>28</v>
      </c>
      <c r="AU21" s="1" t="s">
        <v>29</v>
      </c>
      <c r="BA21" s="6"/>
    </row>
    <row r="22" spans="1:54">
      <c r="A22" s="72" t="s">
        <v>7</v>
      </c>
      <c r="B22" s="72"/>
      <c r="AA22" s="9">
        <v>0.52500000000000002</v>
      </c>
      <c r="AB22" s="9">
        <v>4.7500000000000001E-2</v>
      </c>
      <c r="AC22" s="9">
        <v>4.2799999999999998E-2</v>
      </c>
      <c r="AD22" s="9">
        <v>3.85E-2</v>
      </c>
      <c r="AE22" s="9">
        <v>3.4700000000000002E-2</v>
      </c>
      <c r="AF22" s="9">
        <v>3.1199999999999999E-2</v>
      </c>
      <c r="AG22" s="9">
        <v>2.9499999999999998E-2</v>
      </c>
      <c r="AH22" s="9">
        <v>2.9499999999999998E-2</v>
      </c>
      <c r="AI22" s="9">
        <v>2.9600000000000001E-2</v>
      </c>
      <c r="AJ22" s="9">
        <v>2.9499999999999998E-2</v>
      </c>
      <c r="AK22" s="9">
        <v>2.9600000000000001E-2</v>
      </c>
      <c r="AL22" s="9">
        <v>2.9499999999999998E-2</v>
      </c>
      <c r="AM22" s="9">
        <v>2.9600000000000001E-2</v>
      </c>
      <c r="AN22" s="9">
        <v>2.9499999999999998E-2</v>
      </c>
      <c r="AO22" s="9">
        <v>2.9600000000000001E-2</v>
      </c>
      <c r="AP22" s="9">
        <v>1.46E-2</v>
      </c>
      <c r="AQ22" s="9"/>
      <c r="AR22" s="9"/>
      <c r="AS22" s="9"/>
      <c r="AT22" s="9"/>
      <c r="AU22" s="9"/>
      <c r="BA22" s="6"/>
      <c r="BB22" s="86"/>
    </row>
    <row r="23" spans="1:54">
      <c r="A23" s="72" t="s">
        <v>8</v>
      </c>
      <c r="B23" s="72"/>
      <c r="AA23" s="9">
        <v>0.51880000000000004</v>
      </c>
      <c r="AB23" s="9">
        <v>3.61E-2</v>
      </c>
      <c r="AC23" s="9">
        <v>3.3399999999999999E-2</v>
      </c>
      <c r="AD23" s="9">
        <v>3.09E-2</v>
      </c>
      <c r="AE23" s="9">
        <v>2.86E-2</v>
      </c>
      <c r="AF23" s="9">
        <v>2.64E-2</v>
      </c>
      <c r="AG23" s="9">
        <v>2.4400000000000002E-2</v>
      </c>
      <c r="AH23" s="9">
        <v>2.2599999999999999E-2</v>
      </c>
      <c r="AI23" s="9">
        <v>2.231E-2</v>
      </c>
      <c r="AJ23" s="9">
        <v>2.23E-2</v>
      </c>
      <c r="AK23" s="9">
        <v>2.231E-2</v>
      </c>
      <c r="AL23" s="9">
        <v>2.23E-2</v>
      </c>
      <c r="AM23" s="9">
        <v>2.231E-2</v>
      </c>
      <c r="AN23" s="9">
        <v>2.23E-2</v>
      </c>
      <c r="AO23" s="9">
        <v>2.231E-2</v>
      </c>
      <c r="AP23" s="9">
        <v>2.23E-2</v>
      </c>
      <c r="AQ23" s="9">
        <v>2.231E-2</v>
      </c>
      <c r="AR23" s="9">
        <v>2.23E-2</v>
      </c>
      <c r="AS23" s="9">
        <v>2.231E-2</v>
      </c>
      <c r="AT23" s="9">
        <v>2.23E-2</v>
      </c>
      <c r="AU23" s="9">
        <v>1.1140000000000001E-2</v>
      </c>
    </row>
    <row r="24" spans="1:54">
      <c r="A24" s="72" t="s">
        <v>6</v>
      </c>
      <c r="B24" s="72"/>
      <c r="AA24" s="9">
        <v>1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/>
      <c r="AR24" s="9"/>
      <c r="AS24" s="9"/>
      <c r="AT24" s="9"/>
      <c r="AU24" s="9"/>
    </row>
    <row r="25" spans="1:54">
      <c r="A25" s="71" t="s">
        <v>159</v>
      </c>
      <c r="B25" s="71"/>
      <c r="AA25" s="9">
        <v>3.7600000000000001E-2</v>
      </c>
      <c r="AB25" s="9">
        <v>7.22E-2</v>
      </c>
      <c r="AC25" s="9">
        <v>6.6799999999999998E-2</v>
      </c>
      <c r="AD25" s="9">
        <v>6.1800000000000001E-2</v>
      </c>
      <c r="AE25" s="9">
        <v>5.7200000000000001E-2</v>
      </c>
      <c r="AF25" s="9">
        <v>5.28E-2</v>
      </c>
      <c r="AG25" s="9">
        <v>4.8800000000000003E-2</v>
      </c>
      <c r="AH25" s="9">
        <v>4.5199999999999997E-2</v>
      </c>
      <c r="AI25" s="9">
        <v>4.462E-2</v>
      </c>
      <c r="AJ25" s="9">
        <v>4.4600000000000001E-2</v>
      </c>
      <c r="AK25" s="9">
        <v>4.462E-2</v>
      </c>
      <c r="AL25" s="9">
        <v>4.4600000000000001E-2</v>
      </c>
      <c r="AM25" s="9">
        <v>4.462E-2</v>
      </c>
      <c r="AN25" s="9">
        <v>4.4600000000000001E-2</v>
      </c>
      <c r="AO25" s="9">
        <v>4.462E-2</v>
      </c>
      <c r="AP25" s="9">
        <v>4.4600000000000001E-2</v>
      </c>
      <c r="AQ25" s="9">
        <v>4.462E-2</v>
      </c>
      <c r="AR25" s="9">
        <v>4.4600000000000001E-2</v>
      </c>
      <c r="AS25" s="9">
        <v>4.462E-2</v>
      </c>
      <c r="AT25" s="9">
        <v>4.4600000000000001E-2</v>
      </c>
      <c r="AU25" s="9">
        <v>2.2280000000000001E-2</v>
      </c>
    </row>
    <row r="27" spans="1:54">
      <c r="A27" s="70" t="s">
        <v>30</v>
      </c>
      <c r="B27" s="70"/>
      <c r="C27" s="2">
        <f t="shared" ref="C27:AX27" si="7">C7</f>
        <v>44227</v>
      </c>
      <c r="D27" s="2">
        <f t="shared" si="7"/>
        <v>44255</v>
      </c>
      <c r="E27" s="2">
        <f t="shared" si="7"/>
        <v>44286</v>
      </c>
      <c r="F27" s="2">
        <f t="shared" si="7"/>
        <v>44316</v>
      </c>
      <c r="G27" s="2">
        <f t="shared" si="7"/>
        <v>44347</v>
      </c>
      <c r="H27" s="2">
        <f t="shared" si="7"/>
        <v>44377</v>
      </c>
      <c r="I27" s="2">
        <f t="shared" si="7"/>
        <v>44408</v>
      </c>
      <c r="J27" s="2">
        <f t="shared" si="7"/>
        <v>44439</v>
      </c>
      <c r="K27" s="2">
        <f t="shared" si="7"/>
        <v>44469</v>
      </c>
      <c r="L27" s="2">
        <f t="shared" si="7"/>
        <v>44500</v>
      </c>
      <c r="M27" s="2">
        <f t="shared" si="7"/>
        <v>44530</v>
      </c>
      <c r="N27" s="2">
        <f t="shared" si="7"/>
        <v>44561</v>
      </c>
      <c r="O27" s="2">
        <f t="shared" si="7"/>
        <v>44592</v>
      </c>
      <c r="P27" s="2">
        <f t="shared" si="7"/>
        <v>44620</v>
      </c>
      <c r="Q27" s="2">
        <f t="shared" si="7"/>
        <v>44651</v>
      </c>
      <c r="R27" s="2">
        <f t="shared" si="7"/>
        <v>44681</v>
      </c>
      <c r="S27" s="2">
        <f t="shared" si="7"/>
        <v>44712</v>
      </c>
      <c r="T27" s="2">
        <f t="shared" si="7"/>
        <v>44742</v>
      </c>
      <c r="U27" s="2">
        <f t="shared" si="7"/>
        <v>44773</v>
      </c>
      <c r="V27" s="2">
        <f t="shared" si="7"/>
        <v>44804</v>
      </c>
      <c r="W27" s="2">
        <f t="shared" si="7"/>
        <v>44834</v>
      </c>
      <c r="X27" s="2">
        <f t="shared" si="7"/>
        <v>44865</v>
      </c>
      <c r="Y27" s="2">
        <f t="shared" si="7"/>
        <v>44895</v>
      </c>
      <c r="Z27" s="2">
        <f t="shared" si="7"/>
        <v>44926</v>
      </c>
      <c r="AA27" s="2">
        <f t="shared" si="7"/>
        <v>44957</v>
      </c>
      <c r="AB27" s="2">
        <f t="shared" si="7"/>
        <v>44985</v>
      </c>
      <c r="AC27" s="2">
        <f t="shared" si="7"/>
        <v>45016</v>
      </c>
      <c r="AD27" s="2">
        <f t="shared" si="7"/>
        <v>45046</v>
      </c>
      <c r="AE27" s="2">
        <f t="shared" si="7"/>
        <v>45077</v>
      </c>
      <c r="AF27" s="2">
        <f t="shared" si="7"/>
        <v>45107</v>
      </c>
      <c r="AG27" s="2">
        <f t="shared" si="7"/>
        <v>45138</v>
      </c>
      <c r="AH27" s="2">
        <f t="shared" si="7"/>
        <v>45169</v>
      </c>
      <c r="AI27" s="2">
        <f t="shared" si="7"/>
        <v>45199</v>
      </c>
      <c r="AJ27" s="2">
        <f t="shared" si="7"/>
        <v>45230</v>
      </c>
      <c r="AK27" s="2">
        <f t="shared" si="7"/>
        <v>45260</v>
      </c>
      <c r="AL27" s="2">
        <f t="shared" si="7"/>
        <v>45291</v>
      </c>
      <c r="AM27" s="2">
        <f t="shared" si="7"/>
        <v>45322</v>
      </c>
      <c r="AN27" s="2">
        <f t="shared" si="7"/>
        <v>45351</v>
      </c>
      <c r="AO27" s="2">
        <f t="shared" si="7"/>
        <v>45382</v>
      </c>
      <c r="AP27" s="2">
        <f t="shared" si="7"/>
        <v>45412</v>
      </c>
      <c r="AQ27" s="2">
        <f t="shared" si="7"/>
        <v>45443</v>
      </c>
      <c r="AR27" s="2">
        <f t="shared" si="7"/>
        <v>45473</v>
      </c>
      <c r="AS27" s="2">
        <f t="shared" si="7"/>
        <v>45504</v>
      </c>
      <c r="AT27" s="2">
        <f t="shared" si="7"/>
        <v>45535</v>
      </c>
      <c r="AU27" s="2">
        <f t="shared" si="7"/>
        <v>45565</v>
      </c>
      <c r="AV27" s="2">
        <f t="shared" si="7"/>
        <v>45596</v>
      </c>
      <c r="AW27" s="2">
        <f t="shared" si="7"/>
        <v>45626</v>
      </c>
      <c r="AX27" s="2">
        <f t="shared" si="7"/>
        <v>45657</v>
      </c>
    </row>
    <row r="28" spans="1:54">
      <c r="A28" s="74" t="s">
        <v>202</v>
      </c>
      <c r="B28" s="7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54">
      <c r="A29" s="73" t="s">
        <v>174</v>
      </c>
      <c r="B29" s="73"/>
      <c r="C29" s="6">
        <f>-$BC$15*$AA$25/12</f>
        <v>65430.682930000032</v>
      </c>
      <c r="D29" s="6">
        <f t="shared" ref="D29:N29" si="8">-$BC$15*$AA$25/12</f>
        <v>65430.682930000032</v>
      </c>
      <c r="E29" s="6">
        <f t="shared" si="8"/>
        <v>65430.682930000032</v>
      </c>
      <c r="F29" s="6">
        <f t="shared" si="8"/>
        <v>65430.682930000032</v>
      </c>
      <c r="G29" s="6">
        <f t="shared" si="8"/>
        <v>65430.682930000032</v>
      </c>
      <c r="H29" s="6">
        <f t="shared" si="8"/>
        <v>65430.682930000032</v>
      </c>
      <c r="I29" s="6">
        <f t="shared" si="8"/>
        <v>65430.682930000032</v>
      </c>
      <c r="J29" s="6">
        <f t="shared" si="8"/>
        <v>65430.682930000032</v>
      </c>
      <c r="K29" s="6">
        <f t="shared" si="8"/>
        <v>65430.682930000032</v>
      </c>
      <c r="L29" s="6">
        <f t="shared" si="8"/>
        <v>65430.682930000032</v>
      </c>
      <c r="M29" s="6">
        <f t="shared" si="8"/>
        <v>65430.682930000032</v>
      </c>
      <c r="N29" s="6">
        <f t="shared" si="8"/>
        <v>65430.682930000032</v>
      </c>
      <c r="O29" s="6">
        <f>-$BC$15*$AB$25/12</f>
        <v>125640.83264750005</v>
      </c>
      <c r="P29" s="6">
        <f t="shared" ref="P29:Z29" si="9">-$BC$15*$AB$25/12</f>
        <v>125640.83264750005</v>
      </c>
      <c r="Q29" s="6">
        <f t="shared" si="9"/>
        <v>125640.83264750005</v>
      </c>
      <c r="R29" s="6">
        <f t="shared" si="9"/>
        <v>125640.83264750005</v>
      </c>
      <c r="S29" s="6">
        <f t="shared" si="9"/>
        <v>125640.83264750005</v>
      </c>
      <c r="T29" s="6">
        <f t="shared" si="9"/>
        <v>125640.83264750005</v>
      </c>
      <c r="U29" s="6">
        <f t="shared" si="9"/>
        <v>125640.83264750005</v>
      </c>
      <c r="V29" s="6">
        <f t="shared" si="9"/>
        <v>125640.83264750005</v>
      </c>
      <c r="W29" s="6">
        <f t="shared" si="9"/>
        <v>125640.83264750005</v>
      </c>
      <c r="X29" s="6">
        <f t="shared" si="9"/>
        <v>125640.83264750005</v>
      </c>
      <c r="Y29" s="6">
        <f t="shared" si="9"/>
        <v>125640.83264750005</v>
      </c>
      <c r="Z29" s="6">
        <f t="shared" si="9"/>
        <v>125640.83264750005</v>
      </c>
      <c r="AA29" s="6">
        <f>-$BC$15*$AC$25/12</f>
        <v>116243.87286500004</v>
      </c>
      <c r="AB29" s="6">
        <f t="shared" ref="AB29:AL29" si="10">-$BC$15*$AC$25/12</f>
        <v>116243.87286500004</v>
      </c>
      <c r="AC29" s="6">
        <f t="shared" si="10"/>
        <v>116243.87286500004</v>
      </c>
      <c r="AD29" s="6">
        <f t="shared" si="10"/>
        <v>116243.87286500004</v>
      </c>
      <c r="AE29" s="6">
        <f t="shared" si="10"/>
        <v>116243.87286500004</v>
      </c>
      <c r="AF29" s="6">
        <f t="shared" si="10"/>
        <v>116243.87286500004</v>
      </c>
      <c r="AG29" s="6">
        <f t="shared" si="10"/>
        <v>116243.87286500004</v>
      </c>
      <c r="AH29" s="6">
        <f t="shared" si="10"/>
        <v>116243.87286500004</v>
      </c>
      <c r="AI29" s="6">
        <f t="shared" si="10"/>
        <v>116243.87286500004</v>
      </c>
      <c r="AJ29" s="6">
        <f t="shared" si="10"/>
        <v>116243.87286500004</v>
      </c>
      <c r="AK29" s="6">
        <f t="shared" si="10"/>
        <v>116243.87286500004</v>
      </c>
      <c r="AL29" s="6">
        <f t="shared" si="10"/>
        <v>116243.87286500004</v>
      </c>
      <c r="AM29" s="6">
        <f>-$BC$15*$AD$25/12</f>
        <v>107542.98417750005</v>
      </c>
      <c r="AN29" s="6">
        <f t="shared" ref="AN29:AX29" si="11">-$BC$15*$AD$25/12</f>
        <v>107542.98417750005</v>
      </c>
      <c r="AO29" s="6">
        <f t="shared" si="11"/>
        <v>107542.98417750005</v>
      </c>
      <c r="AP29" s="6">
        <f t="shared" si="11"/>
        <v>107542.98417750005</v>
      </c>
      <c r="AQ29" s="6">
        <f t="shared" si="11"/>
        <v>107542.98417750005</v>
      </c>
      <c r="AR29" s="6">
        <f t="shared" si="11"/>
        <v>107542.98417750005</v>
      </c>
      <c r="AS29" s="6">
        <f t="shared" si="11"/>
        <v>107542.98417750005</v>
      </c>
      <c r="AT29" s="6">
        <f t="shared" si="11"/>
        <v>107542.98417750005</v>
      </c>
      <c r="AU29" s="6">
        <f t="shared" si="11"/>
        <v>107542.98417750005</v>
      </c>
      <c r="AV29" s="6">
        <f t="shared" si="11"/>
        <v>107542.98417750005</v>
      </c>
      <c r="AW29" s="6">
        <f t="shared" si="11"/>
        <v>107542.98417750005</v>
      </c>
      <c r="AX29" s="6">
        <f t="shared" si="11"/>
        <v>107542.98417750005</v>
      </c>
    </row>
    <row r="30" spans="1:54">
      <c r="A30" s="74" t="s">
        <v>167</v>
      </c>
      <c r="B30" s="74"/>
      <c r="J30" s="6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</row>
    <row r="31" spans="1:54">
      <c r="A31" s="75" t="s">
        <v>140</v>
      </c>
      <c r="B31" s="75"/>
      <c r="C31" s="10">
        <f t="shared" ref="C31:Z31" si="12">SUM(C28:C30)</f>
        <v>65430.682930000032</v>
      </c>
      <c r="D31" s="10">
        <f t="shared" si="12"/>
        <v>65430.682930000032</v>
      </c>
      <c r="E31" s="10">
        <f t="shared" si="12"/>
        <v>65430.682930000032</v>
      </c>
      <c r="F31" s="10">
        <f t="shared" si="12"/>
        <v>65430.682930000032</v>
      </c>
      <c r="G31" s="10">
        <f t="shared" si="12"/>
        <v>65430.682930000032</v>
      </c>
      <c r="H31" s="10">
        <f t="shared" si="12"/>
        <v>65430.682930000032</v>
      </c>
      <c r="I31" s="10">
        <f t="shared" si="12"/>
        <v>65430.682930000032</v>
      </c>
      <c r="J31" s="10">
        <f t="shared" si="12"/>
        <v>65430.682930000032</v>
      </c>
      <c r="K31" s="10">
        <f t="shared" si="12"/>
        <v>65430.682930000032</v>
      </c>
      <c r="L31" s="10">
        <f t="shared" si="12"/>
        <v>65430.682930000032</v>
      </c>
      <c r="M31" s="10">
        <f t="shared" si="12"/>
        <v>65430.682930000032</v>
      </c>
      <c r="N31" s="10">
        <f t="shared" si="12"/>
        <v>65430.682930000032</v>
      </c>
      <c r="O31" s="10">
        <f t="shared" si="12"/>
        <v>125640.83264750005</v>
      </c>
      <c r="P31" s="10">
        <f t="shared" si="12"/>
        <v>125640.83264750005</v>
      </c>
      <c r="Q31" s="10">
        <f t="shared" si="12"/>
        <v>125640.83264750005</v>
      </c>
      <c r="R31" s="10">
        <f t="shared" si="12"/>
        <v>125640.83264750005</v>
      </c>
      <c r="S31" s="10">
        <f t="shared" si="12"/>
        <v>125640.83264750005</v>
      </c>
      <c r="T31" s="10">
        <f t="shared" si="12"/>
        <v>125640.83264750005</v>
      </c>
      <c r="U31" s="10">
        <f t="shared" si="12"/>
        <v>125640.83264750005</v>
      </c>
      <c r="V31" s="10">
        <f t="shared" si="12"/>
        <v>125640.83264750005</v>
      </c>
      <c r="W31" s="10">
        <f t="shared" si="12"/>
        <v>125640.83264750005</v>
      </c>
      <c r="X31" s="10">
        <f t="shared" si="12"/>
        <v>125640.83264750005</v>
      </c>
      <c r="Y31" s="10">
        <f t="shared" si="12"/>
        <v>125640.83264750005</v>
      </c>
      <c r="Z31" s="10">
        <f t="shared" si="12"/>
        <v>125640.83264750005</v>
      </c>
      <c r="AA31" s="10">
        <f t="shared" ref="AA31:AX31" si="13">SUM(AA28:AA30)</f>
        <v>116243.87286500004</v>
      </c>
      <c r="AB31" s="10">
        <f t="shared" si="13"/>
        <v>116243.87286500004</v>
      </c>
      <c r="AC31" s="10">
        <f t="shared" si="13"/>
        <v>116243.87286500004</v>
      </c>
      <c r="AD31" s="10">
        <f t="shared" si="13"/>
        <v>116243.87286500004</v>
      </c>
      <c r="AE31" s="10">
        <f t="shared" si="13"/>
        <v>116243.87286500004</v>
      </c>
      <c r="AF31" s="10">
        <f t="shared" si="13"/>
        <v>116243.87286500004</v>
      </c>
      <c r="AG31" s="10">
        <f t="shared" si="13"/>
        <v>116243.87286500004</v>
      </c>
      <c r="AH31" s="10">
        <f t="shared" si="13"/>
        <v>116243.87286500004</v>
      </c>
      <c r="AI31" s="10">
        <f t="shared" si="13"/>
        <v>116243.87286500004</v>
      </c>
      <c r="AJ31" s="10">
        <f t="shared" si="13"/>
        <v>116243.87286500004</v>
      </c>
      <c r="AK31" s="10">
        <f t="shared" si="13"/>
        <v>116243.87286500004</v>
      </c>
      <c r="AL31" s="10">
        <f t="shared" si="13"/>
        <v>116243.87286500004</v>
      </c>
      <c r="AM31" s="10">
        <f t="shared" si="13"/>
        <v>107542.98417750005</v>
      </c>
      <c r="AN31" s="10">
        <f t="shared" si="13"/>
        <v>107542.98417750005</v>
      </c>
      <c r="AO31" s="10">
        <f t="shared" si="13"/>
        <v>107542.98417750005</v>
      </c>
      <c r="AP31" s="10">
        <f t="shared" si="13"/>
        <v>107542.98417750005</v>
      </c>
      <c r="AQ31" s="10">
        <f t="shared" si="13"/>
        <v>107542.98417750005</v>
      </c>
      <c r="AR31" s="10">
        <f t="shared" si="13"/>
        <v>107542.98417750005</v>
      </c>
      <c r="AS31" s="10">
        <f t="shared" si="13"/>
        <v>107542.98417750005</v>
      </c>
      <c r="AT31" s="10">
        <f t="shared" si="13"/>
        <v>107542.98417750005</v>
      </c>
      <c r="AU31" s="10">
        <f t="shared" si="13"/>
        <v>107542.98417750005</v>
      </c>
      <c r="AV31" s="10">
        <f t="shared" si="13"/>
        <v>107542.98417750005</v>
      </c>
      <c r="AW31" s="10">
        <f t="shared" si="13"/>
        <v>107542.98417750005</v>
      </c>
      <c r="AX31" s="10">
        <f t="shared" si="13"/>
        <v>107542.98417750005</v>
      </c>
    </row>
    <row r="32" spans="1:54">
      <c r="A32" s="76" t="s">
        <v>35</v>
      </c>
      <c r="B32" s="76"/>
      <c r="C32" s="77">
        <f>'Exhibit 1.1 Mains'!D15</f>
        <v>0</v>
      </c>
      <c r="D32" s="77">
        <f>'Exhibit 1.1 Mains'!E15</f>
        <v>0</v>
      </c>
      <c r="E32" s="77">
        <f>'Exhibit 1.1 Mains'!F15</f>
        <v>0</v>
      </c>
      <c r="F32" s="77">
        <f>'Exhibit 1.1 Mains'!G15</f>
        <v>0</v>
      </c>
      <c r="G32" s="77">
        <f>'Exhibit 1.1 Mains'!H15</f>
        <v>0</v>
      </c>
      <c r="H32" s="77">
        <f>'Exhibit 1.1 Mains'!I15</f>
        <v>0</v>
      </c>
      <c r="I32" s="77">
        <f>'Exhibit 1.1 Mains'!J15</f>
        <v>0</v>
      </c>
      <c r="J32" s="77">
        <f>'Exhibit 1.1 Mains'!K15</f>
        <v>0</v>
      </c>
      <c r="K32" s="77">
        <f>'Exhibit 1.1 Mains'!L15</f>
        <v>0</v>
      </c>
      <c r="L32" s="77">
        <f>'Exhibit 1.1 Mains'!M15</f>
        <v>0</v>
      </c>
      <c r="M32" s="77">
        <f>'Exhibit 1.1 Mains'!N15</f>
        <v>33585.430333750017</v>
      </c>
      <c r="N32" s="77">
        <f>'Exhibit 1.1 Mains'!O15</f>
        <v>33585.430333750017</v>
      </c>
      <c r="O32" s="77">
        <f>'Exhibit 1.1 Mains'!P15</f>
        <v>33585.430333750017</v>
      </c>
      <c r="P32" s="77">
        <f>'Exhibit 1.1 Mains'!Q15</f>
        <v>33585.430333750017</v>
      </c>
      <c r="Q32" s="77">
        <f>'Exhibit 1.1 Mains'!R15</f>
        <v>33585.430333750017</v>
      </c>
      <c r="R32" s="77">
        <f>'Exhibit 1.1 Mains'!S15</f>
        <v>33585.430333750017</v>
      </c>
      <c r="S32" s="77">
        <f>'Exhibit 1.1 Mains'!T15</f>
        <v>33585.430333750017</v>
      </c>
      <c r="T32" s="77">
        <f>'Exhibit 1.1 Mains'!U15</f>
        <v>33585.430333750017</v>
      </c>
      <c r="U32" s="77">
        <f>'Exhibit 1.1 Mains'!V15</f>
        <v>33585.430333750017</v>
      </c>
      <c r="V32" s="77">
        <f>'Exhibit 1.1 Mains'!W15</f>
        <v>33585.430333750017</v>
      </c>
      <c r="W32" s="77">
        <f>'Exhibit 1.1 Mains'!X15</f>
        <v>33585.430333750017</v>
      </c>
      <c r="X32" s="77">
        <f>'Exhibit 1.1 Mains'!Y15</f>
        <v>33585.430333750017</v>
      </c>
      <c r="Y32" s="77">
        <f>'Exhibit 1.1 Mains'!Z15</f>
        <v>33585.430333750017</v>
      </c>
      <c r="Z32" s="77">
        <f>'Exhibit 1.1 Mains'!AA15</f>
        <v>33585.430333750017</v>
      </c>
      <c r="AA32" s="77">
        <f>'Exhibit 1.1 Mains'!AB15</f>
        <v>33585.430333750017</v>
      </c>
      <c r="AB32" s="77">
        <f>'Exhibit 1.1 Mains'!AC15</f>
        <v>33585.430333750017</v>
      </c>
      <c r="AC32" s="77">
        <f>'Exhibit 1.1 Mains'!AD15</f>
        <v>33585.430333750017</v>
      </c>
      <c r="AD32" s="77">
        <f>'Exhibit 1.1 Mains'!AE15</f>
        <v>33585.430333750017</v>
      </c>
      <c r="AE32" s="77">
        <f>'Exhibit 1.1 Mains'!AF15</f>
        <v>33585.430333750017</v>
      </c>
      <c r="AF32" s="77">
        <f>'Exhibit 1.1 Mains'!AG15</f>
        <v>33585.430333750017</v>
      </c>
      <c r="AG32" s="77">
        <f>'Exhibit 1.1 Mains'!AH15</f>
        <v>33585.430333750017</v>
      </c>
      <c r="AH32" s="77">
        <f>'Exhibit 1.1 Mains'!AI15</f>
        <v>33585.430333750017</v>
      </c>
      <c r="AI32" s="77">
        <f>'Exhibit 1.1 Mains'!AJ15</f>
        <v>33585.430333750017</v>
      </c>
      <c r="AJ32" s="77">
        <f>'Exhibit 1.1 Mains'!AK15</f>
        <v>33585.430333750017</v>
      </c>
      <c r="AK32" s="77">
        <f>'Exhibit 1.1 Mains'!AL15</f>
        <v>33585.430333750017</v>
      </c>
      <c r="AL32" s="77">
        <f>'Exhibit 1.1 Mains'!AM15</f>
        <v>33585.430333750017</v>
      </c>
      <c r="AM32" s="77">
        <f>'Exhibit 1.1 Mains'!AN15</f>
        <v>33585.430333750017</v>
      </c>
      <c r="AN32" s="77">
        <f>'Exhibit 1.1 Mains'!AO15</f>
        <v>33585.430333750017</v>
      </c>
      <c r="AO32" s="77">
        <f>'Exhibit 1.1 Mains'!AP15</f>
        <v>33585.430333750017</v>
      </c>
      <c r="AP32" s="77">
        <f>'Exhibit 1.1 Mains'!AQ15</f>
        <v>33585.430333750017</v>
      </c>
      <c r="AQ32" s="77">
        <f>'Exhibit 1.1 Mains'!AR15</f>
        <v>33585.430333750017</v>
      </c>
      <c r="AR32" s="77">
        <f>'Exhibit 1.1 Mains'!AS15</f>
        <v>33585.430333750017</v>
      </c>
      <c r="AS32" s="77">
        <f>'Exhibit 1.1 Mains'!AT15</f>
        <v>33585.430333750017</v>
      </c>
      <c r="AT32" s="77">
        <f>'Exhibit 1.1 Mains'!AU15</f>
        <v>33585.430333750017</v>
      </c>
      <c r="AU32" s="77">
        <f>'Exhibit 1.1 Mains'!AV15</f>
        <v>33585.430333750017</v>
      </c>
      <c r="AV32" s="77">
        <f>'Exhibit 1.1 Mains'!AW15</f>
        <v>33585.430333750017</v>
      </c>
      <c r="AW32" s="77">
        <f>'Exhibit 1.1 Mains'!AX15</f>
        <v>33585.430333750017</v>
      </c>
      <c r="AX32" s="77">
        <f>'Exhibit 1.1 Mains'!AY15</f>
        <v>33585.430333750017</v>
      </c>
    </row>
    <row r="33" spans="1:52">
      <c r="A33" s="4" t="s">
        <v>154</v>
      </c>
      <c r="C33" s="6">
        <f t="shared" ref="C33:Z33" si="14">C31-C32</f>
        <v>65430.682930000032</v>
      </c>
      <c r="D33" s="6">
        <f t="shared" si="14"/>
        <v>65430.682930000032</v>
      </c>
      <c r="E33" s="6">
        <f t="shared" si="14"/>
        <v>65430.682930000032</v>
      </c>
      <c r="F33" s="6">
        <f t="shared" si="14"/>
        <v>65430.682930000032</v>
      </c>
      <c r="G33" s="6">
        <f t="shared" si="14"/>
        <v>65430.682930000032</v>
      </c>
      <c r="H33" s="6">
        <f t="shared" si="14"/>
        <v>65430.682930000032</v>
      </c>
      <c r="I33" s="6">
        <f t="shared" si="14"/>
        <v>65430.682930000032</v>
      </c>
      <c r="J33" s="6">
        <f t="shared" si="14"/>
        <v>65430.682930000032</v>
      </c>
      <c r="K33" s="6">
        <f t="shared" si="14"/>
        <v>65430.682930000032</v>
      </c>
      <c r="L33" s="6">
        <f t="shared" si="14"/>
        <v>65430.682930000032</v>
      </c>
      <c r="M33" s="6">
        <f t="shared" si="14"/>
        <v>31845.252596250015</v>
      </c>
      <c r="N33" s="6">
        <f t="shared" si="14"/>
        <v>31845.252596250015</v>
      </c>
      <c r="O33" s="6">
        <f t="shared" si="14"/>
        <v>92055.402313750033</v>
      </c>
      <c r="P33" s="6">
        <f t="shared" si="14"/>
        <v>92055.402313750033</v>
      </c>
      <c r="Q33" s="6">
        <f t="shared" si="14"/>
        <v>92055.402313750033</v>
      </c>
      <c r="R33" s="6">
        <f t="shared" si="14"/>
        <v>92055.402313750033</v>
      </c>
      <c r="S33" s="6">
        <f t="shared" si="14"/>
        <v>92055.402313750033</v>
      </c>
      <c r="T33" s="6">
        <f t="shared" si="14"/>
        <v>92055.402313750033</v>
      </c>
      <c r="U33" s="6">
        <f t="shared" si="14"/>
        <v>92055.402313750033</v>
      </c>
      <c r="V33" s="6">
        <f t="shared" si="14"/>
        <v>92055.402313750033</v>
      </c>
      <c r="W33" s="6">
        <f t="shared" si="14"/>
        <v>92055.402313750033</v>
      </c>
      <c r="X33" s="6">
        <f t="shared" si="14"/>
        <v>92055.402313750033</v>
      </c>
      <c r="Y33" s="6">
        <f t="shared" si="14"/>
        <v>92055.402313750033</v>
      </c>
      <c r="Z33" s="6">
        <f t="shared" si="14"/>
        <v>92055.402313750033</v>
      </c>
      <c r="AA33" s="6">
        <f t="shared" ref="AA33:AX33" si="15">AA31-AA32</f>
        <v>82658.442531250024</v>
      </c>
      <c r="AB33" s="6">
        <f t="shared" si="15"/>
        <v>82658.442531250024</v>
      </c>
      <c r="AC33" s="6">
        <f t="shared" si="15"/>
        <v>82658.442531250024</v>
      </c>
      <c r="AD33" s="6">
        <f t="shared" si="15"/>
        <v>82658.442531250024</v>
      </c>
      <c r="AE33" s="6">
        <f t="shared" si="15"/>
        <v>82658.442531250024</v>
      </c>
      <c r="AF33" s="6">
        <f t="shared" si="15"/>
        <v>82658.442531250024</v>
      </c>
      <c r="AG33" s="6">
        <f t="shared" si="15"/>
        <v>82658.442531250024</v>
      </c>
      <c r="AH33" s="6">
        <f t="shared" si="15"/>
        <v>82658.442531250024</v>
      </c>
      <c r="AI33" s="6">
        <f t="shared" si="15"/>
        <v>82658.442531250024</v>
      </c>
      <c r="AJ33" s="6">
        <f t="shared" si="15"/>
        <v>82658.442531250024</v>
      </c>
      <c r="AK33" s="6">
        <f t="shared" si="15"/>
        <v>82658.442531250024</v>
      </c>
      <c r="AL33" s="6">
        <f t="shared" si="15"/>
        <v>82658.442531250024</v>
      </c>
      <c r="AM33" s="6">
        <f t="shared" si="15"/>
        <v>73957.553843750036</v>
      </c>
      <c r="AN33" s="6">
        <f t="shared" si="15"/>
        <v>73957.553843750036</v>
      </c>
      <c r="AO33" s="6">
        <f t="shared" si="15"/>
        <v>73957.553843750036</v>
      </c>
      <c r="AP33" s="6">
        <f t="shared" si="15"/>
        <v>73957.553843750036</v>
      </c>
      <c r="AQ33" s="6">
        <f t="shared" si="15"/>
        <v>73957.553843750036</v>
      </c>
      <c r="AR33" s="6">
        <f t="shared" si="15"/>
        <v>73957.553843750036</v>
      </c>
      <c r="AS33" s="6">
        <f t="shared" si="15"/>
        <v>73957.553843750036</v>
      </c>
      <c r="AT33" s="6">
        <f t="shared" si="15"/>
        <v>73957.553843750036</v>
      </c>
      <c r="AU33" s="6">
        <f t="shared" si="15"/>
        <v>73957.553843750036</v>
      </c>
      <c r="AV33" s="6">
        <f t="shared" si="15"/>
        <v>73957.553843750036</v>
      </c>
      <c r="AW33" s="6">
        <f t="shared" si="15"/>
        <v>73957.553843750036</v>
      </c>
      <c r="AX33" s="6">
        <f t="shared" si="15"/>
        <v>73957.553843750036</v>
      </c>
    </row>
    <row r="34" spans="1:52">
      <c r="A34" s="4" t="s">
        <v>155</v>
      </c>
      <c r="C34" s="6">
        <v>0.2472</v>
      </c>
      <c r="D34" s="6">
        <v>0.2472</v>
      </c>
      <c r="E34" s="6">
        <v>0.2472</v>
      </c>
      <c r="F34" s="6">
        <v>0.2472</v>
      </c>
      <c r="G34" s="6">
        <v>0.2472</v>
      </c>
      <c r="H34" s="6">
        <v>0.2472</v>
      </c>
      <c r="I34" s="6">
        <v>0.2472</v>
      </c>
      <c r="J34" s="6">
        <v>0.2472</v>
      </c>
      <c r="K34" s="6">
        <v>0.2472</v>
      </c>
      <c r="L34" s="6">
        <v>0.2472</v>
      </c>
      <c r="M34" s="6">
        <v>0.2472</v>
      </c>
      <c r="N34" s="6">
        <v>0.2472</v>
      </c>
      <c r="O34" s="6">
        <v>0.2472</v>
      </c>
      <c r="P34" s="6">
        <v>0.2472</v>
      </c>
      <c r="Q34" s="6">
        <v>0.2472</v>
      </c>
      <c r="R34" s="6">
        <v>0.2472</v>
      </c>
      <c r="S34" s="6">
        <v>0.2472</v>
      </c>
      <c r="T34" s="6">
        <v>0.2472</v>
      </c>
      <c r="U34" s="6">
        <v>0.2472</v>
      </c>
      <c r="V34" s="6">
        <v>0.2472</v>
      </c>
      <c r="W34" s="6">
        <v>0.2472</v>
      </c>
      <c r="X34" s="6">
        <v>0.2472</v>
      </c>
      <c r="Y34" s="6">
        <v>0.2472</v>
      </c>
      <c r="Z34" s="6">
        <v>0.2472</v>
      </c>
      <c r="AA34" s="6">
        <v>0.2472</v>
      </c>
      <c r="AB34" s="6">
        <v>0.2472</v>
      </c>
      <c r="AC34" s="6">
        <v>0.2472</v>
      </c>
      <c r="AD34" s="6">
        <v>0.2472</v>
      </c>
      <c r="AE34" s="6">
        <v>0.2472</v>
      </c>
      <c r="AF34" s="6">
        <v>0.2472</v>
      </c>
      <c r="AG34" s="6">
        <v>0.2472</v>
      </c>
      <c r="AH34" s="6">
        <v>0.2472</v>
      </c>
      <c r="AI34" s="6">
        <v>0.2472</v>
      </c>
      <c r="AJ34" s="6">
        <v>0.2472</v>
      </c>
      <c r="AK34" s="6">
        <v>0.2472</v>
      </c>
      <c r="AL34" s="6">
        <v>0.2472</v>
      </c>
      <c r="AM34" s="6">
        <v>0.2472</v>
      </c>
      <c r="AN34" s="6">
        <v>0.2472</v>
      </c>
      <c r="AO34" s="6">
        <v>0.2472</v>
      </c>
      <c r="AP34" s="6">
        <v>0.2472</v>
      </c>
      <c r="AQ34" s="6">
        <v>0.2472</v>
      </c>
      <c r="AR34" s="6">
        <v>0.2472</v>
      </c>
      <c r="AS34" s="6">
        <v>0.2472</v>
      </c>
      <c r="AT34" s="6">
        <v>0.2472</v>
      </c>
      <c r="AU34" s="6">
        <v>0.2472</v>
      </c>
      <c r="AV34" s="6">
        <v>0.2472</v>
      </c>
      <c r="AW34" s="6">
        <v>0.2472</v>
      </c>
      <c r="AX34" s="6">
        <v>0.2472</v>
      </c>
    </row>
    <row r="35" spans="1:52">
      <c r="A35" s="71" t="s">
        <v>175</v>
      </c>
      <c r="B35" s="71"/>
      <c r="C35" s="6">
        <f t="shared" ref="C35:Z35" si="16">C33*C34</f>
        <v>16174.464820296009</v>
      </c>
      <c r="D35" s="6">
        <f t="shared" si="16"/>
        <v>16174.464820296009</v>
      </c>
      <c r="E35" s="6">
        <f t="shared" si="16"/>
        <v>16174.464820296009</v>
      </c>
      <c r="F35" s="6">
        <f t="shared" si="16"/>
        <v>16174.464820296009</v>
      </c>
      <c r="G35" s="6">
        <f t="shared" si="16"/>
        <v>16174.464820296009</v>
      </c>
      <c r="H35" s="6">
        <f t="shared" si="16"/>
        <v>16174.464820296009</v>
      </c>
      <c r="I35" s="6">
        <f t="shared" si="16"/>
        <v>16174.464820296009</v>
      </c>
      <c r="J35" s="6">
        <f t="shared" si="16"/>
        <v>16174.464820296009</v>
      </c>
      <c r="K35" s="6">
        <f t="shared" si="16"/>
        <v>16174.464820296009</v>
      </c>
      <c r="L35" s="6">
        <f t="shared" si="16"/>
        <v>16174.464820296009</v>
      </c>
      <c r="M35" s="6">
        <f t="shared" si="16"/>
        <v>7872.1464417930038</v>
      </c>
      <c r="N35" s="6">
        <f t="shared" si="16"/>
        <v>7872.1464417930038</v>
      </c>
      <c r="O35" s="6">
        <f t="shared" si="16"/>
        <v>22756.095451959009</v>
      </c>
      <c r="P35" s="6">
        <f t="shared" si="16"/>
        <v>22756.095451959009</v>
      </c>
      <c r="Q35" s="6">
        <f t="shared" si="16"/>
        <v>22756.095451959009</v>
      </c>
      <c r="R35" s="6">
        <f t="shared" si="16"/>
        <v>22756.095451959009</v>
      </c>
      <c r="S35" s="6">
        <f t="shared" si="16"/>
        <v>22756.095451959009</v>
      </c>
      <c r="T35" s="6">
        <f t="shared" si="16"/>
        <v>22756.095451959009</v>
      </c>
      <c r="U35" s="6">
        <f t="shared" si="16"/>
        <v>22756.095451959009</v>
      </c>
      <c r="V35" s="6">
        <f t="shared" si="16"/>
        <v>22756.095451959009</v>
      </c>
      <c r="W35" s="6">
        <f t="shared" si="16"/>
        <v>22756.095451959009</v>
      </c>
      <c r="X35" s="6">
        <f t="shared" si="16"/>
        <v>22756.095451959009</v>
      </c>
      <c r="Y35" s="6">
        <f t="shared" si="16"/>
        <v>22756.095451959009</v>
      </c>
      <c r="Z35" s="6">
        <f t="shared" si="16"/>
        <v>22756.095451959009</v>
      </c>
      <c r="AA35" s="6">
        <f t="shared" ref="AA35:AX35" si="17">AA33*AA34</f>
        <v>20433.166993725008</v>
      </c>
      <c r="AB35" s="6">
        <f t="shared" si="17"/>
        <v>20433.166993725008</v>
      </c>
      <c r="AC35" s="6">
        <f t="shared" si="17"/>
        <v>20433.166993725008</v>
      </c>
      <c r="AD35" s="6">
        <f t="shared" si="17"/>
        <v>20433.166993725008</v>
      </c>
      <c r="AE35" s="6">
        <f t="shared" si="17"/>
        <v>20433.166993725008</v>
      </c>
      <c r="AF35" s="6">
        <f t="shared" si="17"/>
        <v>20433.166993725008</v>
      </c>
      <c r="AG35" s="6">
        <f t="shared" si="17"/>
        <v>20433.166993725008</v>
      </c>
      <c r="AH35" s="6">
        <f t="shared" si="17"/>
        <v>20433.166993725008</v>
      </c>
      <c r="AI35" s="6">
        <f t="shared" si="17"/>
        <v>20433.166993725008</v>
      </c>
      <c r="AJ35" s="6">
        <f t="shared" si="17"/>
        <v>20433.166993725008</v>
      </c>
      <c r="AK35" s="6">
        <f t="shared" si="17"/>
        <v>20433.166993725008</v>
      </c>
      <c r="AL35" s="6">
        <f t="shared" si="17"/>
        <v>20433.166993725008</v>
      </c>
      <c r="AM35" s="6">
        <f t="shared" si="17"/>
        <v>18282.307310175009</v>
      </c>
      <c r="AN35" s="6">
        <f t="shared" si="17"/>
        <v>18282.307310175009</v>
      </c>
      <c r="AO35" s="6">
        <f t="shared" si="17"/>
        <v>18282.307310175009</v>
      </c>
      <c r="AP35" s="6">
        <f t="shared" si="17"/>
        <v>18282.307310175009</v>
      </c>
      <c r="AQ35" s="6">
        <f t="shared" si="17"/>
        <v>18282.307310175009</v>
      </c>
      <c r="AR35" s="6">
        <f t="shared" si="17"/>
        <v>18282.307310175009</v>
      </c>
      <c r="AS35" s="6">
        <f t="shared" si="17"/>
        <v>18282.307310175009</v>
      </c>
      <c r="AT35" s="6">
        <f t="shared" si="17"/>
        <v>18282.307310175009</v>
      </c>
      <c r="AU35" s="6">
        <f t="shared" si="17"/>
        <v>18282.307310175009</v>
      </c>
      <c r="AV35" s="6">
        <f t="shared" si="17"/>
        <v>18282.307310175009</v>
      </c>
      <c r="AW35" s="6">
        <f t="shared" si="17"/>
        <v>18282.307310175009</v>
      </c>
      <c r="AX35" s="6">
        <f t="shared" si="17"/>
        <v>18282.307310175009</v>
      </c>
    </row>
    <row r="36" spans="1:52">
      <c r="K36" s="65"/>
      <c r="L36" s="8"/>
      <c r="M36" s="8"/>
      <c r="O36" s="65" t="s">
        <v>198</v>
      </c>
      <c r="P36" s="8">
        <f t="shared" ref="P36:AA36" si="18">DAY(O27)</f>
        <v>31</v>
      </c>
      <c r="Q36" s="8">
        <f t="shared" si="18"/>
        <v>28</v>
      </c>
      <c r="R36" s="8">
        <f t="shared" si="18"/>
        <v>31</v>
      </c>
      <c r="S36" s="8">
        <f t="shared" si="18"/>
        <v>30</v>
      </c>
      <c r="T36" s="8">
        <f t="shared" si="18"/>
        <v>31</v>
      </c>
      <c r="U36" s="8">
        <f t="shared" si="18"/>
        <v>30</v>
      </c>
      <c r="V36" s="8">
        <f t="shared" si="18"/>
        <v>31</v>
      </c>
      <c r="W36" s="8">
        <f t="shared" si="18"/>
        <v>31</v>
      </c>
      <c r="X36" s="8">
        <f t="shared" si="18"/>
        <v>30</v>
      </c>
      <c r="Y36" s="8">
        <f t="shared" si="18"/>
        <v>31</v>
      </c>
      <c r="Z36" s="8">
        <f t="shared" si="18"/>
        <v>30</v>
      </c>
      <c r="AA36" s="8">
        <f t="shared" si="18"/>
        <v>31</v>
      </c>
      <c r="AB36" s="8"/>
      <c r="AC36" s="8"/>
      <c r="AD36" s="8"/>
      <c r="AE36" s="8"/>
      <c r="AF36" s="8"/>
      <c r="AG36" s="8"/>
      <c r="AH36" s="8"/>
      <c r="AI36" s="8"/>
      <c r="AJ36" s="8"/>
      <c r="AK36" s="8"/>
      <c r="AY36" s="8"/>
      <c r="AZ36" s="8"/>
    </row>
    <row r="37" spans="1:52">
      <c r="M37" s="81"/>
      <c r="O37" s="81" t="s">
        <v>199</v>
      </c>
      <c r="P37" s="82">
        <f>(SUM($P$36:$AA$36)-SUM($P$36:P36))/SUM($P$36:$AA$36)</f>
        <v>0.91506849315068495</v>
      </c>
      <c r="Q37" s="82">
        <f>(SUM($P$36:$AA$36)-SUM($P$36:Q36))/SUM($P$36:$AA$36)</f>
        <v>0.83835616438356164</v>
      </c>
      <c r="R37" s="82">
        <f>(SUM($P$36:$AA$36)-SUM($P$36:R36))/SUM($P$36:$AA$36)</f>
        <v>0.75342465753424659</v>
      </c>
      <c r="S37" s="82">
        <f>(SUM($P$36:$AA$36)-SUM($P$36:S36))/SUM($P$36:$AA$36)</f>
        <v>0.67123287671232879</v>
      </c>
      <c r="T37" s="82">
        <f>(SUM($P$36:$AA$36)-SUM($P$36:T36))/SUM($P$36:$AA$36)</f>
        <v>0.58630136986301373</v>
      </c>
      <c r="U37" s="82">
        <f>(SUM($P$36:$AA$36)-SUM($P$36:U36))/SUM($P$36:$AA$36)</f>
        <v>0.50410958904109593</v>
      </c>
      <c r="V37" s="82">
        <f>(SUM($P$36:$AA$36)-SUM($P$36:V36))/SUM($P$36:$AA$36)</f>
        <v>0.41917808219178082</v>
      </c>
      <c r="W37" s="82">
        <f>(SUM($P$36:$AA$36)-SUM($P$36:W36))/SUM($P$36:$AA$36)</f>
        <v>0.33424657534246577</v>
      </c>
      <c r="X37" s="82">
        <f>(SUM($P$36:$AA$36)-SUM($P$36:X36))/SUM($P$36:$AA$36)</f>
        <v>0.25205479452054796</v>
      </c>
      <c r="Y37" s="82">
        <f>(SUM($P$36:$AA$36)-SUM($P$36:Y36))/SUM($P$36:$AA$36)</f>
        <v>0.16712328767123288</v>
      </c>
      <c r="Z37" s="82">
        <f>(SUM($P$36:$AA$36)-SUM($P$36:Z36))/SUM($P$36:$AA$36)</f>
        <v>8.4931506849315067E-2</v>
      </c>
      <c r="AA37" s="82">
        <f>(SUM($P$36:$AA$36)-SUM($P$36:AA36))/SUM($P$36:$AA$36)</f>
        <v>0</v>
      </c>
      <c r="AB37" s="82"/>
      <c r="AC37" s="82"/>
      <c r="AD37" s="82"/>
      <c r="AE37" s="82"/>
      <c r="AF37" s="82"/>
      <c r="AG37" s="82"/>
      <c r="AH37" s="82"/>
      <c r="AI37" s="82"/>
      <c r="AJ37" s="82"/>
      <c r="AK37" s="82"/>
    </row>
    <row r="38" spans="1:52">
      <c r="A38" s="71" t="s">
        <v>176</v>
      </c>
      <c r="B38" s="71"/>
      <c r="L38" s="6"/>
      <c r="M38" s="6"/>
      <c r="O38" s="223"/>
      <c r="P38" s="6">
        <f>P35*P37</f>
        <v>20823.385975217287</v>
      </c>
      <c r="Q38" s="6">
        <f t="shared" ref="Q38:AA38" si="19">Q35*Q37</f>
        <v>19077.712899450566</v>
      </c>
      <c r="R38" s="6">
        <f t="shared" si="19"/>
        <v>17145.003422708844</v>
      </c>
      <c r="S38" s="6">
        <f t="shared" si="19"/>
        <v>15274.639412958788</v>
      </c>
      <c r="T38" s="6">
        <f t="shared" si="19"/>
        <v>13341.929936217064</v>
      </c>
      <c r="U38" s="6">
        <f t="shared" si="19"/>
        <v>11471.565926467008</v>
      </c>
      <c r="V38" s="6">
        <f t="shared" si="19"/>
        <v>9538.8564497252828</v>
      </c>
      <c r="W38" s="6">
        <f t="shared" si="19"/>
        <v>7606.146972983559</v>
      </c>
      <c r="X38" s="6">
        <f t="shared" si="19"/>
        <v>5735.7829632335042</v>
      </c>
      <c r="Y38" s="6">
        <f t="shared" si="19"/>
        <v>3803.0734864917795</v>
      </c>
      <c r="Z38" s="6">
        <f t="shared" si="19"/>
        <v>1932.7094767417241</v>
      </c>
      <c r="AA38" s="6">
        <f t="shared" si="19"/>
        <v>0</v>
      </c>
      <c r="AB38" s="6">
        <f t="shared" ref="AB38:AK38" si="20">AB35*AB37</f>
        <v>0</v>
      </c>
      <c r="AC38" s="6">
        <f t="shared" si="20"/>
        <v>0</v>
      </c>
      <c r="AD38" s="6">
        <f t="shared" si="20"/>
        <v>0</v>
      </c>
      <c r="AE38" s="6">
        <f t="shared" si="20"/>
        <v>0</v>
      </c>
      <c r="AF38" s="6">
        <f t="shared" si="20"/>
        <v>0</v>
      </c>
      <c r="AG38" s="6">
        <f t="shared" si="20"/>
        <v>0</v>
      </c>
      <c r="AH38" s="6">
        <f t="shared" si="20"/>
        <v>0</v>
      </c>
      <c r="AI38" s="6">
        <f t="shared" si="20"/>
        <v>0</v>
      </c>
      <c r="AJ38" s="6">
        <f t="shared" si="20"/>
        <v>0</v>
      </c>
      <c r="AK38" s="6">
        <f t="shared" si="20"/>
        <v>0</v>
      </c>
      <c r="AL38" s="6"/>
      <c r="AM38" s="6">
        <f t="shared" ref="AM38:AX38" si="21">AM35*P37</f>
        <v>16729.563401639596</v>
      </c>
      <c r="AN38" s="6">
        <f t="shared" si="21"/>
        <v>15327.08503263987</v>
      </c>
      <c r="AO38" s="6">
        <f t="shared" si="21"/>
        <v>13774.34112410446</v>
      </c>
      <c r="AP38" s="6">
        <f t="shared" si="21"/>
        <v>12271.685728747609</v>
      </c>
      <c r="AQ38" s="6">
        <f t="shared" si="21"/>
        <v>10718.941820212198</v>
      </c>
      <c r="AR38" s="6">
        <f t="shared" si="21"/>
        <v>9216.2864248553469</v>
      </c>
      <c r="AS38" s="6">
        <f t="shared" si="21"/>
        <v>7663.5425163199352</v>
      </c>
      <c r="AT38" s="6">
        <f t="shared" si="21"/>
        <v>6110.7986077845235</v>
      </c>
      <c r="AU38" s="6">
        <f t="shared" si="21"/>
        <v>4608.1432124276735</v>
      </c>
      <c r="AV38" s="6">
        <f t="shared" si="21"/>
        <v>3055.3993038922617</v>
      </c>
      <c r="AW38" s="6">
        <f t="shared" si="21"/>
        <v>1552.7439085354117</v>
      </c>
      <c r="AX38" s="6">
        <f t="shared" si="21"/>
        <v>0</v>
      </c>
    </row>
    <row r="39" spans="1:52">
      <c r="A39" s="71" t="s">
        <v>177</v>
      </c>
      <c r="B39" s="71"/>
      <c r="C39" s="6">
        <f>C35</f>
        <v>16174.464820296009</v>
      </c>
      <c r="D39" s="6">
        <f t="shared" ref="D39:K39" si="22">C39+D35</f>
        <v>32348.929640592018</v>
      </c>
      <c r="E39" s="6">
        <f t="shared" si="22"/>
        <v>48523.394460888027</v>
      </c>
      <c r="F39" s="6">
        <f t="shared" si="22"/>
        <v>64697.859281184035</v>
      </c>
      <c r="G39" s="6">
        <f t="shared" si="22"/>
        <v>80872.324101480044</v>
      </c>
      <c r="H39" s="6">
        <f t="shared" si="22"/>
        <v>97046.788921776053</v>
      </c>
      <c r="I39" s="6">
        <f t="shared" si="22"/>
        <v>113221.25374207206</v>
      </c>
      <c r="J39" s="6">
        <f t="shared" si="22"/>
        <v>129395.71856236807</v>
      </c>
      <c r="K39" s="6">
        <f t="shared" si="22"/>
        <v>145570.18338266408</v>
      </c>
      <c r="L39" s="6">
        <f>K39+L35</f>
        <v>161744.64820296009</v>
      </c>
      <c r="M39" s="6">
        <f>L39+M35</f>
        <v>169616.7946447531</v>
      </c>
      <c r="N39" s="6">
        <f t="shared" ref="N39" si="23">M39+N35</f>
        <v>177488.94108654611</v>
      </c>
      <c r="O39" s="6">
        <f>N39+O35</f>
        <v>200245.03653850511</v>
      </c>
      <c r="P39" s="6">
        <f t="shared" ref="P39:AA39" si="24">O39+P38</f>
        <v>221068.42251372238</v>
      </c>
      <c r="Q39" s="6">
        <f t="shared" si="24"/>
        <v>240146.13541317295</v>
      </c>
      <c r="R39" s="6">
        <f t="shared" si="24"/>
        <v>257291.13883588178</v>
      </c>
      <c r="S39" s="6">
        <f t="shared" si="24"/>
        <v>272565.77824884059</v>
      </c>
      <c r="T39" s="6">
        <f t="shared" si="24"/>
        <v>285907.70818505768</v>
      </c>
      <c r="U39" s="6">
        <f t="shared" si="24"/>
        <v>297379.27411152469</v>
      </c>
      <c r="V39" s="6">
        <f t="shared" si="24"/>
        <v>306918.13056124997</v>
      </c>
      <c r="W39" s="6">
        <f t="shared" si="24"/>
        <v>314524.27753423352</v>
      </c>
      <c r="X39" s="6">
        <f t="shared" si="24"/>
        <v>320260.060497467</v>
      </c>
      <c r="Y39" s="6">
        <f t="shared" si="24"/>
        <v>324063.1339839588</v>
      </c>
      <c r="Z39" s="6">
        <f t="shared" si="24"/>
        <v>325995.84346070053</v>
      </c>
      <c r="AA39" s="6">
        <f t="shared" si="24"/>
        <v>325995.84346070053</v>
      </c>
      <c r="AB39" s="6">
        <f>AA39+AB35</f>
        <v>346429.01045442553</v>
      </c>
      <c r="AC39" s="6">
        <f t="shared" ref="AC39:AL39" si="25">AB39+AC35</f>
        <v>366862.17744815053</v>
      </c>
      <c r="AD39" s="6">
        <f t="shared" si="25"/>
        <v>387295.34444187552</v>
      </c>
      <c r="AE39" s="6">
        <f t="shared" si="25"/>
        <v>407728.51143560052</v>
      </c>
      <c r="AF39" s="6">
        <f t="shared" si="25"/>
        <v>428161.67842932552</v>
      </c>
      <c r="AG39" s="6">
        <f t="shared" si="25"/>
        <v>448594.84542305052</v>
      </c>
      <c r="AH39" s="6">
        <f t="shared" si="25"/>
        <v>469028.01241677551</v>
      </c>
      <c r="AI39" s="6">
        <f t="shared" si="25"/>
        <v>489461.17941050051</v>
      </c>
      <c r="AJ39" s="6">
        <f t="shared" si="25"/>
        <v>509894.34640422551</v>
      </c>
      <c r="AK39" s="6">
        <f t="shared" si="25"/>
        <v>530327.51339795056</v>
      </c>
      <c r="AL39" s="6">
        <f t="shared" si="25"/>
        <v>550760.68039167556</v>
      </c>
      <c r="AM39" s="6">
        <f t="shared" ref="AM39" si="26">AL39+AM38</f>
        <v>567490.24379331514</v>
      </c>
      <c r="AN39" s="6">
        <f t="shared" ref="AN39" si="27">AM39+AN38</f>
        <v>582817.32882595505</v>
      </c>
      <c r="AO39" s="6">
        <f t="shared" ref="AO39" si="28">AN39+AO38</f>
        <v>596591.6699500595</v>
      </c>
      <c r="AP39" s="6">
        <f t="shared" ref="AP39" si="29">AO39+AP38</f>
        <v>608863.35567880713</v>
      </c>
      <c r="AQ39" s="6">
        <f t="shared" ref="AQ39" si="30">AP39+AQ38</f>
        <v>619582.2974990193</v>
      </c>
      <c r="AR39" s="6">
        <f t="shared" ref="AR39" si="31">AQ39+AR38</f>
        <v>628798.58392387466</v>
      </c>
      <c r="AS39" s="6">
        <f t="shared" ref="AS39" si="32">AR39+AS38</f>
        <v>636462.12644019455</v>
      </c>
      <c r="AT39" s="6">
        <f t="shared" ref="AT39" si="33">AS39+AT38</f>
        <v>642572.92504797911</v>
      </c>
      <c r="AU39" s="6">
        <f t="shared" ref="AU39" si="34">AT39+AU38</f>
        <v>647181.06826040673</v>
      </c>
      <c r="AV39" s="6">
        <f t="shared" ref="AV39" si="35">AU39+AV38</f>
        <v>650236.467564299</v>
      </c>
      <c r="AW39" s="6">
        <f t="shared" ref="AW39" si="36">AV39+AW38</f>
        <v>651789.21147283446</v>
      </c>
      <c r="AX39" s="6">
        <f t="shared" ref="AX39" si="37">AW39+AX38</f>
        <v>651789.21147283446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5"/>
  <sheetViews>
    <sheetView topLeftCell="A14" zoomScale="90" zoomScaleNormal="90" workbookViewId="0">
      <pane xSplit="1" topLeftCell="B1" activePane="topRight" state="frozen"/>
      <selection activeCell="G51" sqref="G51"/>
      <selection pane="topRight" activeCell="P35" sqref="P35"/>
    </sheetView>
  </sheetViews>
  <sheetFormatPr defaultRowHeight="12.75"/>
  <cols>
    <col min="1" max="1" width="42.28515625" style="4" bestFit="1" customWidth="1"/>
    <col min="2" max="2" width="12.85546875" style="4" customWidth="1"/>
    <col min="3" max="27" width="14.7109375" customWidth="1"/>
    <col min="28" max="50" width="14.7109375" hidden="1" customWidth="1"/>
    <col min="51" max="51" width="21" bestFit="1" customWidth="1"/>
    <col min="52" max="52" width="14.85546875" bestFit="1" customWidth="1"/>
    <col min="53" max="53" width="15.85546875" customWidth="1"/>
    <col min="54" max="54" width="14.85546875" bestFit="1" customWidth="1"/>
    <col min="55" max="55" width="14.85546875" customWidth="1"/>
    <col min="56" max="57" width="14.85546875" bestFit="1" customWidth="1"/>
    <col min="58" max="58" width="15.28515625" bestFit="1" customWidth="1"/>
    <col min="59" max="59" width="14.85546875" bestFit="1" customWidth="1"/>
    <col min="60" max="61" width="14.7109375" bestFit="1" customWidth="1"/>
  </cols>
  <sheetData>
    <row r="1" spans="1:57">
      <c r="C1" s="15">
        <f t="shared" ref="C1:N1" si="0">YEAR(C7)</f>
        <v>2021</v>
      </c>
      <c r="D1" s="15">
        <f t="shared" si="0"/>
        <v>2021</v>
      </c>
      <c r="E1" s="15">
        <f t="shared" si="0"/>
        <v>2021</v>
      </c>
      <c r="F1" s="15">
        <f t="shared" si="0"/>
        <v>2021</v>
      </c>
      <c r="G1" s="15">
        <f t="shared" si="0"/>
        <v>2021</v>
      </c>
      <c r="H1" s="15">
        <f t="shared" si="0"/>
        <v>2021</v>
      </c>
      <c r="I1" s="15">
        <f t="shared" si="0"/>
        <v>2021</v>
      </c>
      <c r="J1" s="15">
        <f t="shared" si="0"/>
        <v>2021</v>
      </c>
      <c r="K1" s="15">
        <f t="shared" si="0"/>
        <v>2021</v>
      </c>
      <c r="L1" s="15">
        <f t="shared" si="0"/>
        <v>2021</v>
      </c>
      <c r="M1" s="15">
        <f t="shared" si="0"/>
        <v>2021</v>
      </c>
      <c r="N1" s="15">
        <f t="shared" si="0"/>
        <v>2021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7">
      <c r="C2" s="15">
        <f t="shared" ref="C2:N2" si="1">MONTH(C7)</f>
        <v>1</v>
      </c>
      <c r="D2" s="15">
        <f t="shared" si="1"/>
        <v>2</v>
      </c>
      <c r="E2" s="15">
        <f t="shared" si="1"/>
        <v>3</v>
      </c>
      <c r="F2" s="15">
        <f t="shared" si="1"/>
        <v>4</v>
      </c>
      <c r="G2" s="15">
        <f t="shared" si="1"/>
        <v>5</v>
      </c>
      <c r="H2" s="15">
        <f t="shared" si="1"/>
        <v>6</v>
      </c>
      <c r="I2" s="15">
        <f t="shared" si="1"/>
        <v>7</v>
      </c>
      <c r="J2" s="15">
        <f t="shared" si="1"/>
        <v>8</v>
      </c>
      <c r="K2" s="15">
        <f t="shared" si="1"/>
        <v>9</v>
      </c>
      <c r="L2" s="15">
        <f t="shared" si="1"/>
        <v>10</v>
      </c>
      <c r="M2" s="15">
        <f t="shared" si="1"/>
        <v>11</v>
      </c>
      <c r="N2" s="15">
        <f t="shared" si="1"/>
        <v>12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7">
      <c r="C3" s="15">
        <f t="shared" ref="C3:N3" si="2">DAY(C7)</f>
        <v>31</v>
      </c>
      <c r="D3" s="15">
        <f t="shared" si="2"/>
        <v>28</v>
      </c>
      <c r="E3" s="15">
        <f t="shared" si="2"/>
        <v>31</v>
      </c>
      <c r="F3" s="15">
        <f t="shared" si="2"/>
        <v>30</v>
      </c>
      <c r="G3" s="15">
        <f t="shared" si="2"/>
        <v>31</v>
      </c>
      <c r="H3" s="15">
        <f t="shared" si="2"/>
        <v>30</v>
      </c>
      <c r="I3" s="15">
        <f t="shared" si="2"/>
        <v>31</v>
      </c>
      <c r="J3" s="15">
        <f t="shared" si="2"/>
        <v>31</v>
      </c>
      <c r="K3" s="15">
        <f t="shared" si="2"/>
        <v>30</v>
      </c>
      <c r="L3" s="15">
        <f t="shared" si="2"/>
        <v>31</v>
      </c>
      <c r="M3" s="15">
        <f t="shared" si="2"/>
        <v>30</v>
      </c>
      <c r="N3" s="15">
        <f t="shared" si="2"/>
        <v>31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</row>
    <row r="4" spans="1:57">
      <c r="C4" s="7">
        <f t="shared" ref="C4:N4" si="3">YEAR(C7)</f>
        <v>2021</v>
      </c>
      <c r="D4" s="7">
        <f t="shared" si="3"/>
        <v>2021</v>
      </c>
      <c r="E4" s="7">
        <f t="shared" si="3"/>
        <v>2021</v>
      </c>
      <c r="F4" s="7">
        <f t="shared" si="3"/>
        <v>2021</v>
      </c>
      <c r="G4" s="7">
        <f t="shared" si="3"/>
        <v>2021</v>
      </c>
      <c r="H4" s="7">
        <f t="shared" si="3"/>
        <v>2021</v>
      </c>
      <c r="I4" s="7">
        <f t="shared" si="3"/>
        <v>2021</v>
      </c>
      <c r="J4" s="7">
        <f t="shared" si="3"/>
        <v>2021</v>
      </c>
      <c r="K4" s="7">
        <f t="shared" si="3"/>
        <v>2021</v>
      </c>
      <c r="L4" s="7">
        <f t="shared" si="3"/>
        <v>2021</v>
      </c>
      <c r="M4" s="7">
        <f t="shared" si="3"/>
        <v>2021</v>
      </c>
      <c r="N4" s="7">
        <f t="shared" si="3"/>
        <v>2021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6" spans="1:57">
      <c r="A6" s="70" t="s">
        <v>2</v>
      </c>
      <c r="B6" s="70"/>
      <c r="BD6" s="63" t="s">
        <v>66</v>
      </c>
    </row>
    <row r="7" spans="1:57">
      <c r="A7" s="4" t="s">
        <v>0</v>
      </c>
      <c r="B7" s="4" t="s">
        <v>221</v>
      </c>
      <c r="C7" s="60">
        <v>44227</v>
      </c>
      <c r="D7" s="60">
        <f>EOMONTH(C7,1)</f>
        <v>44255</v>
      </c>
      <c r="E7" s="60">
        <f t="shared" ref="E7:AX7" si="4">EOMONTH(D7,1)</f>
        <v>44286</v>
      </c>
      <c r="F7" s="60">
        <f t="shared" si="4"/>
        <v>44316</v>
      </c>
      <c r="G7" s="60">
        <f t="shared" si="4"/>
        <v>44347</v>
      </c>
      <c r="H7" s="60">
        <f t="shared" si="4"/>
        <v>44377</v>
      </c>
      <c r="I7" s="60">
        <f t="shared" si="4"/>
        <v>44408</v>
      </c>
      <c r="J7" s="60">
        <f t="shared" si="4"/>
        <v>44439</v>
      </c>
      <c r="K7" s="60">
        <f t="shared" si="4"/>
        <v>44469</v>
      </c>
      <c r="L7" s="60">
        <f t="shared" si="4"/>
        <v>44500</v>
      </c>
      <c r="M7" s="60">
        <f t="shared" si="4"/>
        <v>44530</v>
      </c>
      <c r="N7" s="60">
        <f t="shared" si="4"/>
        <v>44561</v>
      </c>
      <c r="O7" s="60">
        <f t="shared" si="4"/>
        <v>44592</v>
      </c>
      <c r="P7" s="60">
        <f t="shared" si="4"/>
        <v>44620</v>
      </c>
      <c r="Q7" s="60">
        <f t="shared" si="4"/>
        <v>44651</v>
      </c>
      <c r="R7" s="60">
        <f t="shared" si="4"/>
        <v>44681</v>
      </c>
      <c r="S7" s="60">
        <f t="shared" si="4"/>
        <v>44712</v>
      </c>
      <c r="T7" s="60">
        <f t="shared" si="4"/>
        <v>44742</v>
      </c>
      <c r="U7" s="60">
        <f t="shared" si="4"/>
        <v>44773</v>
      </c>
      <c r="V7" s="60">
        <f t="shared" si="4"/>
        <v>44804</v>
      </c>
      <c r="W7" s="60">
        <f t="shared" si="4"/>
        <v>44834</v>
      </c>
      <c r="X7" s="60">
        <f t="shared" si="4"/>
        <v>44865</v>
      </c>
      <c r="Y7" s="60">
        <f t="shared" si="4"/>
        <v>44895</v>
      </c>
      <c r="Z7" s="60">
        <f t="shared" si="4"/>
        <v>44926</v>
      </c>
      <c r="AA7" s="60">
        <f t="shared" si="4"/>
        <v>44957</v>
      </c>
      <c r="AB7" s="60">
        <f t="shared" si="4"/>
        <v>44985</v>
      </c>
      <c r="AC7" s="60">
        <f t="shared" si="4"/>
        <v>45016</v>
      </c>
      <c r="AD7" s="60">
        <f t="shared" si="4"/>
        <v>45046</v>
      </c>
      <c r="AE7" s="60">
        <f t="shared" si="4"/>
        <v>45077</v>
      </c>
      <c r="AF7" s="60">
        <f t="shared" si="4"/>
        <v>45107</v>
      </c>
      <c r="AG7" s="60">
        <f t="shared" si="4"/>
        <v>45138</v>
      </c>
      <c r="AH7" s="60">
        <f t="shared" si="4"/>
        <v>45169</v>
      </c>
      <c r="AI7" s="60">
        <f t="shared" si="4"/>
        <v>45199</v>
      </c>
      <c r="AJ7" s="60">
        <f t="shared" si="4"/>
        <v>45230</v>
      </c>
      <c r="AK7" s="60">
        <f t="shared" si="4"/>
        <v>45260</v>
      </c>
      <c r="AL7" s="60">
        <f t="shared" si="4"/>
        <v>45291</v>
      </c>
      <c r="AM7" s="60">
        <f t="shared" si="4"/>
        <v>45322</v>
      </c>
      <c r="AN7" s="60">
        <f t="shared" si="4"/>
        <v>45351</v>
      </c>
      <c r="AO7" s="60">
        <f t="shared" si="4"/>
        <v>45382</v>
      </c>
      <c r="AP7" s="60">
        <f t="shared" si="4"/>
        <v>45412</v>
      </c>
      <c r="AQ7" s="60">
        <f t="shared" si="4"/>
        <v>45443</v>
      </c>
      <c r="AR7" s="60">
        <f t="shared" si="4"/>
        <v>45473</v>
      </c>
      <c r="AS7" s="60">
        <f t="shared" si="4"/>
        <v>45504</v>
      </c>
      <c r="AT7" s="60">
        <f t="shared" si="4"/>
        <v>45535</v>
      </c>
      <c r="AU7" s="60">
        <f t="shared" si="4"/>
        <v>45565</v>
      </c>
      <c r="AV7" s="60">
        <f t="shared" si="4"/>
        <v>45596</v>
      </c>
      <c r="AW7" s="60">
        <f t="shared" si="4"/>
        <v>45626</v>
      </c>
      <c r="AX7" s="60">
        <f t="shared" si="4"/>
        <v>45657</v>
      </c>
      <c r="AY7" s="57" t="s">
        <v>1</v>
      </c>
      <c r="BB7" s="6"/>
      <c r="BC7" s="63" t="s">
        <v>200</v>
      </c>
      <c r="BD7" s="63" t="s">
        <v>200</v>
      </c>
      <c r="BE7" s="63" t="s">
        <v>201</v>
      </c>
    </row>
    <row r="8" spans="1:57">
      <c r="A8" s="78" t="s">
        <v>207</v>
      </c>
      <c r="B8" s="78"/>
      <c r="C8" s="8"/>
      <c r="D8" s="8"/>
      <c r="E8" s="8"/>
      <c r="F8" s="8"/>
      <c r="G8" s="8"/>
      <c r="H8" s="8"/>
      <c r="I8" s="8"/>
      <c r="J8" s="8"/>
      <c r="K8" s="8"/>
      <c r="L8" s="8"/>
      <c r="N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58"/>
      <c r="AK8" s="5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>
        <f t="shared" ref="AY8" si="5">SUM(C8:AX8)</f>
        <v>0</v>
      </c>
      <c r="BB8" s="6"/>
      <c r="BC8" s="5">
        <f>SUM(C8:N8)</f>
        <v>0</v>
      </c>
      <c r="BD8" s="5">
        <f t="shared" ref="BD8" si="6">SUM(AA8:AL8)</f>
        <v>0</v>
      </c>
      <c r="BE8" s="5">
        <f t="shared" ref="BE8" si="7">SUM(AM8:AX8)</f>
        <v>0</v>
      </c>
    </row>
    <row r="9" spans="1:57">
      <c r="A9" s="92" t="s">
        <v>218</v>
      </c>
      <c r="B9" s="92">
        <v>85087</v>
      </c>
      <c r="C9" s="8"/>
      <c r="D9" s="8"/>
      <c r="E9" s="8"/>
      <c r="F9" s="8"/>
      <c r="G9" s="8"/>
      <c r="H9" s="8"/>
      <c r="I9" s="8"/>
      <c r="J9" s="8"/>
      <c r="K9" s="8"/>
      <c r="L9" s="8"/>
      <c r="M9" s="93">
        <v>-49212.639999999999</v>
      </c>
      <c r="N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BB9" s="6"/>
      <c r="BC9" s="5"/>
      <c r="BD9" s="5"/>
      <c r="BE9" s="5"/>
    </row>
    <row r="10" spans="1:57" ht="13.5" thickBot="1">
      <c r="A10" s="11" t="s">
        <v>1</v>
      </c>
      <c r="B10" s="11"/>
      <c r="C10" s="11">
        <f t="shared" ref="C10:AH10" si="8">SUM(C8:C9)</f>
        <v>0</v>
      </c>
      <c r="D10" s="11">
        <f t="shared" si="8"/>
        <v>0</v>
      </c>
      <c r="E10" s="11">
        <f t="shared" si="8"/>
        <v>0</v>
      </c>
      <c r="F10" s="11">
        <f t="shared" si="8"/>
        <v>0</v>
      </c>
      <c r="G10" s="11">
        <f t="shared" si="8"/>
        <v>0</v>
      </c>
      <c r="H10" s="11">
        <f t="shared" si="8"/>
        <v>0</v>
      </c>
      <c r="I10" s="11">
        <f t="shared" si="8"/>
        <v>0</v>
      </c>
      <c r="J10" s="11">
        <f t="shared" si="8"/>
        <v>0</v>
      </c>
      <c r="K10" s="11">
        <f t="shared" si="8"/>
        <v>0</v>
      </c>
      <c r="L10" s="11">
        <f t="shared" si="8"/>
        <v>0</v>
      </c>
      <c r="M10" s="11">
        <f t="shared" si="8"/>
        <v>-49212.639999999999</v>
      </c>
      <c r="N10" s="11">
        <f t="shared" si="8"/>
        <v>0</v>
      </c>
      <c r="O10" s="11">
        <f t="shared" si="8"/>
        <v>0</v>
      </c>
      <c r="P10" s="11">
        <f t="shared" si="8"/>
        <v>0</v>
      </c>
      <c r="Q10" s="11">
        <f t="shared" si="8"/>
        <v>0</v>
      </c>
      <c r="R10" s="11">
        <f t="shared" si="8"/>
        <v>0</v>
      </c>
      <c r="S10" s="11">
        <f t="shared" si="8"/>
        <v>0</v>
      </c>
      <c r="T10" s="11">
        <f t="shared" si="8"/>
        <v>0</v>
      </c>
      <c r="U10" s="11">
        <f t="shared" si="8"/>
        <v>0</v>
      </c>
      <c r="V10" s="11">
        <f t="shared" si="8"/>
        <v>0</v>
      </c>
      <c r="W10" s="11">
        <f t="shared" si="8"/>
        <v>0</v>
      </c>
      <c r="X10" s="11">
        <f t="shared" si="8"/>
        <v>0</v>
      </c>
      <c r="Y10" s="11">
        <f t="shared" si="8"/>
        <v>0</v>
      </c>
      <c r="Z10" s="11">
        <f t="shared" si="8"/>
        <v>0</v>
      </c>
      <c r="AA10" s="11">
        <f t="shared" si="8"/>
        <v>0</v>
      </c>
      <c r="AB10" s="11">
        <f t="shared" si="8"/>
        <v>0</v>
      </c>
      <c r="AC10" s="11">
        <f t="shared" si="8"/>
        <v>0</v>
      </c>
      <c r="AD10" s="11">
        <f t="shared" si="8"/>
        <v>0</v>
      </c>
      <c r="AE10" s="11">
        <f t="shared" si="8"/>
        <v>0</v>
      </c>
      <c r="AF10" s="11">
        <f t="shared" si="8"/>
        <v>0</v>
      </c>
      <c r="AG10" s="11">
        <f t="shared" si="8"/>
        <v>0</v>
      </c>
      <c r="AH10" s="11">
        <f t="shared" si="8"/>
        <v>0</v>
      </c>
      <c r="AI10" s="11">
        <f t="shared" ref="AI10:AY10" si="9">SUM(AI8:AI9)</f>
        <v>0</v>
      </c>
      <c r="AJ10" s="11">
        <f t="shared" si="9"/>
        <v>0</v>
      </c>
      <c r="AK10" s="11">
        <f t="shared" si="9"/>
        <v>0</v>
      </c>
      <c r="AL10" s="11">
        <f t="shared" si="9"/>
        <v>0</v>
      </c>
      <c r="AM10" s="11">
        <f t="shared" si="9"/>
        <v>0</v>
      </c>
      <c r="AN10" s="11">
        <f t="shared" si="9"/>
        <v>0</v>
      </c>
      <c r="AO10" s="11">
        <f t="shared" si="9"/>
        <v>0</v>
      </c>
      <c r="AP10" s="11">
        <f t="shared" si="9"/>
        <v>0</v>
      </c>
      <c r="AQ10" s="11">
        <f t="shared" si="9"/>
        <v>0</v>
      </c>
      <c r="AR10" s="11">
        <f t="shared" si="9"/>
        <v>0</v>
      </c>
      <c r="AS10" s="11">
        <f t="shared" si="9"/>
        <v>0</v>
      </c>
      <c r="AT10" s="11">
        <f t="shared" si="9"/>
        <v>0</v>
      </c>
      <c r="AU10" s="11">
        <f t="shared" si="9"/>
        <v>0</v>
      </c>
      <c r="AV10" s="11">
        <f t="shared" si="9"/>
        <v>0</v>
      </c>
      <c r="AW10" s="11">
        <f t="shared" si="9"/>
        <v>0</v>
      </c>
      <c r="AX10" s="11">
        <f t="shared" si="9"/>
        <v>0</v>
      </c>
      <c r="AY10" s="11">
        <f t="shared" si="9"/>
        <v>0</v>
      </c>
      <c r="BB10" s="6"/>
      <c r="BC10" s="58">
        <f>SUM(C10:N10)</f>
        <v>-49212.639999999999</v>
      </c>
      <c r="BD10" s="58">
        <f>SUM(AA10:AL10)</f>
        <v>0</v>
      </c>
      <c r="BE10" s="58">
        <f>SUM(AM10:AX10)</f>
        <v>0</v>
      </c>
    </row>
    <row r="11" spans="1:57" ht="13.5" thickTop="1">
      <c r="A11" s="71" t="s">
        <v>160</v>
      </c>
      <c r="B11" s="7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58">
        <f>SUM(C11:N11)</f>
        <v>0</v>
      </c>
      <c r="BA11" s="57"/>
      <c r="BB11" s="6"/>
      <c r="BC11" s="58">
        <f>BC10</f>
        <v>-49212.639999999999</v>
      </c>
    </row>
    <row r="12" spans="1:57">
      <c r="C12" s="6"/>
      <c r="D12" s="6"/>
      <c r="E12" s="6"/>
      <c r="F12" s="6"/>
      <c r="G12" s="6"/>
      <c r="H12" s="6"/>
      <c r="I12" s="6"/>
      <c r="K12" s="6"/>
      <c r="L12" s="80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6"/>
    </row>
    <row r="13" spans="1:57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79"/>
    </row>
    <row r="14" spans="1:57">
      <c r="J14" s="86"/>
      <c r="K14" s="79"/>
    </row>
    <row r="15" spans="1:57">
      <c r="A15" s="70" t="s">
        <v>3</v>
      </c>
      <c r="B15" s="70"/>
    </row>
    <row r="16" spans="1:57" s="6" customFormat="1">
      <c r="A16" s="5"/>
      <c r="B16" s="5"/>
    </row>
    <row r="17" spans="1:54">
      <c r="A17" s="70" t="s">
        <v>5</v>
      </c>
      <c r="B17" s="70"/>
      <c r="AA17" s="1" t="s">
        <v>9</v>
      </c>
      <c r="AB17" s="1" t="s">
        <v>10</v>
      </c>
      <c r="AC17" s="1" t="s">
        <v>11</v>
      </c>
      <c r="AD17" s="1" t="s">
        <v>12</v>
      </c>
      <c r="AE17" s="1" t="s">
        <v>13</v>
      </c>
      <c r="AF17" s="1" t="s">
        <v>14</v>
      </c>
      <c r="AG17" s="1" t="s">
        <v>15</v>
      </c>
      <c r="AH17" s="1" t="s">
        <v>16</v>
      </c>
      <c r="AI17" s="1" t="s">
        <v>17</v>
      </c>
      <c r="AJ17" s="1" t="s">
        <v>18</v>
      </c>
      <c r="AK17" s="1" t="s">
        <v>19</v>
      </c>
      <c r="AL17" s="1" t="s">
        <v>20</v>
      </c>
      <c r="AM17" s="1" t="s">
        <v>21</v>
      </c>
      <c r="AN17" s="1" t="s">
        <v>22</v>
      </c>
      <c r="AO17" s="1" t="s">
        <v>23</v>
      </c>
      <c r="AP17" s="1" t="s">
        <v>24</v>
      </c>
      <c r="AQ17" s="1" t="s">
        <v>25</v>
      </c>
      <c r="AR17" s="1" t="s">
        <v>26</v>
      </c>
      <c r="AS17" s="1" t="s">
        <v>27</v>
      </c>
      <c r="AT17" s="1" t="s">
        <v>28</v>
      </c>
      <c r="AU17" s="1" t="s">
        <v>29</v>
      </c>
      <c r="BA17" s="6"/>
    </row>
    <row r="18" spans="1:54">
      <c r="A18" s="72" t="s">
        <v>7</v>
      </c>
      <c r="B18" s="72"/>
      <c r="AA18" s="9">
        <v>0.52500000000000002</v>
      </c>
      <c r="AB18" s="9">
        <v>4.7500000000000001E-2</v>
      </c>
      <c r="AC18" s="9">
        <v>4.2799999999999998E-2</v>
      </c>
      <c r="AD18" s="9">
        <v>3.85E-2</v>
      </c>
      <c r="AE18" s="9">
        <v>3.4700000000000002E-2</v>
      </c>
      <c r="AF18" s="9">
        <v>3.1199999999999999E-2</v>
      </c>
      <c r="AG18" s="9">
        <v>2.9499999999999998E-2</v>
      </c>
      <c r="AH18" s="9">
        <v>2.9499999999999998E-2</v>
      </c>
      <c r="AI18" s="9">
        <v>2.9600000000000001E-2</v>
      </c>
      <c r="AJ18" s="9">
        <v>2.9499999999999998E-2</v>
      </c>
      <c r="AK18" s="9">
        <v>2.9600000000000001E-2</v>
      </c>
      <c r="AL18" s="9">
        <v>2.9499999999999998E-2</v>
      </c>
      <c r="AM18" s="9">
        <v>2.9600000000000001E-2</v>
      </c>
      <c r="AN18" s="9">
        <v>2.9499999999999998E-2</v>
      </c>
      <c r="AO18" s="9">
        <v>2.9600000000000001E-2</v>
      </c>
      <c r="AP18" s="9">
        <v>1.46E-2</v>
      </c>
      <c r="AQ18" s="9"/>
      <c r="AR18" s="9"/>
      <c r="AS18" s="9"/>
      <c r="AT18" s="9"/>
      <c r="AU18" s="9"/>
      <c r="BA18" s="6"/>
      <c r="BB18" s="86"/>
    </row>
    <row r="19" spans="1:54">
      <c r="A19" s="72" t="s">
        <v>8</v>
      </c>
      <c r="B19" s="72"/>
      <c r="AA19" s="9">
        <v>0.51880000000000004</v>
      </c>
      <c r="AB19" s="9">
        <v>3.61E-2</v>
      </c>
      <c r="AC19" s="9">
        <v>3.3399999999999999E-2</v>
      </c>
      <c r="AD19" s="9">
        <v>3.09E-2</v>
      </c>
      <c r="AE19" s="9">
        <v>2.86E-2</v>
      </c>
      <c r="AF19" s="9">
        <v>2.64E-2</v>
      </c>
      <c r="AG19" s="9">
        <v>2.4400000000000002E-2</v>
      </c>
      <c r="AH19" s="9">
        <v>2.2599999999999999E-2</v>
      </c>
      <c r="AI19" s="9">
        <v>2.231E-2</v>
      </c>
      <c r="AJ19" s="9">
        <v>2.23E-2</v>
      </c>
      <c r="AK19" s="9">
        <v>2.231E-2</v>
      </c>
      <c r="AL19" s="9">
        <v>2.23E-2</v>
      </c>
      <c r="AM19" s="9">
        <v>2.231E-2</v>
      </c>
      <c r="AN19" s="9">
        <v>2.23E-2</v>
      </c>
      <c r="AO19" s="9">
        <v>2.231E-2</v>
      </c>
      <c r="AP19" s="9">
        <v>2.23E-2</v>
      </c>
      <c r="AQ19" s="9">
        <v>2.231E-2</v>
      </c>
      <c r="AR19" s="9">
        <v>2.23E-2</v>
      </c>
      <c r="AS19" s="9">
        <v>2.231E-2</v>
      </c>
      <c r="AT19" s="9">
        <v>2.23E-2</v>
      </c>
      <c r="AU19" s="9">
        <v>1.1140000000000001E-2</v>
      </c>
    </row>
    <row r="20" spans="1:54">
      <c r="A20" s="72" t="s">
        <v>6</v>
      </c>
      <c r="B20" s="72"/>
      <c r="AA20" s="9">
        <v>1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/>
      <c r="AR20" s="9"/>
      <c r="AS20" s="9"/>
      <c r="AT20" s="9"/>
      <c r="AU20" s="9"/>
    </row>
    <row r="21" spans="1:54">
      <c r="A21" s="71" t="s">
        <v>159</v>
      </c>
      <c r="B21" s="71"/>
      <c r="AA21" s="9">
        <v>3.7600000000000001E-2</v>
      </c>
      <c r="AB21" s="9">
        <v>7.22E-2</v>
      </c>
      <c r="AC21" s="9">
        <v>6.6799999999999998E-2</v>
      </c>
      <c r="AD21" s="9">
        <v>6.1800000000000001E-2</v>
      </c>
      <c r="AE21" s="9">
        <v>5.7200000000000001E-2</v>
      </c>
      <c r="AF21" s="9">
        <v>5.28E-2</v>
      </c>
      <c r="AG21" s="9">
        <v>4.8800000000000003E-2</v>
      </c>
      <c r="AH21" s="9">
        <v>4.5199999999999997E-2</v>
      </c>
      <c r="AI21" s="9">
        <v>4.462E-2</v>
      </c>
      <c r="AJ21" s="9">
        <v>4.4600000000000001E-2</v>
      </c>
      <c r="AK21" s="9">
        <v>4.462E-2</v>
      </c>
      <c r="AL21" s="9">
        <v>4.4600000000000001E-2</v>
      </c>
      <c r="AM21" s="9">
        <v>4.462E-2</v>
      </c>
      <c r="AN21" s="9">
        <v>4.4600000000000001E-2</v>
      </c>
      <c r="AO21" s="9">
        <v>4.462E-2</v>
      </c>
      <c r="AP21" s="9">
        <v>4.4600000000000001E-2</v>
      </c>
      <c r="AQ21" s="9">
        <v>4.462E-2</v>
      </c>
      <c r="AR21" s="9">
        <v>4.4600000000000001E-2</v>
      </c>
      <c r="AS21" s="9">
        <v>4.462E-2</v>
      </c>
      <c r="AT21" s="9">
        <v>4.4600000000000001E-2</v>
      </c>
      <c r="AU21" s="9">
        <v>2.2280000000000001E-2</v>
      </c>
    </row>
    <row r="23" spans="1:54">
      <c r="A23" s="70" t="s">
        <v>30</v>
      </c>
      <c r="B23" s="70"/>
      <c r="C23" s="2">
        <f>C7</f>
        <v>44227</v>
      </c>
      <c r="D23" s="2">
        <f t="shared" ref="D23:AX23" si="10">D7</f>
        <v>44255</v>
      </c>
      <c r="E23" s="2">
        <f t="shared" si="10"/>
        <v>44286</v>
      </c>
      <c r="F23" s="2">
        <f t="shared" si="10"/>
        <v>44316</v>
      </c>
      <c r="G23" s="2">
        <f t="shared" si="10"/>
        <v>44347</v>
      </c>
      <c r="H23" s="2">
        <f t="shared" si="10"/>
        <v>44377</v>
      </c>
      <c r="I23" s="2">
        <f t="shared" si="10"/>
        <v>44408</v>
      </c>
      <c r="J23" s="2">
        <f t="shared" si="10"/>
        <v>44439</v>
      </c>
      <c r="K23" s="2">
        <f t="shared" si="10"/>
        <v>44469</v>
      </c>
      <c r="L23" s="2">
        <f t="shared" si="10"/>
        <v>44500</v>
      </c>
      <c r="M23" s="2">
        <f t="shared" si="10"/>
        <v>44530</v>
      </c>
      <c r="N23" s="2">
        <f t="shared" si="10"/>
        <v>44561</v>
      </c>
      <c r="O23" s="2">
        <f t="shared" si="10"/>
        <v>44592</v>
      </c>
      <c r="P23" s="2">
        <f t="shared" si="10"/>
        <v>44620</v>
      </c>
      <c r="Q23" s="2">
        <f t="shared" si="10"/>
        <v>44651</v>
      </c>
      <c r="R23" s="2">
        <f t="shared" si="10"/>
        <v>44681</v>
      </c>
      <c r="S23" s="2">
        <f t="shared" si="10"/>
        <v>44712</v>
      </c>
      <c r="T23" s="2">
        <f t="shared" si="10"/>
        <v>44742</v>
      </c>
      <c r="U23" s="2">
        <f t="shared" si="10"/>
        <v>44773</v>
      </c>
      <c r="V23" s="2">
        <f t="shared" si="10"/>
        <v>44804</v>
      </c>
      <c r="W23" s="2">
        <f t="shared" si="10"/>
        <v>44834</v>
      </c>
      <c r="X23" s="2">
        <f t="shared" si="10"/>
        <v>44865</v>
      </c>
      <c r="Y23" s="2">
        <f t="shared" si="10"/>
        <v>44895</v>
      </c>
      <c r="Z23" s="2">
        <f t="shared" si="10"/>
        <v>44926</v>
      </c>
      <c r="AA23" s="2">
        <f t="shared" si="10"/>
        <v>44957</v>
      </c>
      <c r="AB23" s="2">
        <f t="shared" si="10"/>
        <v>44985</v>
      </c>
      <c r="AC23" s="2">
        <f t="shared" si="10"/>
        <v>45016</v>
      </c>
      <c r="AD23" s="2">
        <f t="shared" si="10"/>
        <v>45046</v>
      </c>
      <c r="AE23" s="2">
        <f t="shared" si="10"/>
        <v>45077</v>
      </c>
      <c r="AF23" s="2">
        <f t="shared" si="10"/>
        <v>45107</v>
      </c>
      <c r="AG23" s="2">
        <f t="shared" si="10"/>
        <v>45138</v>
      </c>
      <c r="AH23" s="2">
        <f t="shared" si="10"/>
        <v>45169</v>
      </c>
      <c r="AI23" s="2">
        <f t="shared" si="10"/>
        <v>45199</v>
      </c>
      <c r="AJ23" s="2">
        <f t="shared" si="10"/>
        <v>45230</v>
      </c>
      <c r="AK23" s="2">
        <f t="shared" si="10"/>
        <v>45260</v>
      </c>
      <c r="AL23" s="2">
        <f t="shared" si="10"/>
        <v>45291</v>
      </c>
      <c r="AM23" s="2">
        <f t="shared" si="10"/>
        <v>45322</v>
      </c>
      <c r="AN23" s="2">
        <f t="shared" si="10"/>
        <v>45351</v>
      </c>
      <c r="AO23" s="2">
        <f t="shared" si="10"/>
        <v>45382</v>
      </c>
      <c r="AP23" s="2">
        <f t="shared" si="10"/>
        <v>45412</v>
      </c>
      <c r="AQ23" s="2">
        <f t="shared" si="10"/>
        <v>45443</v>
      </c>
      <c r="AR23" s="2">
        <f t="shared" si="10"/>
        <v>45473</v>
      </c>
      <c r="AS23" s="2">
        <f t="shared" si="10"/>
        <v>45504</v>
      </c>
      <c r="AT23" s="2">
        <f t="shared" si="10"/>
        <v>45535</v>
      </c>
      <c r="AU23" s="2">
        <f t="shared" si="10"/>
        <v>45565</v>
      </c>
      <c r="AV23" s="2">
        <f t="shared" si="10"/>
        <v>45596</v>
      </c>
      <c r="AW23" s="2">
        <f t="shared" si="10"/>
        <v>45626</v>
      </c>
      <c r="AX23" s="2">
        <f t="shared" si="10"/>
        <v>45657</v>
      </c>
    </row>
    <row r="24" spans="1:54">
      <c r="A24" s="74" t="s">
        <v>202</v>
      </c>
      <c r="B24" s="7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54">
      <c r="A25" s="73" t="s">
        <v>174</v>
      </c>
      <c r="B25" s="73"/>
      <c r="C25" s="6">
        <f t="shared" ref="C25:N25" si="11">-$BC$10*$AA$21/12</f>
        <v>154.19960533333332</v>
      </c>
      <c r="D25" s="6">
        <f t="shared" si="11"/>
        <v>154.19960533333332</v>
      </c>
      <c r="E25" s="6">
        <f t="shared" si="11"/>
        <v>154.19960533333332</v>
      </c>
      <c r="F25" s="6">
        <f t="shared" si="11"/>
        <v>154.19960533333332</v>
      </c>
      <c r="G25" s="6">
        <f t="shared" si="11"/>
        <v>154.19960533333332</v>
      </c>
      <c r="H25" s="6">
        <f t="shared" si="11"/>
        <v>154.19960533333332</v>
      </c>
      <c r="I25" s="6">
        <f t="shared" si="11"/>
        <v>154.19960533333332</v>
      </c>
      <c r="J25" s="6">
        <f t="shared" si="11"/>
        <v>154.19960533333332</v>
      </c>
      <c r="K25" s="6">
        <f t="shared" si="11"/>
        <v>154.19960533333332</v>
      </c>
      <c r="L25" s="6">
        <f t="shared" si="11"/>
        <v>154.19960533333332</v>
      </c>
      <c r="M25" s="6">
        <f t="shared" si="11"/>
        <v>154.19960533333332</v>
      </c>
      <c r="N25" s="6">
        <f t="shared" si="11"/>
        <v>154.19960533333332</v>
      </c>
      <c r="O25" s="6">
        <f t="shared" ref="O25:Z25" si="12">-$BC$10*$AB$21/12</f>
        <v>296.09605066666666</v>
      </c>
      <c r="P25" s="6">
        <f t="shared" si="12"/>
        <v>296.09605066666666</v>
      </c>
      <c r="Q25" s="6">
        <f t="shared" si="12"/>
        <v>296.09605066666666</v>
      </c>
      <c r="R25" s="6">
        <f t="shared" si="12"/>
        <v>296.09605066666666</v>
      </c>
      <c r="S25" s="6">
        <f t="shared" si="12"/>
        <v>296.09605066666666</v>
      </c>
      <c r="T25" s="6">
        <f t="shared" si="12"/>
        <v>296.09605066666666</v>
      </c>
      <c r="U25" s="6">
        <f t="shared" si="12"/>
        <v>296.09605066666666</v>
      </c>
      <c r="V25" s="6">
        <f t="shared" si="12"/>
        <v>296.09605066666666</v>
      </c>
      <c r="W25" s="6">
        <f t="shared" si="12"/>
        <v>296.09605066666666</v>
      </c>
      <c r="X25" s="6">
        <f t="shared" si="12"/>
        <v>296.09605066666666</v>
      </c>
      <c r="Y25" s="6">
        <f t="shared" si="12"/>
        <v>296.09605066666666</v>
      </c>
      <c r="Z25" s="6">
        <f t="shared" si="12"/>
        <v>296.09605066666666</v>
      </c>
      <c r="AA25" s="6">
        <f>-$BC$10*$AC$21/12</f>
        <v>273.95036266666665</v>
      </c>
      <c r="AB25" s="6">
        <f t="shared" ref="AB25:AL25" si="13">-$BC$10*$AC$21/12</f>
        <v>273.95036266666665</v>
      </c>
      <c r="AC25" s="6">
        <f t="shared" si="13"/>
        <v>273.95036266666665</v>
      </c>
      <c r="AD25" s="6">
        <f t="shared" si="13"/>
        <v>273.95036266666665</v>
      </c>
      <c r="AE25" s="6">
        <f t="shared" si="13"/>
        <v>273.95036266666665</v>
      </c>
      <c r="AF25" s="6">
        <f t="shared" si="13"/>
        <v>273.95036266666665</v>
      </c>
      <c r="AG25" s="6">
        <f t="shared" si="13"/>
        <v>273.95036266666665</v>
      </c>
      <c r="AH25" s="6">
        <f t="shared" si="13"/>
        <v>273.95036266666665</v>
      </c>
      <c r="AI25" s="6">
        <f t="shared" si="13"/>
        <v>273.95036266666665</v>
      </c>
      <c r="AJ25" s="6">
        <f t="shared" si="13"/>
        <v>273.95036266666665</v>
      </c>
      <c r="AK25" s="6">
        <f t="shared" si="13"/>
        <v>273.95036266666665</v>
      </c>
      <c r="AL25" s="6">
        <f t="shared" si="13"/>
        <v>273.95036266666665</v>
      </c>
      <c r="AM25" s="6">
        <f>-$BC$10*$AD$21/12</f>
        <v>253.44509600000001</v>
      </c>
      <c r="AN25" s="6">
        <f t="shared" ref="AN25:AX25" si="14">-$BC$10*$AD$21/12</f>
        <v>253.44509600000001</v>
      </c>
      <c r="AO25" s="6">
        <f t="shared" si="14"/>
        <v>253.44509600000001</v>
      </c>
      <c r="AP25" s="6">
        <f t="shared" si="14"/>
        <v>253.44509600000001</v>
      </c>
      <c r="AQ25" s="6">
        <f t="shared" si="14"/>
        <v>253.44509600000001</v>
      </c>
      <c r="AR25" s="6">
        <f t="shared" si="14"/>
        <v>253.44509600000001</v>
      </c>
      <c r="AS25" s="6">
        <f t="shared" si="14"/>
        <v>253.44509600000001</v>
      </c>
      <c r="AT25" s="6">
        <f t="shared" si="14"/>
        <v>253.44509600000001</v>
      </c>
      <c r="AU25" s="6">
        <f t="shared" si="14"/>
        <v>253.44509600000001</v>
      </c>
      <c r="AV25" s="6">
        <f t="shared" si="14"/>
        <v>253.44509600000001</v>
      </c>
      <c r="AW25" s="6">
        <f t="shared" si="14"/>
        <v>253.44509600000001</v>
      </c>
      <c r="AX25" s="6">
        <f t="shared" si="14"/>
        <v>253.44509600000001</v>
      </c>
    </row>
    <row r="26" spans="1:54">
      <c r="A26" s="74" t="s">
        <v>167</v>
      </c>
      <c r="B26" s="74"/>
      <c r="J26" s="6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</row>
    <row r="27" spans="1:54">
      <c r="A27" s="75" t="s">
        <v>140</v>
      </c>
      <c r="B27" s="75"/>
      <c r="C27" s="10">
        <f t="shared" ref="C27:Z27" si="15">SUM(C24:C26)</f>
        <v>154.19960533333332</v>
      </c>
      <c r="D27" s="10">
        <f t="shared" si="15"/>
        <v>154.19960533333332</v>
      </c>
      <c r="E27" s="10">
        <f t="shared" si="15"/>
        <v>154.19960533333332</v>
      </c>
      <c r="F27" s="10">
        <f t="shared" si="15"/>
        <v>154.19960533333332</v>
      </c>
      <c r="G27" s="10">
        <f t="shared" si="15"/>
        <v>154.19960533333332</v>
      </c>
      <c r="H27" s="10">
        <f t="shared" si="15"/>
        <v>154.19960533333332</v>
      </c>
      <c r="I27" s="10">
        <f t="shared" si="15"/>
        <v>154.19960533333332</v>
      </c>
      <c r="J27" s="10">
        <f t="shared" si="15"/>
        <v>154.19960533333332</v>
      </c>
      <c r="K27" s="10">
        <f t="shared" si="15"/>
        <v>154.19960533333332</v>
      </c>
      <c r="L27" s="10">
        <f t="shared" si="15"/>
        <v>154.19960533333332</v>
      </c>
      <c r="M27" s="10">
        <f t="shared" si="15"/>
        <v>154.19960533333332</v>
      </c>
      <c r="N27" s="10">
        <f t="shared" si="15"/>
        <v>154.19960533333332</v>
      </c>
      <c r="O27" s="10">
        <f t="shared" si="15"/>
        <v>296.09605066666666</v>
      </c>
      <c r="P27" s="10">
        <f t="shared" si="15"/>
        <v>296.09605066666666</v>
      </c>
      <c r="Q27" s="10">
        <f t="shared" si="15"/>
        <v>296.09605066666666</v>
      </c>
      <c r="R27" s="10">
        <f t="shared" si="15"/>
        <v>296.09605066666666</v>
      </c>
      <c r="S27" s="10">
        <f t="shared" si="15"/>
        <v>296.09605066666666</v>
      </c>
      <c r="T27" s="10">
        <f t="shared" si="15"/>
        <v>296.09605066666666</v>
      </c>
      <c r="U27" s="10">
        <f t="shared" si="15"/>
        <v>296.09605066666666</v>
      </c>
      <c r="V27" s="10">
        <f t="shared" si="15"/>
        <v>296.09605066666666</v>
      </c>
      <c r="W27" s="10">
        <f t="shared" si="15"/>
        <v>296.09605066666666</v>
      </c>
      <c r="X27" s="10">
        <f t="shared" si="15"/>
        <v>296.09605066666666</v>
      </c>
      <c r="Y27" s="10">
        <f t="shared" si="15"/>
        <v>296.09605066666666</v>
      </c>
      <c r="Z27" s="10">
        <f t="shared" si="15"/>
        <v>296.09605066666666</v>
      </c>
      <c r="AA27" s="10">
        <f t="shared" ref="AA27:AX27" si="16">SUM(AA24:AA26)</f>
        <v>273.95036266666665</v>
      </c>
      <c r="AB27" s="10">
        <f t="shared" si="16"/>
        <v>273.95036266666665</v>
      </c>
      <c r="AC27" s="10">
        <f t="shared" si="16"/>
        <v>273.95036266666665</v>
      </c>
      <c r="AD27" s="10">
        <f t="shared" si="16"/>
        <v>273.95036266666665</v>
      </c>
      <c r="AE27" s="10">
        <f t="shared" si="16"/>
        <v>273.95036266666665</v>
      </c>
      <c r="AF27" s="10">
        <f t="shared" si="16"/>
        <v>273.95036266666665</v>
      </c>
      <c r="AG27" s="10">
        <f t="shared" si="16"/>
        <v>273.95036266666665</v>
      </c>
      <c r="AH27" s="10">
        <f t="shared" si="16"/>
        <v>273.95036266666665</v>
      </c>
      <c r="AI27" s="10">
        <f t="shared" si="16"/>
        <v>273.95036266666665</v>
      </c>
      <c r="AJ27" s="10">
        <f t="shared" si="16"/>
        <v>273.95036266666665</v>
      </c>
      <c r="AK27" s="10">
        <f t="shared" si="16"/>
        <v>273.95036266666665</v>
      </c>
      <c r="AL27" s="10">
        <f t="shared" si="16"/>
        <v>273.95036266666665</v>
      </c>
      <c r="AM27" s="10">
        <f t="shared" si="16"/>
        <v>253.44509600000001</v>
      </c>
      <c r="AN27" s="10">
        <f t="shared" si="16"/>
        <v>253.44509600000001</v>
      </c>
      <c r="AO27" s="10">
        <f t="shared" si="16"/>
        <v>253.44509600000001</v>
      </c>
      <c r="AP27" s="10">
        <f t="shared" si="16"/>
        <v>253.44509600000001</v>
      </c>
      <c r="AQ27" s="10">
        <f t="shared" si="16"/>
        <v>253.44509600000001</v>
      </c>
      <c r="AR27" s="10">
        <f t="shared" si="16"/>
        <v>253.44509600000001</v>
      </c>
      <c r="AS27" s="10">
        <f t="shared" si="16"/>
        <v>253.44509600000001</v>
      </c>
      <c r="AT27" s="10">
        <f t="shared" si="16"/>
        <v>253.44509600000001</v>
      </c>
      <c r="AU27" s="10">
        <f t="shared" si="16"/>
        <v>253.44509600000001</v>
      </c>
      <c r="AV27" s="10">
        <f t="shared" si="16"/>
        <v>253.44509600000001</v>
      </c>
      <c r="AW27" s="10">
        <f t="shared" si="16"/>
        <v>253.44509600000001</v>
      </c>
      <c r="AX27" s="10">
        <f t="shared" si="16"/>
        <v>253.44509600000001</v>
      </c>
    </row>
    <row r="28" spans="1:54">
      <c r="A28" s="76" t="s">
        <v>35</v>
      </c>
      <c r="B28" s="76"/>
      <c r="C28" s="77">
        <f>'Exhibit 1.2 Services'!D12</f>
        <v>0</v>
      </c>
      <c r="D28" s="77">
        <f>'Exhibit 1.2 Services'!E12</f>
        <v>0</v>
      </c>
      <c r="E28" s="77">
        <f>'Exhibit 1.2 Services'!F12</f>
        <v>0</v>
      </c>
      <c r="F28" s="77">
        <f>'Exhibit 1.2 Services'!G12</f>
        <v>0</v>
      </c>
      <c r="G28" s="77">
        <f>'Exhibit 1.2 Services'!H12</f>
        <v>0</v>
      </c>
      <c r="H28" s="77">
        <f>'Exhibit 1.2 Services'!I12</f>
        <v>0</v>
      </c>
      <c r="I28" s="77">
        <f>'Exhibit 1.2 Services'!J12</f>
        <v>0</v>
      </c>
      <c r="J28" s="77">
        <f>'Exhibit 1.2 Services'!K12</f>
        <v>0</v>
      </c>
      <c r="K28" s="77">
        <f>'Exhibit 1.2 Services'!L12</f>
        <v>0</v>
      </c>
      <c r="L28" s="77">
        <f>'Exhibit 1.2 Services'!M12</f>
        <v>0</v>
      </c>
      <c r="M28" s="77">
        <f>'Exhibit 1.2 Services'!N12</f>
        <v>125.08212666666665</v>
      </c>
      <c r="N28" s="77">
        <f>'Exhibit 1.2 Services'!O12</f>
        <v>125.08212666666665</v>
      </c>
      <c r="O28" s="77">
        <f>'Exhibit 1.2 Services'!P12</f>
        <v>125.08212666666665</v>
      </c>
      <c r="P28" s="77">
        <f>'Exhibit 1.2 Services'!Q12</f>
        <v>125.08212666666665</v>
      </c>
      <c r="Q28" s="77">
        <f>'Exhibit 1.2 Services'!R12</f>
        <v>125.08212666666665</v>
      </c>
      <c r="R28" s="77">
        <f>'Exhibit 1.2 Services'!S12</f>
        <v>125.08212666666665</v>
      </c>
      <c r="S28" s="77">
        <f>'Exhibit 1.2 Services'!T12</f>
        <v>125.08212666666665</v>
      </c>
      <c r="T28" s="77">
        <f>'Exhibit 1.2 Services'!U12</f>
        <v>125.08212666666665</v>
      </c>
      <c r="U28" s="77">
        <f>'Exhibit 1.2 Services'!V12</f>
        <v>125.08212666666665</v>
      </c>
      <c r="V28" s="77">
        <f>'Exhibit 1.2 Services'!W12</f>
        <v>125.08212666666665</v>
      </c>
      <c r="W28" s="77">
        <f>'Exhibit 1.2 Services'!X12</f>
        <v>125.08212666666665</v>
      </c>
      <c r="X28" s="77">
        <f>'Exhibit 1.2 Services'!Y12</f>
        <v>125.08212666666665</v>
      </c>
      <c r="Y28" s="77">
        <f>'Exhibit 1.2 Services'!Z12</f>
        <v>125.08212666666665</v>
      </c>
      <c r="Z28" s="77">
        <f>'Exhibit 1.2 Services'!AA12</f>
        <v>125.08212666666665</v>
      </c>
      <c r="AA28" s="77">
        <f>'Exhibit 1.2 Services'!AB12</f>
        <v>125.08212666666665</v>
      </c>
      <c r="AB28" s="77">
        <f>'Exhibit 1.2 Services'!AC12</f>
        <v>125.08212666666665</v>
      </c>
      <c r="AC28" s="77">
        <f>'Exhibit 1.2 Services'!AD12</f>
        <v>125.08212666666665</v>
      </c>
      <c r="AD28" s="77">
        <f>'Exhibit 1.2 Services'!AE12</f>
        <v>125.08212666666665</v>
      </c>
      <c r="AE28" s="77">
        <f>'Exhibit 1.2 Services'!AF12</f>
        <v>125.08212666666665</v>
      </c>
      <c r="AF28" s="77">
        <f>'Exhibit 1.2 Services'!AG12</f>
        <v>125.08212666666665</v>
      </c>
      <c r="AG28" s="77">
        <f>'Exhibit 1.2 Services'!AH12</f>
        <v>125.08212666666665</v>
      </c>
      <c r="AH28" s="77">
        <f>'Exhibit 1.2 Services'!AI12</f>
        <v>125.08212666666665</v>
      </c>
      <c r="AI28" s="77">
        <f>'Exhibit 1.2 Services'!AJ12</f>
        <v>125.08212666666665</v>
      </c>
      <c r="AJ28" s="77">
        <f>'Exhibit 1.2 Services'!AK12</f>
        <v>125.08212666666665</v>
      </c>
      <c r="AK28" s="77">
        <f>'Exhibit 1.2 Services'!AL12</f>
        <v>125.08212666666665</v>
      </c>
      <c r="AL28" s="77">
        <f>'Exhibit 1.2 Services'!AM12</f>
        <v>125.08212666666665</v>
      </c>
      <c r="AM28" s="77">
        <f>'Exhibit 1.2 Services'!AN12</f>
        <v>125.08212666666665</v>
      </c>
      <c r="AN28" s="77">
        <f>'Exhibit 1.2 Services'!AO12</f>
        <v>125.08212666666665</v>
      </c>
      <c r="AO28" s="77">
        <f>'Exhibit 1.2 Services'!AP12</f>
        <v>125.08212666666665</v>
      </c>
      <c r="AP28" s="77">
        <f>'Exhibit 1.2 Services'!AQ12</f>
        <v>125.08212666666665</v>
      </c>
      <c r="AQ28" s="77">
        <f>'Exhibit 1.2 Services'!AR12</f>
        <v>125.08212666666665</v>
      </c>
      <c r="AR28" s="77">
        <f>'Exhibit 1.2 Services'!AS12</f>
        <v>125.08212666666665</v>
      </c>
      <c r="AS28" s="77">
        <f>'Exhibit 1.2 Services'!AT12</f>
        <v>125.08212666666665</v>
      </c>
      <c r="AT28" s="77">
        <f>'Exhibit 1.2 Services'!AU12</f>
        <v>125.08212666666665</v>
      </c>
      <c r="AU28" s="77">
        <f>'Exhibit 1.2 Services'!AV12</f>
        <v>125.08212666666665</v>
      </c>
      <c r="AV28" s="77">
        <f>'Exhibit 1.2 Services'!AW12</f>
        <v>125.08212666666665</v>
      </c>
      <c r="AW28" s="77">
        <f>'Exhibit 1.2 Services'!AX12</f>
        <v>125.08212666666665</v>
      </c>
      <c r="AX28" s="77">
        <f>'Exhibit 1.2 Services'!AY12</f>
        <v>125.08212666666665</v>
      </c>
    </row>
    <row r="29" spans="1:54">
      <c r="A29" s="4" t="s">
        <v>154</v>
      </c>
      <c r="C29" s="6">
        <f t="shared" ref="C29:AX29" si="17">C27-C28</f>
        <v>154.19960533333332</v>
      </c>
      <c r="D29" s="6">
        <f t="shared" si="17"/>
        <v>154.19960533333332</v>
      </c>
      <c r="E29" s="6">
        <f t="shared" si="17"/>
        <v>154.19960533333332</v>
      </c>
      <c r="F29" s="6">
        <f t="shared" si="17"/>
        <v>154.19960533333332</v>
      </c>
      <c r="G29" s="6">
        <f t="shared" si="17"/>
        <v>154.19960533333332</v>
      </c>
      <c r="H29" s="6">
        <f t="shared" si="17"/>
        <v>154.19960533333332</v>
      </c>
      <c r="I29" s="6">
        <f t="shared" si="17"/>
        <v>154.19960533333332</v>
      </c>
      <c r="J29" s="6">
        <f t="shared" si="17"/>
        <v>154.19960533333332</v>
      </c>
      <c r="K29" s="6">
        <f t="shared" si="17"/>
        <v>154.19960533333332</v>
      </c>
      <c r="L29" s="6">
        <f t="shared" si="17"/>
        <v>154.19960533333332</v>
      </c>
      <c r="M29" s="6">
        <f t="shared" si="17"/>
        <v>29.117478666666671</v>
      </c>
      <c r="N29" s="6">
        <f t="shared" si="17"/>
        <v>29.117478666666671</v>
      </c>
      <c r="O29" s="6">
        <f t="shared" si="17"/>
        <v>171.013924</v>
      </c>
      <c r="P29" s="6">
        <f t="shared" si="17"/>
        <v>171.013924</v>
      </c>
      <c r="Q29" s="6">
        <f t="shared" si="17"/>
        <v>171.013924</v>
      </c>
      <c r="R29" s="6">
        <f t="shared" si="17"/>
        <v>171.013924</v>
      </c>
      <c r="S29" s="6">
        <f t="shared" si="17"/>
        <v>171.013924</v>
      </c>
      <c r="T29" s="6">
        <f t="shared" si="17"/>
        <v>171.013924</v>
      </c>
      <c r="U29" s="6">
        <f t="shared" si="17"/>
        <v>171.013924</v>
      </c>
      <c r="V29" s="6">
        <f t="shared" si="17"/>
        <v>171.013924</v>
      </c>
      <c r="W29" s="6">
        <f t="shared" si="17"/>
        <v>171.013924</v>
      </c>
      <c r="X29" s="6">
        <f t="shared" si="17"/>
        <v>171.013924</v>
      </c>
      <c r="Y29" s="6">
        <f t="shared" si="17"/>
        <v>171.013924</v>
      </c>
      <c r="Z29" s="6">
        <f t="shared" si="17"/>
        <v>171.013924</v>
      </c>
      <c r="AA29" s="6">
        <f t="shared" si="17"/>
        <v>148.868236</v>
      </c>
      <c r="AB29" s="6">
        <f t="shared" si="17"/>
        <v>148.868236</v>
      </c>
      <c r="AC29" s="6">
        <f t="shared" si="17"/>
        <v>148.868236</v>
      </c>
      <c r="AD29" s="6">
        <f t="shared" si="17"/>
        <v>148.868236</v>
      </c>
      <c r="AE29" s="6">
        <f t="shared" si="17"/>
        <v>148.868236</v>
      </c>
      <c r="AF29" s="6">
        <f t="shared" si="17"/>
        <v>148.868236</v>
      </c>
      <c r="AG29" s="6">
        <f t="shared" si="17"/>
        <v>148.868236</v>
      </c>
      <c r="AH29" s="6">
        <f t="shared" si="17"/>
        <v>148.868236</v>
      </c>
      <c r="AI29" s="6">
        <f t="shared" si="17"/>
        <v>148.868236</v>
      </c>
      <c r="AJ29" s="6">
        <f t="shared" si="17"/>
        <v>148.868236</v>
      </c>
      <c r="AK29" s="6">
        <f t="shared" si="17"/>
        <v>148.868236</v>
      </c>
      <c r="AL29" s="6">
        <f t="shared" si="17"/>
        <v>148.868236</v>
      </c>
      <c r="AM29" s="6">
        <f t="shared" si="17"/>
        <v>128.36296933333335</v>
      </c>
      <c r="AN29" s="6">
        <f t="shared" si="17"/>
        <v>128.36296933333335</v>
      </c>
      <c r="AO29" s="6">
        <f t="shared" si="17"/>
        <v>128.36296933333335</v>
      </c>
      <c r="AP29" s="6">
        <f t="shared" si="17"/>
        <v>128.36296933333335</v>
      </c>
      <c r="AQ29" s="6">
        <f t="shared" si="17"/>
        <v>128.36296933333335</v>
      </c>
      <c r="AR29" s="6">
        <f t="shared" si="17"/>
        <v>128.36296933333335</v>
      </c>
      <c r="AS29" s="6">
        <f t="shared" si="17"/>
        <v>128.36296933333335</v>
      </c>
      <c r="AT29" s="6">
        <f t="shared" si="17"/>
        <v>128.36296933333335</v>
      </c>
      <c r="AU29" s="6">
        <f t="shared" si="17"/>
        <v>128.36296933333335</v>
      </c>
      <c r="AV29" s="6">
        <f t="shared" si="17"/>
        <v>128.36296933333335</v>
      </c>
      <c r="AW29" s="6">
        <f t="shared" si="17"/>
        <v>128.36296933333335</v>
      </c>
      <c r="AX29" s="6">
        <f t="shared" si="17"/>
        <v>128.36296933333335</v>
      </c>
    </row>
    <row r="30" spans="1:54">
      <c r="A30" s="4" t="s">
        <v>155</v>
      </c>
      <c r="C30" s="6">
        <v>0.2472</v>
      </c>
      <c r="D30" s="6">
        <v>0.2472</v>
      </c>
      <c r="E30" s="6">
        <v>0.2472</v>
      </c>
      <c r="F30" s="6">
        <v>0.2472</v>
      </c>
      <c r="G30" s="6">
        <v>0.2472</v>
      </c>
      <c r="H30" s="6">
        <v>0.2472</v>
      </c>
      <c r="I30" s="6">
        <v>0.2472</v>
      </c>
      <c r="J30" s="6">
        <v>0.2472</v>
      </c>
      <c r="K30" s="6">
        <v>0.2472</v>
      </c>
      <c r="L30" s="6">
        <v>0.2472</v>
      </c>
      <c r="M30" s="6">
        <v>0.2472</v>
      </c>
      <c r="N30" s="6">
        <v>0.2472</v>
      </c>
      <c r="O30" s="6">
        <v>0.2472</v>
      </c>
      <c r="P30" s="6">
        <v>0.2472</v>
      </c>
      <c r="Q30" s="6">
        <v>0.2472</v>
      </c>
      <c r="R30" s="6">
        <v>0.2472</v>
      </c>
      <c r="S30" s="6">
        <v>0.2472</v>
      </c>
      <c r="T30" s="6">
        <v>0.2472</v>
      </c>
      <c r="U30" s="6">
        <v>0.2472</v>
      </c>
      <c r="V30" s="6">
        <v>0.2472</v>
      </c>
      <c r="W30" s="6">
        <v>0.2472</v>
      </c>
      <c r="X30" s="6">
        <v>0.2472</v>
      </c>
      <c r="Y30" s="6">
        <v>0.2472</v>
      </c>
      <c r="Z30" s="6">
        <v>0.2472</v>
      </c>
      <c r="AA30" s="6">
        <v>0.2472</v>
      </c>
      <c r="AB30" s="6">
        <v>0.2472</v>
      </c>
      <c r="AC30" s="6">
        <v>0.2472</v>
      </c>
      <c r="AD30" s="6">
        <v>0.2472</v>
      </c>
      <c r="AE30" s="6">
        <v>0.2472</v>
      </c>
      <c r="AF30" s="6">
        <v>0.2472</v>
      </c>
      <c r="AG30" s="6">
        <v>0.2472</v>
      </c>
      <c r="AH30" s="6">
        <v>0.2472</v>
      </c>
      <c r="AI30" s="6">
        <v>0.2472</v>
      </c>
      <c r="AJ30" s="6">
        <v>0.2472</v>
      </c>
      <c r="AK30" s="6">
        <v>0.2472</v>
      </c>
      <c r="AL30" s="6">
        <v>0.2472</v>
      </c>
      <c r="AM30" s="6">
        <v>0.2472</v>
      </c>
      <c r="AN30" s="6">
        <v>0.2472</v>
      </c>
      <c r="AO30" s="6">
        <v>0.2472</v>
      </c>
      <c r="AP30" s="6">
        <v>0.2472</v>
      </c>
      <c r="AQ30" s="6">
        <v>0.2472</v>
      </c>
      <c r="AR30" s="6">
        <v>0.2472</v>
      </c>
      <c r="AS30" s="6">
        <v>0.2472</v>
      </c>
      <c r="AT30" s="6">
        <v>0.2472</v>
      </c>
      <c r="AU30" s="6">
        <v>0.2472</v>
      </c>
      <c r="AV30" s="6">
        <v>0.2472</v>
      </c>
      <c r="AW30" s="6">
        <v>0.2472</v>
      </c>
      <c r="AX30" s="6">
        <v>0.2472</v>
      </c>
    </row>
    <row r="31" spans="1:54">
      <c r="A31" s="71" t="s">
        <v>175</v>
      </c>
      <c r="B31" s="71"/>
      <c r="C31" s="6">
        <f t="shared" ref="C31:AX31" si="18">C29*C30</f>
        <v>38.1181424384</v>
      </c>
      <c r="D31" s="6">
        <f t="shared" si="18"/>
        <v>38.1181424384</v>
      </c>
      <c r="E31" s="6">
        <f t="shared" si="18"/>
        <v>38.1181424384</v>
      </c>
      <c r="F31" s="6">
        <f t="shared" si="18"/>
        <v>38.1181424384</v>
      </c>
      <c r="G31" s="6">
        <f t="shared" si="18"/>
        <v>38.1181424384</v>
      </c>
      <c r="H31" s="6">
        <f t="shared" si="18"/>
        <v>38.1181424384</v>
      </c>
      <c r="I31" s="6">
        <f t="shared" si="18"/>
        <v>38.1181424384</v>
      </c>
      <c r="J31" s="6">
        <f t="shared" si="18"/>
        <v>38.1181424384</v>
      </c>
      <c r="K31" s="6">
        <f t="shared" si="18"/>
        <v>38.1181424384</v>
      </c>
      <c r="L31" s="6">
        <f t="shared" si="18"/>
        <v>38.1181424384</v>
      </c>
      <c r="M31" s="6">
        <f t="shared" si="18"/>
        <v>7.1978407264000008</v>
      </c>
      <c r="N31" s="6">
        <f t="shared" si="18"/>
        <v>7.1978407264000008</v>
      </c>
      <c r="O31" s="6">
        <f t="shared" si="18"/>
        <v>42.274642012800001</v>
      </c>
      <c r="P31" s="6">
        <f t="shared" si="18"/>
        <v>42.274642012800001</v>
      </c>
      <c r="Q31" s="6">
        <f t="shared" si="18"/>
        <v>42.274642012800001</v>
      </c>
      <c r="R31" s="6">
        <f t="shared" si="18"/>
        <v>42.274642012800001</v>
      </c>
      <c r="S31" s="6">
        <f t="shared" si="18"/>
        <v>42.274642012800001</v>
      </c>
      <c r="T31" s="6">
        <f t="shared" si="18"/>
        <v>42.274642012800001</v>
      </c>
      <c r="U31" s="6">
        <f t="shared" si="18"/>
        <v>42.274642012800001</v>
      </c>
      <c r="V31" s="6">
        <f t="shared" si="18"/>
        <v>42.274642012800001</v>
      </c>
      <c r="W31" s="6">
        <f t="shared" si="18"/>
        <v>42.274642012800001</v>
      </c>
      <c r="X31" s="6">
        <f t="shared" si="18"/>
        <v>42.274642012800001</v>
      </c>
      <c r="Y31" s="6">
        <f t="shared" si="18"/>
        <v>42.274642012800001</v>
      </c>
      <c r="Z31" s="6">
        <f t="shared" si="18"/>
        <v>42.274642012800001</v>
      </c>
      <c r="AA31" s="6">
        <f t="shared" si="18"/>
        <v>36.800227939199999</v>
      </c>
      <c r="AB31" s="6">
        <f t="shared" si="18"/>
        <v>36.800227939199999</v>
      </c>
      <c r="AC31" s="6">
        <f t="shared" si="18"/>
        <v>36.800227939199999</v>
      </c>
      <c r="AD31" s="6">
        <f t="shared" si="18"/>
        <v>36.800227939199999</v>
      </c>
      <c r="AE31" s="6">
        <f t="shared" si="18"/>
        <v>36.800227939199999</v>
      </c>
      <c r="AF31" s="6">
        <f t="shared" si="18"/>
        <v>36.800227939199999</v>
      </c>
      <c r="AG31" s="6">
        <f t="shared" si="18"/>
        <v>36.800227939199999</v>
      </c>
      <c r="AH31" s="6">
        <f t="shared" si="18"/>
        <v>36.800227939199999</v>
      </c>
      <c r="AI31" s="6">
        <f t="shared" si="18"/>
        <v>36.800227939199999</v>
      </c>
      <c r="AJ31" s="6">
        <f t="shared" si="18"/>
        <v>36.800227939199999</v>
      </c>
      <c r="AK31" s="6">
        <f t="shared" si="18"/>
        <v>36.800227939199999</v>
      </c>
      <c r="AL31" s="6">
        <f t="shared" si="18"/>
        <v>36.800227939199999</v>
      </c>
      <c r="AM31" s="6">
        <f t="shared" si="18"/>
        <v>31.731326019200004</v>
      </c>
      <c r="AN31" s="6">
        <f t="shared" si="18"/>
        <v>31.731326019200004</v>
      </c>
      <c r="AO31" s="6">
        <f t="shared" si="18"/>
        <v>31.731326019200004</v>
      </c>
      <c r="AP31" s="6">
        <f t="shared" si="18"/>
        <v>31.731326019200004</v>
      </c>
      <c r="AQ31" s="6">
        <f t="shared" si="18"/>
        <v>31.731326019200004</v>
      </c>
      <c r="AR31" s="6">
        <f t="shared" si="18"/>
        <v>31.731326019200004</v>
      </c>
      <c r="AS31" s="6">
        <f t="shared" si="18"/>
        <v>31.731326019200004</v>
      </c>
      <c r="AT31" s="6">
        <f t="shared" si="18"/>
        <v>31.731326019200004</v>
      </c>
      <c r="AU31" s="6">
        <f t="shared" si="18"/>
        <v>31.731326019200004</v>
      </c>
      <c r="AV31" s="6">
        <f t="shared" si="18"/>
        <v>31.731326019200004</v>
      </c>
      <c r="AW31" s="6">
        <f t="shared" si="18"/>
        <v>31.731326019200004</v>
      </c>
      <c r="AX31" s="6">
        <f t="shared" si="18"/>
        <v>31.731326019200004</v>
      </c>
    </row>
    <row r="32" spans="1:54">
      <c r="K32" s="65"/>
      <c r="L32" s="8"/>
      <c r="M32" s="8"/>
      <c r="O32" s="65" t="s">
        <v>198</v>
      </c>
      <c r="P32" s="8">
        <f t="shared" ref="P32:AA32" si="19">DAY(O23)</f>
        <v>31</v>
      </c>
      <c r="Q32" s="8">
        <f t="shared" si="19"/>
        <v>28</v>
      </c>
      <c r="R32" s="8">
        <f t="shared" si="19"/>
        <v>31</v>
      </c>
      <c r="S32" s="8">
        <f t="shared" si="19"/>
        <v>30</v>
      </c>
      <c r="T32" s="8">
        <f t="shared" si="19"/>
        <v>31</v>
      </c>
      <c r="U32" s="8">
        <f t="shared" si="19"/>
        <v>30</v>
      </c>
      <c r="V32" s="8">
        <f t="shared" si="19"/>
        <v>31</v>
      </c>
      <c r="W32" s="8">
        <f t="shared" si="19"/>
        <v>31</v>
      </c>
      <c r="X32" s="8">
        <f t="shared" si="19"/>
        <v>30</v>
      </c>
      <c r="Y32" s="8">
        <f t="shared" si="19"/>
        <v>31</v>
      </c>
      <c r="Z32" s="8">
        <f t="shared" si="19"/>
        <v>30</v>
      </c>
      <c r="AA32" s="8">
        <f t="shared" si="19"/>
        <v>31</v>
      </c>
      <c r="AB32" s="8"/>
      <c r="AC32" s="8"/>
      <c r="AD32" s="8"/>
      <c r="AE32" s="8"/>
      <c r="AF32" s="8"/>
      <c r="AG32" s="8"/>
      <c r="AH32" s="8"/>
      <c r="AI32" s="8"/>
      <c r="AJ32" s="8"/>
      <c r="AK32" s="8"/>
      <c r="AY32" s="8"/>
      <c r="AZ32" s="8"/>
    </row>
    <row r="33" spans="1:50">
      <c r="M33" s="81"/>
      <c r="O33" s="81" t="s">
        <v>199</v>
      </c>
      <c r="P33" s="82">
        <f>(SUM($P$32:$AA$32)-SUM($P$32:P32))/SUM($P$32:$AA$32)</f>
        <v>0.91506849315068495</v>
      </c>
      <c r="Q33" s="82">
        <f>(SUM($P$32:$AA$32)-SUM($P$32:Q32))/SUM($P$32:$AA$32)</f>
        <v>0.83835616438356164</v>
      </c>
      <c r="R33" s="82">
        <f>(SUM($P$32:$AA$32)-SUM($P$32:R32))/SUM($P$32:$AA$32)</f>
        <v>0.75342465753424659</v>
      </c>
      <c r="S33" s="82">
        <f>(SUM($P$32:$AA$32)-SUM($P$32:S32))/SUM($P$32:$AA$32)</f>
        <v>0.67123287671232879</v>
      </c>
      <c r="T33" s="82">
        <f>(SUM($P$32:$AA$32)-SUM($P$32:T32))/SUM($P$32:$AA$32)</f>
        <v>0.58630136986301373</v>
      </c>
      <c r="U33" s="82">
        <f>(SUM($P$32:$AA$32)-SUM($P$32:U32))/SUM($P$32:$AA$32)</f>
        <v>0.50410958904109593</v>
      </c>
      <c r="V33" s="82">
        <f>(SUM($P$32:$AA$32)-SUM($P$32:V32))/SUM($P$32:$AA$32)</f>
        <v>0.41917808219178082</v>
      </c>
      <c r="W33" s="82">
        <f>(SUM($P$32:$AA$32)-SUM($P$32:W32))/SUM($P$32:$AA$32)</f>
        <v>0.33424657534246577</v>
      </c>
      <c r="X33" s="82">
        <f>(SUM($P$32:$AA$32)-SUM($P$32:X32))/SUM($P$32:$AA$32)</f>
        <v>0.25205479452054796</v>
      </c>
      <c r="Y33" s="82">
        <f>(SUM($P$32:$AA$32)-SUM($P$32:Y32))/SUM($P$32:$AA$32)</f>
        <v>0.16712328767123288</v>
      </c>
      <c r="Z33" s="82">
        <f>(SUM($P$32:$AA$32)-SUM($P$32:Z32))/SUM($P$32:$AA$32)</f>
        <v>8.4931506849315067E-2</v>
      </c>
      <c r="AA33" s="82">
        <f>(SUM($P$32:$AA$32)-SUM($P$32:AA32))/SUM($P$32:$AA$32)</f>
        <v>0</v>
      </c>
      <c r="AB33" s="82"/>
      <c r="AC33" s="82"/>
      <c r="AD33" s="82"/>
      <c r="AE33" s="82"/>
      <c r="AF33" s="82"/>
      <c r="AG33" s="82"/>
      <c r="AH33" s="82"/>
      <c r="AI33" s="82"/>
      <c r="AJ33" s="82"/>
      <c r="AK33" s="82"/>
    </row>
    <row r="34" spans="1:50">
      <c r="A34" s="71" t="s">
        <v>176</v>
      </c>
      <c r="B34" s="71"/>
      <c r="L34" s="6"/>
      <c r="M34" s="6"/>
      <c r="O34" s="6"/>
      <c r="P34" s="6">
        <f>P31*P33</f>
        <v>38.684192965137534</v>
      </c>
      <c r="Q34" s="6">
        <f t="shared" ref="Q34:AA34" si="20">Q31*Q33</f>
        <v>35.441206728539179</v>
      </c>
      <c r="R34" s="6">
        <f t="shared" si="20"/>
        <v>31.850757680876715</v>
      </c>
      <c r="S34" s="6">
        <f t="shared" si="20"/>
        <v>28.376129570235619</v>
      </c>
      <c r="T34" s="6">
        <f t="shared" si="20"/>
        <v>24.785680522573152</v>
      </c>
      <c r="U34" s="6">
        <f t="shared" si="20"/>
        <v>21.311052411932057</v>
      </c>
      <c r="V34" s="6">
        <f t="shared" si="20"/>
        <v>17.720603364269589</v>
      </c>
      <c r="W34" s="6">
        <f t="shared" si="20"/>
        <v>14.130154316607124</v>
      </c>
      <c r="X34" s="6">
        <f t="shared" si="20"/>
        <v>10.655526205966028</v>
      </c>
      <c r="Y34" s="6">
        <f t="shared" si="20"/>
        <v>7.0650771583035619</v>
      </c>
      <c r="Z34" s="6">
        <f t="shared" si="20"/>
        <v>3.590449047662466</v>
      </c>
      <c r="AA34" s="6">
        <f t="shared" si="20"/>
        <v>0</v>
      </c>
      <c r="AB34" s="6">
        <f t="shared" ref="AB34:AK34" si="21">AB31*AB33</f>
        <v>0</v>
      </c>
      <c r="AC34" s="6">
        <f t="shared" si="21"/>
        <v>0</v>
      </c>
      <c r="AD34" s="6">
        <f t="shared" si="21"/>
        <v>0</v>
      </c>
      <c r="AE34" s="6">
        <f t="shared" si="21"/>
        <v>0</v>
      </c>
      <c r="AF34" s="6">
        <f t="shared" si="21"/>
        <v>0</v>
      </c>
      <c r="AG34" s="6">
        <f t="shared" si="21"/>
        <v>0</v>
      </c>
      <c r="AH34" s="6">
        <f t="shared" si="21"/>
        <v>0</v>
      </c>
      <c r="AI34" s="6">
        <f t="shared" si="21"/>
        <v>0</v>
      </c>
      <c r="AJ34" s="6">
        <f t="shared" si="21"/>
        <v>0</v>
      </c>
      <c r="AK34" s="6">
        <f t="shared" si="21"/>
        <v>0</v>
      </c>
      <c r="AL34" s="6"/>
      <c r="AM34" s="6">
        <f t="shared" ref="AM34:AX34" si="22">AM31*P33</f>
        <v>29.036336686062469</v>
      </c>
      <c r="AN34" s="6">
        <f t="shared" si="22"/>
        <v>26.602152772260826</v>
      </c>
      <c r="AO34" s="6">
        <f t="shared" si="22"/>
        <v>23.907163439123291</v>
      </c>
      <c r="AP34" s="6">
        <f t="shared" si="22"/>
        <v>21.299109245764388</v>
      </c>
      <c r="AQ34" s="6">
        <f t="shared" si="22"/>
        <v>18.604119912626853</v>
      </c>
      <c r="AR34" s="6">
        <f t="shared" si="22"/>
        <v>15.996065719267948</v>
      </c>
      <c r="AS34" s="6">
        <f t="shared" si="22"/>
        <v>13.301076386130413</v>
      </c>
      <c r="AT34" s="6">
        <f t="shared" si="22"/>
        <v>10.606087052992878</v>
      </c>
      <c r="AU34" s="6">
        <f t="shared" si="22"/>
        <v>7.998032859633974</v>
      </c>
      <c r="AV34" s="6">
        <f t="shared" si="22"/>
        <v>5.3030435264964391</v>
      </c>
      <c r="AW34" s="6">
        <f t="shared" si="22"/>
        <v>2.6949893331375345</v>
      </c>
      <c r="AX34" s="6">
        <f t="shared" si="22"/>
        <v>0</v>
      </c>
    </row>
    <row r="35" spans="1:50">
      <c r="A35" s="71" t="s">
        <v>177</v>
      </c>
      <c r="B35" s="71"/>
      <c r="C35" s="6">
        <f>C31</f>
        <v>38.1181424384</v>
      </c>
      <c r="D35" s="6">
        <f t="shared" ref="D35:L35" si="23">C35+D31</f>
        <v>76.236284876799999</v>
      </c>
      <c r="E35" s="6">
        <f t="shared" si="23"/>
        <v>114.3544273152</v>
      </c>
      <c r="F35" s="6">
        <f t="shared" si="23"/>
        <v>152.4725697536</v>
      </c>
      <c r="G35" s="6">
        <f t="shared" si="23"/>
        <v>190.59071219200001</v>
      </c>
      <c r="H35" s="6">
        <f t="shared" si="23"/>
        <v>228.70885463040003</v>
      </c>
      <c r="I35" s="6">
        <f t="shared" si="23"/>
        <v>266.82699706880004</v>
      </c>
      <c r="J35" s="6">
        <f t="shared" si="23"/>
        <v>304.94513950720005</v>
      </c>
      <c r="K35" s="6">
        <f t="shared" si="23"/>
        <v>343.06328194560007</v>
      </c>
      <c r="L35" s="6">
        <f t="shared" si="23"/>
        <v>381.18142438400008</v>
      </c>
      <c r="M35" s="6">
        <f>L35+M31</f>
        <v>388.37926511040007</v>
      </c>
      <c r="N35" s="6">
        <f t="shared" ref="N35:O35" si="24">M35+N31</f>
        <v>395.57710583680006</v>
      </c>
      <c r="O35" s="6">
        <f t="shared" si="24"/>
        <v>437.85174784960009</v>
      </c>
      <c r="P35" s="6">
        <f t="shared" ref="P35:AA35" si="25">O35+P34</f>
        <v>476.53594081473761</v>
      </c>
      <c r="Q35" s="6">
        <f t="shared" si="25"/>
        <v>511.97714754327677</v>
      </c>
      <c r="R35" s="6">
        <f t="shared" si="25"/>
        <v>543.82790522415348</v>
      </c>
      <c r="S35" s="6">
        <f t="shared" si="25"/>
        <v>572.20403479438914</v>
      </c>
      <c r="T35" s="6">
        <f t="shared" si="25"/>
        <v>596.98971531696225</v>
      </c>
      <c r="U35" s="6">
        <f t="shared" si="25"/>
        <v>618.30076772889436</v>
      </c>
      <c r="V35" s="6">
        <f t="shared" si="25"/>
        <v>636.02137109316391</v>
      </c>
      <c r="W35" s="6">
        <f t="shared" si="25"/>
        <v>650.15152540977101</v>
      </c>
      <c r="X35" s="6">
        <f t="shared" si="25"/>
        <v>660.80705161573701</v>
      </c>
      <c r="Y35" s="6">
        <f t="shared" si="25"/>
        <v>667.87212877404056</v>
      </c>
      <c r="Z35" s="6">
        <f t="shared" si="25"/>
        <v>671.46257782170301</v>
      </c>
      <c r="AA35" s="6">
        <f t="shared" si="25"/>
        <v>671.46257782170301</v>
      </c>
      <c r="AB35" s="6">
        <f>AA35+AB31</f>
        <v>708.26280576090301</v>
      </c>
      <c r="AC35" s="6">
        <f t="shared" ref="AC35:AL35" si="26">AB35+AC31</f>
        <v>745.06303370010301</v>
      </c>
      <c r="AD35" s="6">
        <f t="shared" si="26"/>
        <v>781.863261639303</v>
      </c>
      <c r="AE35" s="6">
        <f t="shared" si="26"/>
        <v>818.663489578503</v>
      </c>
      <c r="AF35" s="6">
        <f t="shared" si="26"/>
        <v>855.463717517703</v>
      </c>
      <c r="AG35" s="6">
        <f t="shared" si="26"/>
        <v>892.263945456903</v>
      </c>
      <c r="AH35" s="6">
        <f t="shared" si="26"/>
        <v>929.064173396103</v>
      </c>
      <c r="AI35" s="6">
        <f t="shared" si="26"/>
        <v>965.864401335303</v>
      </c>
      <c r="AJ35" s="6">
        <f t="shared" si="26"/>
        <v>1002.664629274503</v>
      </c>
      <c r="AK35" s="6">
        <f t="shared" si="26"/>
        <v>1039.464857213703</v>
      </c>
      <c r="AL35" s="6">
        <f t="shared" si="26"/>
        <v>1076.2650851529029</v>
      </c>
      <c r="AM35" s="6">
        <f t="shared" ref="AM35:AX35" si="27">AL35+AM34</f>
        <v>1105.3014218389653</v>
      </c>
      <c r="AN35" s="6">
        <f t="shared" si="27"/>
        <v>1131.9035746112261</v>
      </c>
      <c r="AO35" s="6">
        <f t="shared" si="27"/>
        <v>1155.8107380503493</v>
      </c>
      <c r="AP35" s="6">
        <f t="shared" si="27"/>
        <v>1177.1098472961137</v>
      </c>
      <c r="AQ35" s="6">
        <f t="shared" si="27"/>
        <v>1195.7139672087405</v>
      </c>
      <c r="AR35" s="6">
        <f t="shared" si="27"/>
        <v>1211.7100329280086</v>
      </c>
      <c r="AS35" s="6">
        <f t="shared" si="27"/>
        <v>1225.011109314139</v>
      </c>
      <c r="AT35" s="6">
        <f t="shared" si="27"/>
        <v>1235.617196367132</v>
      </c>
      <c r="AU35" s="6">
        <f t="shared" si="27"/>
        <v>1243.6152292267659</v>
      </c>
      <c r="AV35" s="6">
        <f t="shared" si="27"/>
        <v>1248.9182727532623</v>
      </c>
      <c r="AW35" s="6">
        <f t="shared" si="27"/>
        <v>1251.6132620863998</v>
      </c>
      <c r="AX35" s="6">
        <f t="shared" si="27"/>
        <v>1251.6132620863998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Exhibit 1.1 Mains</vt:lpstr>
      <vt:lpstr>Exhibit 1.2 Services</vt:lpstr>
      <vt:lpstr>Exhibit 1.3</vt:lpstr>
      <vt:lpstr>Exhibit 1.4 COS</vt:lpstr>
      <vt:lpstr>Exhibit 1.5 Rates</vt:lpstr>
      <vt:lpstr>Exhibit 1.6 Typical Bill</vt:lpstr>
      <vt:lpstr>Calc- Mains</vt:lpstr>
      <vt:lpstr>Calc - Services</vt:lpstr>
      <vt:lpstr>Cumulative_Investment</vt:lpstr>
      <vt:lpstr>'Exhibit 1.1 Mains'!Print_Area</vt:lpstr>
      <vt:lpstr>'Exhibit 1.2 Services'!Print_Area</vt:lpstr>
      <vt:lpstr>'Exhibit 1.3'!Print_Area</vt:lpstr>
      <vt:lpstr>'Exhibit 1.4 COS'!Print_Area</vt:lpstr>
      <vt:lpstr>'Exhibit 1.5 Rates'!Print_Area</vt:lpstr>
      <vt:lpstr>'Exhibit 1.6 Typical Bill'!Print_Area</vt:lpstr>
      <vt:lpstr>'Exhibit 1.1 Mains'!Print_Titles</vt:lpstr>
      <vt:lpstr>'Exhibit 1.2 Services'!Print_Titles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2021-12-27T17:56:52Z</cp:lastPrinted>
  <dcterms:created xsi:type="dcterms:W3CDTF">2011-08-18T22:49:59Z</dcterms:created>
  <dcterms:modified xsi:type="dcterms:W3CDTF">2021-12-27T20:11:07Z</dcterms:modified>
</cp:coreProperties>
</file>