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22docs\2205703\"/>
    </mc:Choice>
  </mc:AlternateContent>
  <bookViews>
    <workbookView xWindow="0" yWindow="0" windowWidth="21105" windowHeight="9195"/>
  </bookViews>
  <sheets>
    <sheet name="Ex4.17p1 (GS,NGV)" sheetId="1" r:id="rId1"/>
    <sheet name="Ex4.17p2 (FS,IS)" sheetId="3" r:id="rId2"/>
    <sheet name="Ex4.17p3 (TBF, MT)" sheetId="4" r:id="rId3"/>
    <sheet name="Ex4.17p4 (TS,TSS)" sheetId="6" r:id="rId4"/>
    <sheet name="Ex4.17p5 (TSM,TSL)" sheetId="7" r:id="rId5"/>
  </sheets>
  <externalReferences>
    <externalReference r:id="rId6"/>
  </externalReferences>
  <definedNames>
    <definedName name="Admin_Fee">[1]rates_curr_prop!$B$28:$D$32</definedName>
    <definedName name="Basic_Service_Fee">[1]rates_curr_prop!$B$22:$F$24</definedName>
    <definedName name="Existing_Admin_Primary">[1]rates_curr_prop!$A$120:$C$121</definedName>
    <definedName name="Existing_Admin_Secondary">[1]rates_curr_prop!$A$122:$C$123</definedName>
    <definedName name="Existing_BSF">[1]rates_curr_prop!$A$117:$E$118</definedName>
    <definedName name="Existing_IS">[1]rates_curr_prop!$A$98:$L$99</definedName>
    <definedName name="Existing_TS">[1]rates_curr_prop!$A$82:$L$83</definedName>
    <definedName name="Existing_TS_FirmDemandCharge">[1]rates_curr_prop!$A$130:$C$131</definedName>
    <definedName name="Firm_Demand_Charge">[1]rates_curr_prop!$B$34:$D$40</definedName>
    <definedName name="_xlnm.Print_Area" localSheetId="0">'Ex4.17p1 (GS,NGV)'!$A$1:$R$48</definedName>
    <definedName name="_xlnm.Print_Area" localSheetId="1">'Ex4.17p2 (FS,IS)'!$A$1:$R$47</definedName>
    <definedName name="_xlnm.Print_Area" localSheetId="2">'Ex4.17p3 (TBF, MT)'!$A$1:$R$52</definedName>
    <definedName name="_xlnm.Print_Area" localSheetId="3">'Ex4.17p4 (TS,TSS)'!$A$1:$V$63</definedName>
    <definedName name="_xlnm.Print_Area" localSheetId="4">'Ex4.17p5 (TSM,TSL)'!$A$1:$V$61</definedName>
    <definedName name="Proposed_Admin_Primary">[1]rates_curr_prop!$A$124:$C$125</definedName>
    <definedName name="Proposed_Admin_Secondary">[1]rates_curr_prop!$A$126:$C$127</definedName>
    <definedName name="Proposed_BSF">[1]rates_curr_prop!$A$115:$E$116</definedName>
    <definedName name="Rate_Amounts">[1]rates_curr_prop!$B$2:$M$18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7" l="1"/>
  <c r="I52" i="7"/>
  <c r="I48" i="7"/>
  <c r="K48" i="7" s="1"/>
  <c r="I47" i="7"/>
  <c r="K47" i="7" s="1"/>
  <c r="I46" i="7"/>
  <c r="K46" i="7" s="1"/>
  <c r="I45" i="7"/>
  <c r="K45" i="7" s="1"/>
  <c r="I42" i="7"/>
  <c r="K42" i="7" s="1"/>
  <c r="I41" i="7"/>
  <c r="K41" i="7" s="1"/>
  <c r="I38" i="7"/>
  <c r="O49" i="7"/>
  <c r="Q48" i="7"/>
  <c r="Q47" i="7"/>
  <c r="Q46" i="7"/>
  <c r="Q45" i="7"/>
  <c r="O43" i="7"/>
  <c r="Q42" i="7"/>
  <c r="Q41" i="7"/>
  <c r="O38" i="7"/>
  <c r="I13" i="7"/>
  <c r="K13" i="7" s="1"/>
  <c r="I12" i="7"/>
  <c r="K12" i="7" s="1"/>
  <c r="I19" i="7"/>
  <c r="K19" i="7" s="1"/>
  <c r="I18" i="7"/>
  <c r="K18" i="7" s="1"/>
  <c r="I17" i="7"/>
  <c r="K17" i="7" s="1"/>
  <c r="I16" i="7"/>
  <c r="I27" i="7"/>
  <c r="I23" i="7"/>
  <c r="O9" i="7"/>
  <c r="Q8" i="7"/>
  <c r="Q7" i="7"/>
  <c r="Q13" i="7"/>
  <c r="Q12" i="7"/>
  <c r="O14" i="7"/>
  <c r="Q18" i="7"/>
  <c r="Q17" i="7"/>
  <c r="Q16" i="7"/>
  <c r="Q19" i="7"/>
  <c r="O20" i="7"/>
  <c r="I9" i="7"/>
  <c r="I51" i="6"/>
  <c r="O48" i="6"/>
  <c r="Q47" i="6"/>
  <c r="I47" i="6"/>
  <c r="K47" i="6" s="1"/>
  <c r="Q46" i="6"/>
  <c r="I46" i="6"/>
  <c r="K46" i="6" s="1"/>
  <c r="Q45" i="6"/>
  <c r="I45" i="6"/>
  <c r="K45" i="6" s="1"/>
  <c r="Q44" i="6"/>
  <c r="I44" i="6"/>
  <c r="K44" i="6" s="1"/>
  <c r="O42" i="6"/>
  <c r="Q41" i="6"/>
  <c r="I41" i="6"/>
  <c r="K41" i="6" s="1"/>
  <c r="Q40" i="6"/>
  <c r="I40" i="6"/>
  <c r="K40" i="6" s="1"/>
  <c r="O37" i="6"/>
  <c r="I36" i="6"/>
  <c r="I35" i="6"/>
  <c r="I34" i="6"/>
  <c r="P48" i="4"/>
  <c r="P47" i="4"/>
  <c r="P46" i="4"/>
  <c r="P45" i="4"/>
  <c r="N49" i="4"/>
  <c r="H48" i="4"/>
  <c r="J48" i="4" s="1"/>
  <c r="H47" i="4"/>
  <c r="J47" i="4" s="1"/>
  <c r="H46" i="4"/>
  <c r="J46" i="4" s="1"/>
  <c r="H45" i="4"/>
  <c r="J45" i="4" s="1"/>
  <c r="P42" i="4"/>
  <c r="P41" i="4"/>
  <c r="N43" i="4"/>
  <c r="H42" i="4"/>
  <c r="J42" i="4" s="1"/>
  <c r="H41" i="4"/>
  <c r="J41" i="4" s="1"/>
  <c r="N38" i="4"/>
  <c r="H37" i="4"/>
  <c r="H38" i="4" s="1"/>
  <c r="I27" i="6"/>
  <c r="I23" i="6"/>
  <c r="Q19" i="6"/>
  <c r="Q18" i="6"/>
  <c r="Q17" i="6"/>
  <c r="Q16" i="6"/>
  <c r="O20" i="6"/>
  <c r="I19" i="6"/>
  <c r="K19" i="6" s="1"/>
  <c r="I18" i="6"/>
  <c r="K18" i="6" s="1"/>
  <c r="I17" i="6"/>
  <c r="K17" i="6" s="1"/>
  <c r="I16" i="6"/>
  <c r="K16" i="6" s="1"/>
  <c r="Q13" i="6"/>
  <c r="Q12" i="6"/>
  <c r="O14" i="6"/>
  <c r="I13" i="6"/>
  <c r="K13" i="6" s="1"/>
  <c r="I12" i="6"/>
  <c r="K12" i="6" s="1"/>
  <c r="O9" i="6"/>
  <c r="I8" i="6"/>
  <c r="I7" i="6"/>
  <c r="I6" i="6"/>
  <c r="I5" i="6"/>
  <c r="Q14" i="6" l="1"/>
  <c r="K49" i="7"/>
  <c r="J43" i="4"/>
  <c r="Q43" i="7"/>
  <c r="I9" i="6"/>
  <c r="P49" i="4"/>
  <c r="Q14" i="7"/>
  <c r="K14" i="7"/>
  <c r="I14" i="7"/>
  <c r="K43" i="7"/>
  <c r="Q49" i="7"/>
  <c r="I49" i="7"/>
  <c r="I43" i="7"/>
  <c r="Q20" i="7"/>
  <c r="I20" i="7"/>
  <c r="K16" i="7"/>
  <c r="K20" i="7" s="1"/>
  <c r="I42" i="6"/>
  <c r="K20" i="6"/>
  <c r="I14" i="6"/>
  <c r="I37" i="6"/>
  <c r="K14" i="6"/>
  <c r="I20" i="6"/>
  <c r="Q20" i="6"/>
  <c r="K42" i="6"/>
  <c r="Q42" i="6"/>
  <c r="Q48" i="6"/>
  <c r="K48" i="6"/>
  <c r="I48" i="6"/>
  <c r="P43" i="4"/>
  <c r="J49" i="4"/>
  <c r="H49" i="4"/>
  <c r="H43" i="4"/>
  <c r="J50" i="4" l="1"/>
  <c r="P50" i="4"/>
  <c r="H29" i="4"/>
  <c r="H25" i="4"/>
  <c r="P21" i="4"/>
  <c r="P20" i="4"/>
  <c r="P19" i="4"/>
  <c r="P18" i="4"/>
  <c r="N22" i="4"/>
  <c r="H21" i="4"/>
  <c r="J21" i="4" s="1"/>
  <c r="H20" i="4"/>
  <c r="J20" i="4" s="1"/>
  <c r="H19" i="4"/>
  <c r="J19" i="4" s="1"/>
  <c r="H18" i="4"/>
  <c r="J18" i="4" s="1"/>
  <c r="P15" i="4"/>
  <c r="P14" i="4"/>
  <c r="N16" i="4"/>
  <c r="H15" i="4"/>
  <c r="J15" i="4" s="1"/>
  <c r="H14" i="4"/>
  <c r="N11" i="4"/>
  <c r="H10" i="4"/>
  <c r="H9" i="4"/>
  <c r="H8" i="4"/>
  <c r="H7" i="4"/>
  <c r="P38" i="3"/>
  <c r="P37" i="3"/>
  <c r="P36" i="3"/>
  <c r="P35" i="3"/>
  <c r="N39" i="3"/>
  <c r="H38" i="3"/>
  <c r="J38" i="3" s="1"/>
  <c r="H37" i="3"/>
  <c r="J37" i="3" s="1"/>
  <c r="H36" i="3"/>
  <c r="J36" i="3" s="1"/>
  <c r="H35" i="3"/>
  <c r="N32" i="3"/>
  <c r="H31" i="3"/>
  <c r="H30" i="3"/>
  <c r="H29" i="3"/>
  <c r="P20" i="3"/>
  <c r="P19" i="3"/>
  <c r="P18" i="3"/>
  <c r="P17" i="3"/>
  <c r="N21" i="3"/>
  <c r="H20" i="3"/>
  <c r="J20" i="3" s="1"/>
  <c r="H19" i="3"/>
  <c r="J19" i="3" s="1"/>
  <c r="H18" i="3"/>
  <c r="J18" i="3" s="1"/>
  <c r="H17" i="3"/>
  <c r="J17" i="3" s="1"/>
  <c r="N14" i="3"/>
  <c r="H13" i="3"/>
  <c r="H12" i="3"/>
  <c r="H11" i="3"/>
  <c r="H9" i="3"/>
  <c r="H8" i="3"/>
  <c r="H7" i="3"/>
  <c r="P39" i="3" l="1"/>
  <c r="H39" i="3"/>
  <c r="J35" i="3"/>
  <c r="H32" i="3"/>
  <c r="P16" i="4"/>
  <c r="J22" i="4"/>
  <c r="H16" i="4"/>
  <c r="P22" i="4"/>
  <c r="H11" i="4"/>
  <c r="J14" i="4"/>
  <c r="J16" i="4" s="1"/>
  <c r="H22" i="4"/>
  <c r="J39" i="3"/>
  <c r="P21" i="3"/>
  <c r="J21" i="3"/>
  <c r="H21" i="3"/>
  <c r="H14" i="3"/>
  <c r="N19" i="1" l="1"/>
  <c r="P16" i="1"/>
  <c r="P17" i="1"/>
  <c r="P18" i="1"/>
  <c r="P15" i="1"/>
  <c r="P19" i="1" l="1"/>
  <c r="P21" i="1" s="1"/>
  <c r="J17" i="1"/>
  <c r="J16" i="1"/>
  <c r="N12" i="1"/>
  <c r="J15" i="1"/>
  <c r="H19" i="1"/>
  <c r="J18" i="1"/>
  <c r="J19" i="1" l="1"/>
  <c r="J21" i="1" s="1"/>
  <c r="H12" i="1" l="1"/>
  <c r="K34" i="6" l="1"/>
  <c r="K35" i="6"/>
  <c r="K36" i="6"/>
  <c r="K37" i="7"/>
  <c r="K36" i="7"/>
  <c r="K35" i="7"/>
  <c r="K34" i="7"/>
  <c r="K8" i="7"/>
  <c r="K7" i="7"/>
  <c r="K6" i="7"/>
  <c r="K5" i="7"/>
  <c r="K37" i="6" l="1"/>
  <c r="K38" i="7"/>
  <c r="K9" i="7"/>
  <c r="K23" i="7" l="1"/>
  <c r="K24" i="7" s="1"/>
  <c r="K26" i="7" s="1"/>
  <c r="K51" i="6"/>
  <c r="K52" i="6" s="1"/>
  <c r="K54" i="6" s="1"/>
  <c r="K52" i="7"/>
  <c r="K53" i="7" s="1"/>
  <c r="K55" i="7" s="1"/>
  <c r="K58" i="6" l="1"/>
  <c r="K56" i="6"/>
  <c r="K57" i="7"/>
  <c r="K59" i="7"/>
  <c r="J30" i="1" l="1"/>
  <c r="J32" i="1" s="1"/>
  <c r="J37" i="4" l="1"/>
  <c r="J38" i="4" s="1"/>
  <c r="J51" i="4" s="1"/>
  <c r="J25" i="4"/>
  <c r="J26" i="4" s="1"/>
  <c r="J7" i="4" l="1"/>
  <c r="J9" i="4"/>
  <c r="J8" i="4"/>
  <c r="J10" i="4"/>
  <c r="J11" i="4" l="1"/>
  <c r="J28" i="4" l="1"/>
  <c r="J31" i="4"/>
  <c r="J8" i="1" l="1"/>
  <c r="J11" i="3"/>
  <c r="J30" i="3"/>
  <c r="K6" i="6"/>
  <c r="J10" i="1"/>
  <c r="J7" i="3"/>
  <c r="J12" i="3"/>
  <c r="J31" i="3"/>
  <c r="K7" i="6"/>
  <c r="J11" i="1"/>
  <c r="J13" i="3"/>
  <c r="K8" i="6"/>
  <c r="J7" i="1"/>
  <c r="J29" i="3"/>
  <c r="K5" i="6"/>
  <c r="J8" i="3"/>
  <c r="J9" i="3"/>
  <c r="K23" i="6"/>
  <c r="K24" i="6" s="1"/>
  <c r="K9" i="6" l="1"/>
  <c r="K26" i="6" s="1"/>
  <c r="J14" i="3"/>
  <c r="J23" i="3" s="1"/>
  <c r="J32" i="3"/>
  <c r="J41" i="3" s="1"/>
  <c r="J12" i="1"/>
  <c r="J23" i="1" s="1"/>
  <c r="K30" i="7" l="1"/>
  <c r="K28" i="7"/>
  <c r="K30" i="6" l="1"/>
  <c r="K28" i="6"/>
  <c r="K29" i="6" l="1"/>
  <c r="J30" i="4"/>
  <c r="J24" i="1" l="1"/>
  <c r="J25" i="1" s="1"/>
  <c r="J42" i="3" l="1"/>
  <c r="J43" i="3" s="1"/>
  <c r="J32" i="4"/>
  <c r="J33" i="4" s="1"/>
  <c r="J33" i="1"/>
  <c r="J34" i="1" s="1"/>
  <c r="K29" i="7"/>
  <c r="K57" i="6"/>
  <c r="J24" i="3"/>
  <c r="J25" i="3" s="1"/>
  <c r="P37" i="4" l="1"/>
  <c r="P38" i="4" s="1"/>
  <c r="P51" i="4" s="1"/>
  <c r="P32" i="1" l="1"/>
  <c r="O30" i="1" s="1"/>
  <c r="P30" i="1" s="1"/>
  <c r="K58" i="7"/>
  <c r="P29" i="3" l="1"/>
  <c r="Q23" i="6" l="1"/>
  <c r="Q24" i="6" s="1"/>
  <c r="P7" i="3"/>
  <c r="P7" i="1" l="1"/>
  <c r="Q5" i="6"/>
  <c r="Q52" i="7"/>
  <c r="Q53" i="7" s="1"/>
  <c r="P8" i="3"/>
  <c r="P11" i="3"/>
  <c r="P10" i="1" l="1"/>
  <c r="P8" i="1"/>
  <c r="Q38" i="7"/>
  <c r="Q55" i="7"/>
  <c r="Q57" i="7" s="1"/>
  <c r="Q5" i="7"/>
  <c r="Q23" i="7"/>
  <c r="Q24" i="7" s="1"/>
  <c r="Q9" i="7" s="1"/>
  <c r="Q26" i="7" s="1"/>
  <c r="Q28" i="7" s="1"/>
  <c r="P30" i="3"/>
  <c r="Q34" i="6"/>
  <c r="Q51" i="6"/>
  <c r="Q52" i="6" s="1"/>
  <c r="Q37" i="6" s="1"/>
  <c r="Q54" i="6" s="1"/>
  <c r="Q56" i="6" s="1"/>
  <c r="P31" i="3"/>
  <c r="P12" i="3"/>
  <c r="P9" i="3"/>
  <c r="P11" i="1" l="1"/>
  <c r="P12" i="1" s="1"/>
  <c r="P23" i="1" s="1"/>
  <c r="P25" i="4"/>
  <c r="P26" i="4" s="1"/>
  <c r="Q6" i="6"/>
  <c r="P32" i="3"/>
  <c r="P41" i="3" s="1"/>
  <c r="Q34" i="7"/>
  <c r="P13" i="3" l="1"/>
  <c r="P14" i="3" s="1"/>
  <c r="P23" i="3" s="1"/>
  <c r="Q35" i="6"/>
  <c r="Q7" i="6"/>
  <c r="Q6" i="7"/>
  <c r="Q35" i="7"/>
  <c r="Q36" i="6"/>
  <c r="P7" i="4"/>
  <c r="Q8" i="6" l="1"/>
  <c r="Q9" i="6" s="1"/>
  <c r="Q26" i="6" s="1"/>
  <c r="Q28" i="6" s="1"/>
  <c r="Q36" i="7"/>
  <c r="P8" i="4"/>
  <c r="P9" i="4" l="1"/>
  <c r="Q37" i="7"/>
  <c r="P10" i="4" l="1"/>
  <c r="P11" i="4" s="1"/>
  <c r="P31" i="4" l="1"/>
  <c r="P28" i="4"/>
  <c r="P30" i="4" s="1"/>
</calcChain>
</file>

<file path=xl/sharedStrings.xml><?xml version="1.0" encoding="utf-8"?>
<sst xmlns="http://schemas.openxmlformats.org/spreadsheetml/2006/main" count="514" uniqueCount="85">
  <si>
    <t>Utah GS</t>
  </si>
  <si>
    <t>From Revenue Run Output</t>
  </si>
  <si>
    <t>@ Full Cost of Service</t>
  </si>
  <si>
    <t>Volumetric Rates</t>
  </si>
  <si>
    <t>Dth</t>
  </si>
  <si>
    <t>Curr. Rate</t>
  </si>
  <si>
    <t>Revenues</t>
  </si>
  <si>
    <t>Prop. Rate</t>
  </si>
  <si>
    <t>Winter</t>
  </si>
  <si>
    <t>Block 1</t>
  </si>
  <si>
    <t>First</t>
  </si>
  <si>
    <t>Block 2</t>
  </si>
  <si>
    <t>Over</t>
  </si>
  <si>
    <t>Summer</t>
  </si>
  <si>
    <t>Total Volumetric Charges</t>
  </si>
  <si>
    <t>Fixed Charges</t>
  </si>
  <si>
    <t>Meter Count</t>
  </si>
  <si>
    <t>BSF #1</t>
  </si>
  <si>
    <t>BSF #2</t>
  </si>
  <si>
    <t>BSF #3</t>
  </si>
  <si>
    <t>BSF #4</t>
  </si>
  <si>
    <t>Total BSF Revenues</t>
  </si>
  <si>
    <t>Total Fixed Charges</t>
  </si>
  <si>
    <t>GS Total Revenue Collection</t>
  </si>
  <si>
    <t>Lakeside Revenue Allocation</t>
  </si>
  <si>
    <t>Utah GS Total</t>
  </si>
  <si>
    <t>Utah NGV</t>
  </si>
  <si>
    <t>All Usage</t>
  </si>
  <si>
    <t>NGV Total Revenue Collection</t>
  </si>
  <si>
    <t>Utah NGV 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</si>
  <si>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</si>
  <si>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</si>
  <si>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</si>
  <si>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</si>
  <si>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</si>
  <si>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</si>
  <si>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</si>
  <si>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</si>
  <si>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</si>
  <si>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Utah FS</t>
  </si>
  <si>
    <t xml:space="preserve">First </t>
  </si>
  <si>
    <t>Next</t>
  </si>
  <si>
    <t xml:space="preserve">Next </t>
  </si>
  <si>
    <t>Block 3</t>
  </si>
  <si>
    <t xml:space="preserve">Over </t>
  </si>
  <si>
    <t>BSF</t>
  </si>
  <si>
    <t>FS Total Revenue Collection</t>
  </si>
  <si>
    <t>Utah FS Total</t>
  </si>
  <si>
    <t>Utah IS</t>
  </si>
  <si>
    <t>IS Total Revenue Collection</t>
  </si>
  <si>
    <t>Utah IS Total</t>
  </si>
  <si>
    <t>Utah TBF</t>
  </si>
  <si>
    <t>Block 4</t>
  </si>
  <si>
    <t>Fixed Fee Count</t>
  </si>
  <si>
    <t>Administrative Fee</t>
  </si>
  <si>
    <t>Primary</t>
  </si>
  <si>
    <t>Secondary</t>
  </si>
  <si>
    <t xml:space="preserve">Annual Demand Charges per Dth of </t>
  </si>
  <si>
    <t>Contract Dth</t>
  </si>
  <si>
    <t>Rate</t>
  </si>
  <si>
    <t>Contract Firm Transportation</t>
  </si>
  <si>
    <t>Utah TBF SubTotal</t>
  </si>
  <si>
    <t>Utah TBF Lakeside</t>
  </si>
  <si>
    <t>Utah TBF Total</t>
  </si>
  <si>
    <t>TBF Total Revenue Collection</t>
  </si>
  <si>
    <t>Fixed Fee Cost</t>
  </si>
  <si>
    <t>Utah TS Total</t>
  </si>
  <si>
    <t>Utah MT Total</t>
  </si>
  <si>
    <t>TS Total Revenue Collection</t>
  </si>
  <si>
    <t>Utah TS and MT Total</t>
  </si>
  <si>
    <t>Utah TSS</t>
  </si>
  <si>
    <t>Utah TSS Total</t>
  </si>
  <si>
    <t>TSS Total Revenue Collection</t>
  </si>
  <si>
    <t>Utah TSS and MT Total</t>
  </si>
  <si>
    <t>Utah MT</t>
  </si>
  <si>
    <t>Utah TSM</t>
  </si>
  <si>
    <t>Utah TSM Total</t>
  </si>
  <si>
    <t>TSM Total Revenue Collection</t>
  </si>
  <si>
    <t>Utah TSM and MT Total</t>
  </si>
  <si>
    <t>Utah TSL</t>
  </si>
  <si>
    <t>Utah TSL Total</t>
  </si>
  <si>
    <t>TSL Total Revenue Collection</t>
  </si>
  <si>
    <t>Utah TS 1/</t>
  </si>
  <si>
    <t>1/ Rates for the current TS class are shown for illustrative purposes only.  These rates are not being proposed.</t>
  </si>
  <si>
    <t>Utah TSL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</si>
</sst>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#,##0.0000_);\(#,##0.0000\)"/>
    <numFmt numFmtId="166" formatCode="&quot;$&quot;#,##0.00000_);\(&quot;$&quot;#,##0.00000\)"/>
    <numFmt numFmtId="167" formatCode="0.0000000_)"/>
    <numFmt numFmtId="168" formatCode="_(* #,##0_);_(* \(#,##0\);_(* &quot;-&quot;??_);_(@_)"/>
    <numFmt numFmtId="169" formatCode="_(* #,##0.00000_);_(* \(#,##0.00000\);_(* &quot;-&quot;??_);_(@_)"/>
    <numFmt numFmtId="170" formatCode="0.000"/>
    <numFmt numFmtId="171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1" xfId="0" quotePrefix="1" applyFont="1" applyBorder="1" applyAlignment="1">
      <alignment horizontal="left"/>
    </xf>
    <xf numFmtId="0" fontId="3" fillId="0" borderId="2" xfId="0" applyFont="1" applyBorder="1"/>
    <xf numFmtId="3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3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3" fillId="0" borderId="0" xfId="0" applyFont="1"/>
    <xf numFmtId="0" fontId="2" fillId="0" borderId="6" xfId="0" quotePrefix="1" applyFont="1" applyBorder="1" applyAlignment="1">
      <alignment horizontal="center"/>
    </xf>
    <xf numFmtId="0" fontId="3" fillId="0" borderId="7" xfId="0" quotePrefix="1" applyFont="1" applyBorder="1" applyAlignment="1">
      <alignment horizontal="left"/>
    </xf>
    <xf numFmtId="37" fontId="3" fillId="0" borderId="0" xfId="0" applyNumberFormat="1" applyFont="1"/>
    <xf numFmtId="37" fontId="3" fillId="0" borderId="8" xfId="0" applyNumberFormat="1" applyFont="1" applyBorder="1"/>
    <xf numFmtId="0" fontId="3" fillId="0" borderId="7" xfId="0" applyFont="1" applyBorder="1"/>
    <xf numFmtId="0" fontId="2" fillId="0" borderId="7" xfId="0" quotePrefix="1" applyFont="1" applyBorder="1" applyAlignment="1">
      <alignment horizontal="left"/>
    </xf>
    <xf numFmtId="37" fontId="3" fillId="0" borderId="10" xfId="0" applyNumberFormat="1" applyFont="1" applyBorder="1"/>
    <xf numFmtId="37" fontId="3" fillId="0" borderId="11" xfId="0" applyNumberFormat="1" applyFont="1" applyBorder="1"/>
    <xf numFmtId="0" fontId="2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8" fontId="3" fillId="0" borderId="0" xfId="1" applyNumberFormat="1" applyFont="1" applyFill="1" applyBorder="1" applyProtection="1"/>
    <xf numFmtId="37" fontId="3" fillId="0" borderId="5" xfId="0" applyNumberFormat="1" applyFont="1" applyBorder="1"/>
    <xf numFmtId="37" fontId="3" fillId="0" borderId="6" xfId="0" applyNumberFormat="1" applyFont="1" applyBorder="1"/>
    <xf numFmtId="0" fontId="2" fillId="0" borderId="7" xfId="0" applyFont="1" applyBorder="1"/>
    <xf numFmtId="5" fontId="3" fillId="0" borderId="12" xfId="0" applyNumberFormat="1" applyFont="1" applyBorder="1"/>
    <xf numFmtId="5" fontId="3" fillId="0" borderId="13" xfId="0" applyNumberFormat="1" applyFont="1" applyBorder="1"/>
    <xf numFmtId="5" fontId="3" fillId="0" borderId="14" xfId="0" applyNumberFormat="1" applyFont="1" applyBorder="1"/>
    <xf numFmtId="5" fontId="3" fillId="0" borderId="8" xfId="0" applyNumberFormat="1" applyFont="1" applyBorder="1"/>
    <xf numFmtId="37" fontId="3" fillId="0" borderId="9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center"/>
    </xf>
    <xf numFmtId="0" fontId="2" fillId="0" borderId="0" xfId="0" applyFont="1"/>
    <xf numFmtId="0" fontId="3" fillId="0" borderId="7" xfId="0" applyFont="1" applyBorder="1" applyAlignment="1">
      <alignment horizontal="left"/>
    </xf>
    <xf numFmtId="37" fontId="3" fillId="0" borderId="9" xfId="0" applyNumberFormat="1" applyFont="1" applyBorder="1"/>
    <xf numFmtId="37" fontId="3" fillId="0" borderId="0" xfId="0" applyNumberFormat="1" applyFont="1" applyBorder="1"/>
    <xf numFmtId="0" fontId="3" fillId="0" borderId="0" xfId="0" applyFont="1" applyBorder="1"/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>
      <alignment horizontal="center"/>
    </xf>
    <xf numFmtId="165" fontId="3" fillId="0" borderId="0" xfId="0" applyNumberFormat="1" applyFont="1" applyBorder="1"/>
    <xf numFmtId="3" fontId="3" fillId="0" borderId="0" xfId="0" quotePrefix="1" applyNumberFormat="1" applyFont="1" applyBorder="1" applyAlignment="1">
      <alignment horizontal="center"/>
    </xf>
    <xf numFmtId="164" fontId="3" fillId="0" borderId="0" xfId="0" applyNumberFormat="1" applyFont="1" applyBorder="1"/>
    <xf numFmtId="166" fontId="3" fillId="0" borderId="0" xfId="0" applyNumberFormat="1" applyFont="1" applyBorder="1"/>
    <xf numFmtId="167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/>
    <xf numFmtId="5" fontId="3" fillId="0" borderId="0" xfId="0" applyNumberFormat="1" applyFont="1" applyBorder="1"/>
    <xf numFmtId="37" fontId="4" fillId="0" borderId="8" xfId="0" applyNumberFormat="1" applyFont="1" applyBorder="1"/>
    <xf numFmtId="37" fontId="4" fillId="0" borderId="0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5" fontId="3" fillId="0" borderId="5" xfId="0" applyNumberFormat="1" applyFont="1" applyBorder="1"/>
    <xf numFmtId="7" fontId="3" fillId="0" borderId="0" xfId="0" applyNumberFormat="1" applyFont="1" applyBorder="1"/>
    <xf numFmtId="0" fontId="2" fillId="0" borderId="4" xfId="0" quotePrefix="1" applyFont="1" applyBorder="1" applyAlignment="1">
      <alignment horizontal="left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7" xfId="0" quotePrefix="1" applyFont="1" applyBorder="1" applyAlignment="1"/>
    <xf numFmtId="0" fontId="2" fillId="0" borderId="0" xfId="0" quotePrefix="1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/>
    <xf numFmtId="169" fontId="3" fillId="0" borderId="0" xfId="1" applyNumberFormat="1" applyFont="1" applyFill="1" applyBorder="1" applyProtection="1"/>
    <xf numFmtId="37" fontId="3" fillId="0" borderId="0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/>
    <xf numFmtId="0" fontId="0" fillId="0" borderId="2" xfId="0" applyBorder="1"/>
    <xf numFmtId="166" fontId="3" fillId="0" borderId="10" xfId="0" applyNumberFormat="1" applyFont="1" applyBorder="1"/>
    <xf numFmtId="0" fontId="2" fillId="0" borderId="7" xfId="0" applyFont="1" applyBorder="1" applyAlignment="1">
      <alignment horizontal="left"/>
    </xf>
    <xf numFmtId="39" fontId="3" fillId="0" borderId="9" xfId="0" applyNumberFormat="1" applyFont="1" applyBorder="1"/>
    <xf numFmtId="37" fontId="3" fillId="0" borderId="15" xfId="0" applyNumberFormat="1" applyFont="1" applyBorder="1"/>
    <xf numFmtId="0" fontId="2" fillId="0" borderId="8" xfId="0" quotePrefix="1" applyFont="1" applyBorder="1" applyAlignment="1">
      <alignment horizontal="center"/>
    </xf>
    <xf numFmtId="5" fontId="3" fillId="0" borderId="15" xfId="0" applyNumberFormat="1" applyFont="1" applyBorder="1"/>
    <xf numFmtId="5" fontId="3" fillId="0" borderId="9" xfId="0" applyNumberFormat="1" applyFont="1" applyBorder="1"/>
    <xf numFmtId="169" fontId="3" fillId="0" borderId="0" xfId="1" quotePrefix="1" applyNumberFormat="1" applyFont="1" applyFill="1" applyBorder="1" applyProtection="1"/>
    <xf numFmtId="168" fontId="3" fillId="0" borderId="0" xfId="1" quotePrefix="1" applyNumberFormat="1" applyFont="1" applyFill="1" applyBorder="1" applyProtection="1"/>
    <xf numFmtId="39" fontId="3" fillId="0" borderId="10" xfId="0" applyNumberFormat="1" applyFont="1" applyBorder="1"/>
    <xf numFmtId="171" fontId="3" fillId="0" borderId="10" xfId="0" applyNumberFormat="1" applyFont="1" applyBorder="1"/>
    <xf numFmtId="171" fontId="3" fillId="0" borderId="8" xfId="0" applyNumberFormat="1" applyFont="1" applyBorder="1"/>
    <xf numFmtId="42" fontId="3" fillId="0" borderId="9" xfId="0" applyNumberFormat="1" applyFont="1" applyBorder="1"/>
    <xf numFmtId="170" fontId="3" fillId="0" borderId="0" xfId="0" applyNumberFormat="1" applyFont="1" applyBorder="1"/>
    <xf numFmtId="39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37" fontId="3" fillId="0" borderId="3" xfId="0" applyNumberFormat="1" applyFont="1" applyBorder="1"/>
    <xf numFmtId="169" fontId="3" fillId="0" borderId="7" xfId="1" quotePrefix="1" applyNumberFormat="1" applyFont="1" applyFill="1" applyBorder="1" applyProtection="1"/>
    <xf numFmtId="37" fontId="3" fillId="0" borderId="16" xfId="0" applyNumberFormat="1" applyFont="1" applyBorder="1"/>
    <xf numFmtId="37" fontId="3" fillId="0" borderId="17" xfId="0" applyNumberFormat="1" applyFont="1" applyBorder="1"/>
    <xf numFmtId="5" fontId="2" fillId="0" borderId="5" xfId="0" applyNumberFormat="1" applyFont="1" applyBorder="1"/>
    <xf numFmtId="37" fontId="2" fillId="0" borderId="6" xfId="0" applyNumberFormat="1" applyFont="1" applyBorder="1"/>
    <xf numFmtId="0" fontId="5" fillId="0" borderId="0" xfId="0" applyFont="1"/>
    <xf numFmtId="0" fontId="2" fillId="0" borderId="2" xfId="0" applyFont="1" applyBorder="1" applyAlignment="1">
      <alignment horizontal="center"/>
    </xf>
    <xf numFmtId="43" fontId="3" fillId="0" borderId="0" xfId="1" applyNumberFormat="1" applyFont="1" applyFill="1" applyBorder="1" applyProtection="1"/>
    <xf numFmtId="168" fontId="3" fillId="0" borderId="9" xfId="1" applyNumberFormat="1" applyFont="1" applyFill="1" applyBorder="1" applyProtection="1"/>
    <xf numFmtId="43" fontId="3" fillId="0" borderId="9" xfId="1" applyNumberFormat="1" applyFont="1" applyFill="1" applyBorder="1" applyProtection="1"/>
    <xf numFmtId="37" fontId="3" fillId="0" borderId="15" xfId="0" applyNumberFormat="1" applyFont="1" applyBorder="1" applyAlignment="1">
      <alignment horizontal="right"/>
    </xf>
    <xf numFmtId="164" fontId="3" fillId="0" borderId="9" xfId="0" applyNumberFormat="1" applyFont="1" applyBorder="1"/>
    <xf numFmtId="43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171" fontId="3" fillId="0" borderId="5" xfId="2" applyNumberFormat="1" applyFont="1" applyFill="1" applyBorder="1" applyAlignment="1" applyProtection="1"/>
    <xf numFmtId="42" fontId="3" fillId="0" borderId="15" xfId="0" applyNumberFormat="1" applyFont="1" applyBorder="1"/>
    <xf numFmtId="171" fontId="3" fillId="0" borderId="6" xfId="2" applyNumberFormat="1" applyFont="1" applyFill="1" applyBorder="1" applyAlignment="1" applyProtection="1"/>
    <xf numFmtId="0" fontId="2" fillId="0" borderId="0" xfId="0" applyFont="1" applyFill="1" applyBorder="1" applyAlignment="1">
      <alignment horizontal="left"/>
    </xf>
    <xf numFmtId="168" fontId="3" fillId="0" borderId="0" xfId="1" applyNumberFormat="1" applyFont="1" applyBorder="1"/>
    <xf numFmtId="168" fontId="3" fillId="0" borderId="9" xfId="1" applyNumberFormat="1" applyFont="1" applyBorder="1"/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38</xdr:row>
      <xdr:rowOff>57150</xdr:rowOff>
    </xdr:from>
    <xdr:to>
      <xdr:col>18</xdr:col>
      <xdr:colOff>47069</xdr:colOff>
      <xdr:row>48</xdr:row>
      <xdr:rowOff>38102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5B432C57-DDCA-49BC-8CEC-B862D3A02147}"/>
            </a:ext>
          </a:extLst>
        </xdr:cNvPr>
        <xdr:cNvSpPr txBox="1"/>
      </xdr:nvSpPr>
      <xdr:spPr>
        <a:xfrm rot="5400000">
          <a:off x="10286721" y="8115579"/>
          <a:ext cx="1885952" cy="1237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Dominion Energy Utah</a:t>
          </a:r>
        </a:p>
        <a:p>
          <a:pPr algn="r"/>
          <a:r>
            <a:rPr lang="en-US" sz="1400"/>
            <a:t>Docket No. 22-057-03</a:t>
          </a:r>
        </a:p>
        <a:p>
          <a:pPr algn="r"/>
          <a:r>
            <a:rPr lang="en-US" sz="1400"/>
            <a:t>DEU Exhibit 4.17</a:t>
          </a:r>
        </a:p>
        <a:p>
          <a:pPr algn="r"/>
          <a:r>
            <a:rPr lang="en-US" sz="1400"/>
            <a:t>Page 1 of 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685800</xdr:colOff>
      <xdr:row>37</xdr:row>
      <xdr:rowOff>85726</xdr:rowOff>
    </xdr:from>
    <xdr:to>
      <xdr:col>17</xdr:col>
      <xdr:colOff>599519</xdr:colOff>
      <xdr:row>47</xdr:row>
      <xdr:rowOff>57153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24D48FD4-8146-48DF-820C-5E93F0698D96}"/>
            </a:ext>
          </a:extLst>
        </xdr:cNvPr>
        <xdr:cNvSpPr txBox="1"/>
      </xdr:nvSpPr>
      <xdr:spPr>
        <a:xfrm rot="5400000">
          <a:off x="9934296" y="7934605"/>
          <a:ext cx="1905002" cy="1237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Dominion Energy Utah</a:t>
          </a:r>
        </a:p>
        <a:p>
          <a:pPr algn="r"/>
          <a:r>
            <a:rPr lang="en-US" sz="1400"/>
            <a:t>Docket No. 22-057-03</a:t>
          </a:r>
        </a:p>
        <a:p>
          <a:pPr algn="r"/>
          <a:r>
            <a:rPr lang="en-US" sz="1400"/>
            <a:t>DEU Exhibit 4.17</a:t>
          </a:r>
        </a:p>
        <a:p>
          <a:pPr algn="r"/>
          <a:r>
            <a:rPr lang="en-US" sz="1400"/>
            <a:t>Page 2 of 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42</xdr:row>
      <xdr:rowOff>76208</xdr:rowOff>
    </xdr:from>
    <xdr:to>
      <xdr:col>18</xdr:col>
      <xdr:colOff>18494</xdr:colOff>
      <xdr:row>52</xdr:row>
      <xdr:rowOff>38104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94F12160-0E1E-48D2-A7DA-0147655F1C1D}"/>
            </a:ext>
          </a:extLst>
        </xdr:cNvPr>
        <xdr:cNvSpPr txBox="1"/>
      </xdr:nvSpPr>
      <xdr:spPr>
        <a:xfrm rot="5400000">
          <a:off x="10491511" y="8501347"/>
          <a:ext cx="1895471" cy="1237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Dominion Energy Utah</a:t>
          </a:r>
        </a:p>
        <a:p>
          <a:pPr algn="r"/>
          <a:r>
            <a:rPr lang="en-US" sz="1400"/>
            <a:t>Docket No. 22-057-03</a:t>
          </a:r>
        </a:p>
        <a:p>
          <a:pPr algn="r"/>
          <a:r>
            <a:rPr lang="en-US" sz="1400"/>
            <a:t>DEU Exhibit 4.17</a:t>
          </a:r>
        </a:p>
        <a:p>
          <a:pPr algn="r"/>
          <a:r>
            <a:rPr lang="en-US" sz="1400"/>
            <a:t>Page 3 of 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507207</xdr:colOff>
      <xdr:row>50</xdr:row>
      <xdr:rowOff>80966</xdr:rowOff>
    </xdr:from>
    <xdr:to>
      <xdr:col>22</xdr:col>
      <xdr:colOff>20876</xdr:colOff>
      <xdr:row>63</xdr:row>
      <xdr:rowOff>54774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940B38AD-2E31-45CC-9098-82B1C9BB9E0B}"/>
            </a:ext>
          </a:extLst>
        </xdr:cNvPr>
        <xdr:cNvSpPr txBox="1"/>
      </xdr:nvSpPr>
      <xdr:spPr>
        <a:xfrm rot="5400000">
          <a:off x="12552481" y="10312286"/>
          <a:ext cx="2486027" cy="133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800"/>
            <a:t>Dominion Energy Utah</a:t>
          </a:r>
        </a:p>
        <a:p>
          <a:pPr algn="r"/>
          <a:r>
            <a:rPr lang="en-US" sz="1800"/>
            <a:t>Docket No. 22-057-03</a:t>
          </a:r>
        </a:p>
        <a:p>
          <a:pPr algn="r"/>
          <a:r>
            <a:rPr lang="en-US" sz="1800"/>
            <a:t>DEU Exhibit 4.17</a:t>
          </a:r>
        </a:p>
        <a:p>
          <a:pPr algn="r"/>
          <a:r>
            <a:rPr lang="en-US" sz="1800"/>
            <a:t>Page 4 of 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9523</xdr:colOff>
      <xdr:row>48</xdr:row>
      <xdr:rowOff>38100</xdr:rowOff>
    </xdr:from>
    <xdr:to>
      <xdr:col>22</xdr:col>
      <xdr:colOff>28018</xdr:colOff>
      <xdr:row>61</xdr:row>
      <xdr:rowOff>76205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9F91B335-6DB0-461E-AD60-137BBEA427FC}"/>
            </a:ext>
          </a:extLst>
        </xdr:cNvPr>
        <xdr:cNvSpPr txBox="1"/>
      </xdr:nvSpPr>
      <xdr:spPr>
        <a:xfrm rot="5400000">
          <a:off x="12391743" y="9915805"/>
          <a:ext cx="2743205" cy="1847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800"/>
            <a:t>Dominion Energy Utah</a:t>
          </a:r>
        </a:p>
        <a:p>
          <a:pPr algn="r"/>
          <a:r>
            <a:rPr lang="en-US" sz="1800"/>
            <a:t>Docket No. 22-057-03</a:t>
          </a:r>
        </a:p>
        <a:p>
          <a:pPr algn="r"/>
          <a:r>
            <a:rPr lang="en-US" sz="1800"/>
            <a:t>DEU Exhibit 4.17</a:t>
          </a:r>
        </a:p>
        <a:p>
          <a:pPr algn="r"/>
          <a:r>
            <a:rPr lang="en-US" sz="1800"/>
            <a:t>Page 5 of 5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22%20Rate%20Case%20Utah\2022%20Utah%20Rate%20Case%20Model%20(CLEAN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Adjustments"/>
      <sheetName val="ROR-Model"/>
      <sheetName val="Summaries"/>
      <sheetName val="PROJECTED EXPENSES"/>
      <sheetName val="EXPENSES"/>
      <sheetName val="Rate Base"/>
      <sheetName val="RB FORECAST"/>
      <sheetName val="108_111 Projection"/>
      <sheetName val="101_106 PROJECTION"/>
      <sheetName val="PROJECTED ACC 252 (CONTR)"/>
      <sheetName val="190_255_282 FORECAST"/>
      <sheetName val="EDIT Amort Adj"/>
      <sheetName val="LNG O&amp;M"/>
      <sheetName val="LNG Prepayments"/>
      <sheetName val="Labor Forecast"/>
      <sheetName val="ENERGY EFFICIENCY &amp; STEP ADJ"/>
      <sheetName val="PIPELINE INTEGRITY"/>
      <sheetName val="Other Taxes"/>
      <sheetName val="Taxes"/>
      <sheetName val="Und Stor"/>
      <sheetName val="Wexpro"/>
      <sheetName val="RESERVE ACCRUAL"/>
      <sheetName val="Donations"/>
      <sheetName val="Advertising"/>
      <sheetName val="Incentive"/>
      <sheetName val="Sporting Events"/>
      <sheetName val="Revenue"/>
      <sheetName val="Booked DEC 2021 Rev"/>
      <sheetName val="YE Projected Rev 2022"/>
      <sheetName val="YE Proj Rev 2022 with CET "/>
      <sheetName val="AVG Projected Rev 2022 adj HDD"/>
      <sheetName val="YE Projected Rev 2023"/>
      <sheetName val="AVG Proj Rev 2022"/>
      <sheetName val="AVG Proj Rev 2022 with CET"/>
      <sheetName val="AVG Projected Rev 2023 adj HDD"/>
      <sheetName val="YE Proj Rev 2023 with CET"/>
      <sheetName val="AVG Proj Rev 2023"/>
      <sheetName val="AVG Proj Rev 2023 with CET"/>
      <sheetName val="Other Rev"/>
      <sheetName val="Utah Bad Debt"/>
      <sheetName val="Capital Str"/>
      <sheetName val="Utah Allocation"/>
      <sheetName val="ALLOCATIONS&amp;PRETAX"/>
      <sheetName val="Envision Tomorrow Savings"/>
      <sheetName val="RNGT -NGV Volume"/>
      <sheetName val="Pension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Labor Adjustment ROO"/>
      <sheetName val="COS Input"/>
      <sheetName val="Dist Plant"/>
      <sheetName val="COS Alloc Factors TS Split"/>
      <sheetName val="COS Alloc Factors TS TTL"/>
      <sheetName val="COS Detail TS Split"/>
      <sheetName val="COS Detail TS TTL"/>
      <sheetName val="Allocator Sum"/>
      <sheetName val=" COS Pie"/>
      <sheetName val="Taxes by Class"/>
      <sheetName val="COS Sum TS Split"/>
      <sheetName val="COS Sum TS TTL"/>
      <sheetName val="Classification"/>
      <sheetName val="Rev Neutral"/>
      <sheetName val="Rules"/>
      <sheetName val="Rate Design"/>
      <sheetName val="Minimum DNG Rates"/>
      <sheetName val="Sum-Win &amp; Demand Charge"/>
      <sheetName val="rates_curr_prop"/>
      <sheetName val="Proposed Block Out"/>
      <sheetName val="Current TS Blockout"/>
      <sheetName val="Typical GS 80 Dths"/>
      <sheetName val="Typical GS 70 Dths"/>
      <sheetName val="Typical TS Small"/>
      <sheetName val="Typical TS Med"/>
      <sheetName val="Typical TS Large"/>
      <sheetName val="CET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3">
          <cell r="E3">
            <v>64244291</v>
          </cell>
        </row>
      </sheetData>
      <sheetData sheetId="86"/>
      <sheetData sheetId="87"/>
      <sheetData sheetId="88">
        <row r="2">
          <cell r="B2" t="str">
            <v>Scenario</v>
          </cell>
          <cell r="C2" t="str">
            <v>Block 1 (dth)</v>
          </cell>
          <cell r="D2" t="str">
            <v>Block 2 (dth)</v>
          </cell>
          <cell r="E2" t="str">
            <v>Block 3 (dth)</v>
          </cell>
          <cell r="F2" t="str">
            <v>Block 4 (dth)</v>
          </cell>
          <cell r="G2" t="str">
            <v>block 1 rate $</v>
          </cell>
          <cell r="H2" t="str">
            <v>block 2 rate $</v>
          </cell>
          <cell r="I2" t="str">
            <v>block 3 rate $</v>
          </cell>
          <cell r="J2" t="str">
            <v>block 4 rate $</v>
          </cell>
          <cell r="K2" t="str">
            <v>block 1 summer rate $</v>
          </cell>
          <cell r="L2" t="str">
            <v>block 2 summer rate $</v>
          </cell>
          <cell r="M2" t="str">
            <v>block 3 summer rate $</v>
          </cell>
        </row>
        <row r="3">
          <cell r="B3" t="str">
            <v>Proposed GS</v>
          </cell>
          <cell r="C3" t="str">
            <v>First 45</v>
          </cell>
          <cell r="D3" t="str">
            <v>Over 45</v>
          </cell>
          <cell r="E3" t="str">
            <v>N/A</v>
          </cell>
          <cell r="F3" t="str">
            <v>N/A</v>
          </cell>
          <cell r="G3">
            <v>3.440935005156426</v>
          </cell>
          <cell r="H3">
            <v>2.1727450051564254</v>
          </cell>
          <cell r="K3">
            <v>2.7843322839309197</v>
          </cell>
          <cell r="L3">
            <v>1.5161422839309193</v>
          </cell>
        </row>
        <row r="4">
          <cell r="B4" t="str">
            <v>Existing GS</v>
          </cell>
          <cell r="C4" t="str">
            <v>First 45</v>
          </cell>
          <cell r="D4" t="str">
            <v>Over 45</v>
          </cell>
          <cell r="E4" t="str">
            <v>N/A</v>
          </cell>
          <cell r="F4" t="str">
            <v>N/A</v>
          </cell>
          <cell r="G4">
            <v>2.7936900000000002</v>
          </cell>
          <cell r="H4">
            <v>1.5254999999999999</v>
          </cell>
          <cell r="K4">
            <v>2.0534500000000002</v>
          </cell>
          <cell r="L4">
            <v>0.78525</v>
          </cell>
        </row>
        <row r="5">
          <cell r="B5" t="str">
            <v>Proposed FS</v>
          </cell>
          <cell r="C5" t="str">
            <v>First 200</v>
          </cell>
          <cell r="D5" t="str">
            <v>Next 1,800</v>
          </cell>
          <cell r="E5" t="str">
            <v>Over 2,000</v>
          </cell>
          <cell r="F5" t="str">
            <v>N/A</v>
          </cell>
          <cell r="G5">
            <v>2.1101584342296702</v>
          </cell>
          <cell r="H5">
            <v>1.5885584342296704</v>
          </cell>
          <cell r="I5">
            <v>1.0394884342296704</v>
          </cell>
          <cell r="K5">
            <v>1.5860551087789814</v>
          </cell>
          <cell r="L5">
            <v>1.0644551087789815</v>
          </cell>
          <cell r="M5">
            <v>0.51538510877898147</v>
          </cell>
        </row>
        <row r="6">
          <cell r="B6" t="str">
            <v>Existing FS</v>
          </cell>
          <cell r="C6" t="str">
            <v>First 200</v>
          </cell>
          <cell r="D6" t="str">
            <v>Next 1,800</v>
          </cell>
          <cell r="E6" t="str">
            <v>Over 2,000</v>
          </cell>
          <cell r="F6" t="str">
            <v>N/A</v>
          </cell>
          <cell r="G6">
            <v>1.64625</v>
          </cell>
          <cell r="H6">
            <v>1.1246500000000001</v>
          </cell>
          <cell r="I6">
            <v>0.57558000000000009</v>
          </cell>
          <cell r="K6">
            <v>1.0886200000000001</v>
          </cell>
          <cell r="L6">
            <v>0.56703000000000003</v>
          </cell>
          <cell r="M6">
            <v>1.7950000000000004E-2</v>
          </cell>
        </row>
        <row r="7">
          <cell r="B7" t="str">
            <v>Proposed TSS</v>
          </cell>
          <cell r="C7" t="str">
            <v>First 200</v>
          </cell>
          <cell r="D7" t="str">
            <v>Next 1,800</v>
          </cell>
          <cell r="E7" t="str">
            <v>Next 2,000</v>
          </cell>
          <cell r="F7" t="str">
            <v>N/A</v>
          </cell>
          <cell r="G7">
            <v>1.2754422253002016</v>
          </cell>
          <cell r="H7">
            <v>0.75384222530020173</v>
          </cell>
          <cell r="I7">
            <v>0.20477222530020167</v>
          </cell>
        </row>
        <row r="8">
          <cell r="B8" t="str">
            <v>Proposed TSM</v>
          </cell>
          <cell r="C8" t="str">
            <v>First 201</v>
          </cell>
          <cell r="D8" t="str">
            <v>Over 2,000</v>
          </cell>
          <cell r="E8" t="str">
            <v>N/A</v>
          </cell>
          <cell r="F8" t="str">
            <v>N/A</v>
          </cell>
          <cell r="G8">
            <v>1.2236845049939</v>
          </cell>
          <cell r="H8">
            <v>0.67461450499389997</v>
          </cell>
        </row>
        <row r="9">
          <cell r="B9" t="str">
            <v>Proposed TSL</v>
          </cell>
          <cell r="C9" t="str">
            <v>First 10,000</v>
          </cell>
          <cell r="D9" t="str">
            <v>Next 112,500</v>
          </cell>
          <cell r="E9" t="str">
            <v>Next 477,500</v>
          </cell>
          <cell r="F9" t="str">
            <v>Over 600,000</v>
          </cell>
          <cell r="G9">
            <v>0.68830076002667895</v>
          </cell>
          <cell r="H9">
            <v>0.65278076002667884</v>
          </cell>
          <cell r="I9">
            <v>0.49479076002667888</v>
          </cell>
          <cell r="J9">
            <v>0.20266076002667888</v>
          </cell>
        </row>
        <row r="10">
          <cell r="B10" t="str">
            <v>Existing TS</v>
          </cell>
          <cell r="C10" t="str">
            <v>First 200</v>
          </cell>
          <cell r="D10" t="str">
            <v>Next 1,800</v>
          </cell>
          <cell r="E10" t="str">
            <v>Next 98,000</v>
          </cell>
          <cell r="F10" t="str">
            <v>Over 100,000</v>
          </cell>
          <cell r="G10">
            <v>1.22949</v>
          </cell>
          <cell r="H10">
            <v>0.80371999999999999</v>
          </cell>
          <cell r="I10">
            <v>0.32867000000000002</v>
          </cell>
          <cell r="J10">
            <v>0.12164999999999998</v>
          </cell>
        </row>
        <row r="11">
          <cell r="B11" t="str">
            <v>Proposed IS</v>
          </cell>
          <cell r="C11" t="str">
            <v>First 2,000</v>
          </cell>
          <cell r="D11" t="str">
            <v>Next 18,000</v>
          </cell>
          <cell r="E11" t="str">
            <v>Over 20,000</v>
          </cell>
          <cell r="G11">
            <v>1.0571424234831159</v>
          </cell>
          <cell r="H11">
            <v>0.24441242348311598</v>
          </cell>
          <cell r="I11">
            <v>0.18494242348311599</v>
          </cell>
        </row>
        <row r="12">
          <cell r="B12" t="str">
            <v>Existing IS</v>
          </cell>
          <cell r="C12" t="str">
            <v>First 2,000</v>
          </cell>
          <cell r="D12" t="str">
            <v>Next 18,000</v>
          </cell>
          <cell r="E12" t="str">
            <v>Over 20,000</v>
          </cell>
          <cell r="G12">
            <v>0.95730999999999999</v>
          </cell>
          <cell r="H12">
            <v>0.14458000000000001</v>
          </cell>
          <cell r="I12">
            <v>8.5110000000000019E-2</v>
          </cell>
        </row>
        <row r="13">
          <cell r="B13" t="str">
            <v>Proposed TBF</v>
          </cell>
          <cell r="C13" t="str">
            <v>First 10,000</v>
          </cell>
          <cell r="D13" t="str">
            <v>Next 112,500</v>
          </cell>
          <cell r="E13" t="str">
            <v>Next 477,500</v>
          </cell>
          <cell r="F13" t="str">
            <v>Over 600,000</v>
          </cell>
          <cell r="G13">
            <v>0.57198178043274428</v>
          </cell>
          <cell r="H13">
            <v>0.53646178043274417</v>
          </cell>
          <cell r="I13">
            <v>0.37847178043274421</v>
          </cell>
          <cell r="J13">
            <v>8.6341780432744208E-2</v>
          </cell>
        </row>
        <row r="14">
          <cell r="B14" t="str">
            <v>Existing TBF</v>
          </cell>
          <cell r="C14" t="str">
            <v>First 10,000</v>
          </cell>
          <cell r="D14" t="str">
            <v>Next 112,500</v>
          </cell>
          <cell r="E14" t="str">
            <v>Next 477,500</v>
          </cell>
          <cell r="F14" t="str">
            <v>Over 600,000</v>
          </cell>
          <cell r="G14">
            <v>0.56564000000000003</v>
          </cell>
          <cell r="H14">
            <v>0.53011999999999992</v>
          </cell>
          <cell r="I14">
            <v>0.37212999999999996</v>
          </cell>
          <cell r="J14">
            <v>7.9999999999999988E-2</v>
          </cell>
        </row>
        <row r="15">
          <cell r="B15" t="str">
            <v>Proposed NGV</v>
          </cell>
          <cell r="C15" t="str">
            <v>All</v>
          </cell>
          <cell r="G15">
            <v>10.880900714202793</v>
          </cell>
        </row>
        <row r="16">
          <cell r="B16" t="str">
            <v>Existing NGV</v>
          </cell>
          <cell r="C16" t="str">
            <v>All</v>
          </cell>
          <cell r="G16">
            <v>8.6288099999999996</v>
          </cell>
        </row>
        <row r="17">
          <cell r="B17" t="str">
            <v>Proposed MT</v>
          </cell>
          <cell r="C17" t="str">
            <v>All</v>
          </cell>
          <cell r="G17">
            <v>0.94603999999999999</v>
          </cell>
        </row>
        <row r="18">
          <cell r="B18" t="str">
            <v>Existing MT</v>
          </cell>
          <cell r="C18" t="str">
            <v>All</v>
          </cell>
          <cell r="G18">
            <v>0.81601000000000001</v>
          </cell>
        </row>
        <row r="22">
          <cell r="B22" t="str">
            <v>Scenario</v>
          </cell>
          <cell r="C22">
            <v>1</v>
          </cell>
          <cell r="D22">
            <v>2</v>
          </cell>
          <cell r="E22">
            <v>3</v>
          </cell>
          <cell r="F22">
            <v>4</v>
          </cell>
        </row>
        <row r="23">
          <cell r="B23" t="str">
            <v>Proposed BSF</v>
          </cell>
          <cell r="C23">
            <v>6.75</v>
          </cell>
          <cell r="D23">
            <v>18.25</v>
          </cell>
          <cell r="E23">
            <v>63.5</v>
          </cell>
          <cell r="F23">
            <v>420.25</v>
          </cell>
        </row>
        <row r="24">
          <cell r="B24" t="str">
            <v>Existing BSF</v>
          </cell>
          <cell r="C24">
            <v>6.75</v>
          </cell>
          <cell r="D24">
            <v>18.25</v>
          </cell>
          <cell r="E24">
            <v>63.5</v>
          </cell>
          <cell r="F24">
            <v>420.25</v>
          </cell>
        </row>
        <row r="28">
          <cell r="B28" t="str">
            <v>Scenario</v>
          </cell>
          <cell r="C28" t="str">
            <v>Annual</v>
          </cell>
          <cell r="D28" t="str">
            <v>Monthly</v>
          </cell>
        </row>
        <row r="29">
          <cell r="B29" t="str">
            <v>Existing Admin Primary</v>
          </cell>
          <cell r="C29">
            <v>3000</v>
          </cell>
          <cell r="D29">
            <v>250</v>
          </cell>
        </row>
        <row r="30">
          <cell r="B30" t="str">
            <v>Proposed Admin Primary</v>
          </cell>
          <cell r="C30">
            <v>2400</v>
          </cell>
          <cell r="D30">
            <v>200</v>
          </cell>
        </row>
        <row r="31">
          <cell r="B31" t="str">
            <v>Existing Admin Secondary</v>
          </cell>
          <cell r="C31">
            <v>1500</v>
          </cell>
          <cell r="D31">
            <v>125</v>
          </cell>
        </row>
        <row r="32">
          <cell r="B32" t="str">
            <v>Proposed Admin Secondary</v>
          </cell>
          <cell r="C32">
            <v>1200</v>
          </cell>
          <cell r="D32">
            <v>100</v>
          </cell>
        </row>
        <row r="34">
          <cell r="B34" t="str">
            <v>Scenario</v>
          </cell>
          <cell r="C34" t="str">
            <v>Annual</v>
          </cell>
          <cell r="D34" t="str">
            <v>Monthly</v>
          </cell>
        </row>
        <row r="35">
          <cell r="B35" t="str">
            <v>Existing TS Firm Demand Charge</v>
          </cell>
          <cell r="C35">
            <v>49.977630000000005</v>
          </cell>
          <cell r="D35">
            <v>4.1648025000000004</v>
          </cell>
        </row>
        <row r="36">
          <cell r="B36" t="str">
            <v>Proposed TSS Firm Demand Charge</v>
          </cell>
          <cell r="C36">
            <v>38.340000000000003</v>
          </cell>
          <cell r="D36">
            <v>3.1950000000000003</v>
          </cell>
        </row>
        <row r="37">
          <cell r="B37" t="str">
            <v>Proposed TSM Firm Demand Charge</v>
          </cell>
          <cell r="C37">
            <v>38.75</v>
          </cell>
          <cell r="D37">
            <v>3.2291666666666665</v>
          </cell>
        </row>
        <row r="38">
          <cell r="B38" t="str">
            <v>Proposed TSL Firm Demand Charge</v>
          </cell>
          <cell r="C38">
            <v>39.29</v>
          </cell>
          <cell r="D38">
            <v>3.2741666666666664</v>
          </cell>
        </row>
        <row r="39">
          <cell r="B39" t="str">
            <v>Existing TBF Firm Demand Charge</v>
          </cell>
          <cell r="C39">
            <v>24.65681</v>
          </cell>
          <cell r="D39">
            <v>2.0547341666666665</v>
          </cell>
        </row>
        <row r="40">
          <cell r="B40" t="str">
            <v>Proposed TBF Firm Demand Charge</v>
          </cell>
          <cell r="C40">
            <v>23.573999999999998</v>
          </cell>
          <cell r="D40">
            <v>1.9644999999999999</v>
          </cell>
        </row>
        <row r="82">
          <cell r="A82" t="str">
            <v>Scenario</v>
          </cell>
          <cell r="B82" t="str">
            <v>Block 1 (dth)</v>
          </cell>
          <cell r="C82" t="str">
            <v>Block 2 (dth)</v>
          </cell>
          <cell r="D82" t="str">
            <v>Block 3 (dth)</v>
          </cell>
          <cell r="E82" t="str">
            <v>Block 4 (dth)</v>
          </cell>
          <cell r="F82" t="str">
            <v>block 1 rate $</v>
          </cell>
          <cell r="G82" t="str">
            <v>block 2 rate $</v>
          </cell>
          <cell r="H82" t="str">
            <v>block 3 rate $</v>
          </cell>
          <cell r="I82" t="str">
            <v>block 4 rate $</v>
          </cell>
          <cell r="J82" t="str">
            <v>block 1 summer rate $</v>
          </cell>
          <cell r="K82" t="str">
            <v>block 2 summer rate $</v>
          </cell>
          <cell r="L82" t="str">
            <v>block 3 summer rate $</v>
          </cell>
        </row>
        <row r="83">
          <cell r="A83" t="str">
            <v>Existing TS</v>
          </cell>
        </row>
        <row r="98">
          <cell r="A98" t="str">
            <v>Scenario</v>
          </cell>
          <cell r="B98" t="str">
            <v>Block 1 (dth)</v>
          </cell>
          <cell r="C98" t="str">
            <v>Block 2 (dth)</v>
          </cell>
          <cell r="D98" t="str">
            <v>Block 3 (dth)</v>
          </cell>
          <cell r="E98" t="str">
            <v>Block 4 (dth)</v>
          </cell>
          <cell r="F98" t="str">
            <v>block 1 rate $</v>
          </cell>
          <cell r="G98" t="str">
            <v>block 2 rate $</v>
          </cell>
          <cell r="H98" t="str">
            <v>block 3 rate $</v>
          </cell>
          <cell r="I98" t="str">
            <v>block 4 rate $</v>
          </cell>
          <cell r="J98" t="str">
            <v>block 1 summer rate $</v>
          </cell>
          <cell r="K98" t="str">
            <v>block 2 summer rate $</v>
          </cell>
          <cell r="L98" t="str">
            <v>block 3 summer rate $</v>
          </cell>
        </row>
        <row r="99">
          <cell r="A99" t="str">
            <v>Existing IS</v>
          </cell>
        </row>
        <row r="115">
          <cell r="A115" t="str">
            <v>Scenario</v>
          </cell>
          <cell r="B115">
            <v>1</v>
          </cell>
          <cell r="C115">
            <v>2</v>
          </cell>
          <cell r="D115">
            <v>3</v>
          </cell>
          <cell r="E115">
            <v>4</v>
          </cell>
        </row>
        <row r="116">
          <cell r="A116" t="str">
            <v>Proposed BSF</v>
          </cell>
        </row>
        <row r="117">
          <cell r="A117" t="str">
            <v>Scenario</v>
          </cell>
          <cell r="B117">
            <v>1</v>
          </cell>
          <cell r="C117">
            <v>2</v>
          </cell>
          <cell r="D117">
            <v>3</v>
          </cell>
          <cell r="E117">
            <v>4</v>
          </cell>
        </row>
        <row r="118">
          <cell r="A118" t="str">
            <v>Existing BSF</v>
          </cell>
        </row>
        <row r="120">
          <cell r="A120" t="str">
            <v>Scenario</v>
          </cell>
          <cell r="B120" t="str">
            <v>Annual</v>
          </cell>
          <cell r="C120" t="str">
            <v>Monthly</v>
          </cell>
        </row>
        <row r="121">
          <cell r="A121" t="str">
            <v>Existing Admin Primary</v>
          </cell>
        </row>
        <row r="122">
          <cell r="A122" t="str">
            <v>Scenario</v>
          </cell>
          <cell r="B122" t="str">
            <v>Annual</v>
          </cell>
          <cell r="C122" t="str">
            <v>Monthly</v>
          </cell>
        </row>
        <row r="123">
          <cell r="A123" t="str">
            <v>Existing Admin Secondary</v>
          </cell>
        </row>
        <row r="124">
          <cell r="A124" t="str">
            <v>Scenario</v>
          </cell>
          <cell r="B124" t="str">
            <v>Annual</v>
          </cell>
          <cell r="C124" t="str">
            <v>Monthly</v>
          </cell>
        </row>
        <row r="125">
          <cell r="A125" t="str">
            <v>Proposed Admin Primary</v>
          </cell>
        </row>
        <row r="126">
          <cell r="A126" t="str">
            <v>Scenario</v>
          </cell>
          <cell r="B126" t="str">
            <v>Annual</v>
          </cell>
          <cell r="C126" t="str">
            <v>Monthly</v>
          </cell>
        </row>
        <row r="127">
          <cell r="A127" t="str">
            <v>Proposed Admin Secondary</v>
          </cell>
        </row>
        <row r="130">
          <cell r="A130" t="str">
            <v>Scenario</v>
          </cell>
          <cell r="B130" t="str">
            <v>Annual</v>
          </cell>
          <cell r="C130" t="str">
            <v>Monthly</v>
          </cell>
        </row>
        <row r="131">
          <cell r="A131" t="str">
            <v>Existing TS Firm Demand Charge</v>
          </cell>
        </row>
      </sheetData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4"/>
  <sheetViews>
    <sheetView tabSelected="1" workbookViewId="0">
      <selection activeCell="I2" sqref="I2"/>
    </sheetView>
  </sheetViews>
  <sheetFormatPr defaultRowHeight="15" x14ac:dyDescent="0.25"/>
  <cols>
    <col min="2" max="2" width="3" bestFit="1" customWidth="1"/>
    <col min="3" max="3" width="3.42578125" customWidth="1"/>
    <col min="4" max="4" width="12.85546875" customWidth="1"/>
    <col min="5" max="5" width="18" customWidth="1"/>
    <col min="6" max="6" width="5.140625" customWidth="1"/>
    <col min="7" max="7" width="7.42578125" bestFit="1" customWidth="1"/>
    <col min="8" max="8" width="25.5703125" bestFit="1" customWidth="1"/>
    <col min="9" max="9" width="10.140625" bestFit="1" customWidth="1"/>
    <col min="10" max="10" width="12.7109375" bestFit="1" customWidth="1"/>
    <col min="11" max="11" width="3.7109375" bestFit="1" customWidth="1"/>
    <col min="12" max="12" width="4.7109375" bestFit="1" customWidth="1"/>
    <col min="13" max="13" width="7.42578125" bestFit="1" customWidth="1"/>
    <col min="14" max="14" width="12" bestFit="1" customWidth="1"/>
    <col min="15" max="15" width="10.5703125" bestFit="1" customWidth="1"/>
    <col min="16" max="16" width="12.7109375" bestFit="1" customWidth="1"/>
  </cols>
  <sheetData>
    <row r="3" spans="2:16" x14ac:dyDescent="0.25">
      <c r="D3" s="108" t="s">
        <v>30</v>
      </c>
      <c r="E3" s="108"/>
      <c r="F3" s="108" t="s">
        <v>31</v>
      </c>
      <c r="G3" s="108"/>
      <c r="H3" s="50" t="s">
        <v>32</v>
      </c>
      <c r="I3" s="50" t="s">
        <v>33</v>
      </c>
      <c r="J3" s="50" t="s">
        <v>34</v>
      </c>
      <c r="K3" s="50"/>
      <c r="L3" s="108" t="s">
        <v>35</v>
      </c>
      <c r="M3" s="108"/>
      <c r="N3" s="50" t="s">
        <v>36</v>
      </c>
      <c r="O3" s="50" t="s">
        <v>37</v>
      </c>
      <c r="P3" s="50" t="s">
        <v>38</v>
      </c>
    </row>
    <row r="4" spans="2:16" ht="15.75" thickBot="1" x14ac:dyDescent="0.3"/>
    <row r="5" spans="2:16" x14ac:dyDescent="0.25">
      <c r="D5" s="1" t="s">
        <v>0</v>
      </c>
      <c r="E5" s="2"/>
      <c r="F5" s="2"/>
      <c r="G5" s="3"/>
      <c r="H5" s="4" t="s">
        <v>1</v>
      </c>
      <c r="I5" s="4"/>
      <c r="J5" s="4"/>
      <c r="K5" s="2"/>
      <c r="L5" s="2"/>
      <c r="M5" s="3"/>
      <c r="N5" s="106" t="s">
        <v>2</v>
      </c>
      <c r="O5" s="106"/>
      <c r="P5" s="107"/>
    </row>
    <row r="6" spans="2:16" ht="15.75" thickBot="1" x14ac:dyDescent="0.3">
      <c r="D6" s="5" t="s">
        <v>3</v>
      </c>
      <c r="E6" s="6"/>
      <c r="F6" s="6"/>
      <c r="G6" s="7" t="s">
        <v>4</v>
      </c>
      <c r="H6" s="8" t="s">
        <v>4</v>
      </c>
      <c r="I6" s="8" t="s">
        <v>5</v>
      </c>
      <c r="J6" s="9" t="s">
        <v>6</v>
      </c>
      <c r="K6" s="37"/>
      <c r="L6" s="6"/>
      <c r="M6" s="7" t="s">
        <v>4</v>
      </c>
      <c r="N6" s="8" t="s">
        <v>4</v>
      </c>
      <c r="O6" s="8" t="s">
        <v>7</v>
      </c>
      <c r="P6" s="11" t="s">
        <v>6</v>
      </c>
    </row>
    <row r="7" spans="2:16" x14ac:dyDescent="0.25">
      <c r="B7">
        <v>1</v>
      </c>
      <c r="D7" s="12" t="s">
        <v>8</v>
      </c>
      <c r="E7" s="38" t="s">
        <v>9</v>
      </c>
      <c r="F7" s="38" t="s">
        <v>10</v>
      </c>
      <c r="G7" s="39">
        <v>45</v>
      </c>
      <c r="H7" s="36">
        <v>64244287</v>
      </c>
      <c r="I7" s="42">
        <v>2.7936900000000002</v>
      </c>
      <c r="J7" s="36">
        <f>ROUND(H7*I7,0)</f>
        <v>179478622</v>
      </c>
      <c r="K7" s="40"/>
      <c r="L7" s="38" t="s">
        <v>10</v>
      </c>
      <c r="M7" s="39">
        <v>45</v>
      </c>
      <c r="N7" s="36">
        <v>64244287</v>
      </c>
      <c r="O7" s="42">
        <v>3.4409723106198857</v>
      </c>
      <c r="P7" s="14">
        <f t="shared" ref="P7:P8" si="0">ROUND(N7*O7,0)</f>
        <v>221062813</v>
      </c>
    </row>
    <row r="8" spans="2:16" x14ac:dyDescent="0.25">
      <c r="B8">
        <v>2</v>
      </c>
      <c r="D8" s="12"/>
      <c r="E8" s="38" t="s">
        <v>11</v>
      </c>
      <c r="F8" s="38" t="s">
        <v>12</v>
      </c>
      <c r="G8" s="39">
        <v>45</v>
      </c>
      <c r="H8" s="36">
        <v>16565974</v>
      </c>
      <c r="I8" s="42">
        <v>1.5254999999999999</v>
      </c>
      <c r="J8" s="36">
        <f>ROUND(H8*I8,0)</f>
        <v>25271393</v>
      </c>
      <c r="K8" s="40"/>
      <c r="L8" s="38" t="s">
        <v>12</v>
      </c>
      <c r="M8" s="39">
        <v>45</v>
      </c>
      <c r="N8" s="36">
        <v>16565974</v>
      </c>
      <c r="O8" s="42">
        <v>2.1727823106198851</v>
      </c>
      <c r="P8" s="14">
        <f t="shared" si="0"/>
        <v>35994255</v>
      </c>
    </row>
    <row r="9" spans="2:16" x14ac:dyDescent="0.25">
      <c r="D9" s="15"/>
      <c r="E9" s="38"/>
      <c r="F9" s="38"/>
      <c r="G9" s="41"/>
      <c r="H9" s="36"/>
      <c r="I9" s="42"/>
      <c r="J9" s="49"/>
      <c r="K9" s="40"/>
      <c r="L9" s="38"/>
      <c r="M9" s="41"/>
      <c r="N9" s="36"/>
      <c r="O9" s="42"/>
      <c r="P9" s="48"/>
    </row>
    <row r="10" spans="2:16" x14ac:dyDescent="0.25">
      <c r="B10">
        <v>3</v>
      </c>
      <c r="D10" s="15" t="s">
        <v>13</v>
      </c>
      <c r="E10" s="38" t="s">
        <v>9</v>
      </c>
      <c r="F10" s="38" t="s">
        <v>10</v>
      </c>
      <c r="G10" s="41">
        <v>45</v>
      </c>
      <c r="H10" s="36">
        <v>26668396</v>
      </c>
      <c r="I10" s="42">
        <v>2.0534500000000002</v>
      </c>
      <c r="J10" s="36">
        <f t="shared" ref="J10:J11" si="1">ROUND(H10*I10,0)</f>
        <v>54762218</v>
      </c>
      <c r="K10" s="40"/>
      <c r="L10" s="38" t="s">
        <v>10</v>
      </c>
      <c r="M10" s="41">
        <v>45</v>
      </c>
      <c r="N10" s="36">
        <v>26668396</v>
      </c>
      <c r="O10" s="42">
        <v>2.7843709759252828</v>
      </c>
      <c r="P10" s="14">
        <f t="shared" ref="P10:P11" si="2">ROUND(N10*O10,0)</f>
        <v>74254708</v>
      </c>
    </row>
    <row r="11" spans="2:16" x14ac:dyDescent="0.25">
      <c r="B11">
        <v>4</v>
      </c>
      <c r="D11" s="15"/>
      <c r="E11" s="38" t="s">
        <v>11</v>
      </c>
      <c r="F11" s="38" t="s">
        <v>12</v>
      </c>
      <c r="G11" s="41">
        <v>45</v>
      </c>
      <c r="H11" s="36">
        <v>4559898</v>
      </c>
      <c r="I11" s="97">
        <v>0.78525</v>
      </c>
      <c r="J11" s="36">
        <f t="shared" si="1"/>
        <v>3580660</v>
      </c>
      <c r="K11" s="40"/>
      <c r="L11" s="38" t="s">
        <v>12</v>
      </c>
      <c r="M11" s="41">
        <v>45</v>
      </c>
      <c r="N11" s="36">
        <v>4559898</v>
      </c>
      <c r="O11" s="97">
        <v>1.5161809759252824</v>
      </c>
      <c r="P11" s="14">
        <f t="shared" si="2"/>
        <v>6913631</v>
      </c>
    </row>
    <row r="12" spans="2:16" x14ac:dyDescent="0.25">
      <c r="B12">
        <v>5</v>
      </c>
      <c r="D12" s="57" t="s">
        <v>14</v>
      </c>
      <c r="E12" s="58"/>
      <c r="F12" s="38"/>
      <c r="G12" s="41"/>
      <c r="H12" s="17">
        <f>SUM(H7:H11)</f>
        <v>112038555</v>
      </c>
      <c r="I12" s="42"/>
      <c r="J12" s="17">
        <f>SUM(J7:J11)</f>
        <v>263092893</v>
      </c>
      <c r="K12" s="40"/>
      <c r="L12" s="38"/>
      <c r="M12" s="41"/>
      <c r="N12" s="17">
        <f>SUM(N7:N11)</f>
        <v>112038555</v>
      </c>
      <c r="O12" s="42"/>
      <c r="P12" s="18">
        <f>SUM(P7:P11)</f>
        <v>338225407</v>
      </c>
    </row>
    <row r="13" spans="2:16" x14ac:dyDescent="0.25">
      <c r="D13" s="15"/>
      <c r="E13" s="38"/>
      <c r="F13" s="38"/>
      <c r="G13" s="41"/>
      <c r="H13" s="36"/>
      <c r="I13" s="43"/>
      <c r="J13" s="36"/>
      <c r="K13" s="44"/>
      <c r="L13" s="38"/>
      <c r="M13" s="41"/>
      <c r="N13" s="36"/>
      <c r="O13" s="43"/>
      <c r="P13" s="14"/>
    </row>
    <row r="14" spans="2:16" ht="15.75" thickBot="1" x14ac:dyDescent="0.3">
      <c r="D14" s="55" t="s">
        <v>15</v>
      </c>
      <c r="E14" s="56"/>
      <c r="F14" s="21"/>
      <c r="G14" s="7"/>
      <c r="H14" s="8" t="s">
        <v>16</v>
      </c>
      <c r="I14" s="8" t="s">
        <v>5</v>
      </c>
      <c r="J14" s="9" t="s">
        <v>6</v>
      </c>
      <c r="K14" s="37"/>
      <c r="L14" s="21"/>
      <c r="M14" s="7"/>
      <c r="N14" s="8" t="s">
        <v>16</v>
      </c>
      <c r="O14" s="8" t="s">
        <v>7</v>
      </c>
      <c r="P14" s="11" t="s">
        <v>6</v>
      </c>
    </row>
    <row r="15" spans="2:16" x14ac:dyDescent="0.25">
      <c r="B15">
        <v>6</v>
      </c>
      <c r="D15" s="15"/>
      <c r="E15" s="38" t="s">
        <v>17</v>
      </c>
      <c r="F15" s="37"/>
      <c r="G15" s="45">
        <v>1</v>
      </c>
      <c r="H15" s="23">
        <v>13292012</v>
      </c>
      <c r="I15" s="93">
        <v>6.75</v>
      </c>
      <c r="J15" s="36">
        <f>G15*H15*I15</f>
        <v>89721081</v>
      </c>
      <c r="K15" s="23"/>
      <c r="L15" s="37"/>
      <c r="M15" s="45">
        <v>1</v>
      </c>
      <c r="N15" s="23">
        <v>13292012</v>
      </c>
      <c r="O15" s="82">
        <v>6.75</v>
      </c>
      <c r="P15" s="14">
        <f>M15*N15*O15</f>
        <v>89721081</v>
      </c>
    </row>
    <row r="16" spans="2:16" x14ac:dyDescent="0.25">
      <c r="B16">
        <v>7</v>
      </c>
      <c r="D16" s="15"/>
      <c r="E16" s="38" t="s">
        <v>18</v>
      </c>
      <c r="F16" s="37"/>
      <c r="G16" s="45">
        <v>1</v>
      </c>
      <c r="H16" s="23">
        <v>545611</v>
      </c>
      <c r="I16" s="93">
        <v>18.25</v>
      </c>
      <c r="J16" s="36">
        <f t="shared" ref="J16:J18" si="3">G16*H16*I16</f>
        <v>9957400.75</v>
      </c>
      <c r="K16" s="23"/>
      <c r="L16" s="37"/>
      <c r="M16" s="45">
        <v>1</v>
      </c>
      <c r="N16" s="23">
        <v>545611</v>
      </c>
      <c r="O16" s="82">
        <v>18.25</v>
      </c>
      <c r="P16" s="14">
        <f t="shared" ref="P16:P18" si="4">M16*N16*O16</f>
        <v>9957400.75</v>
      </c>
    </row>
    <row r="17" spans="2:16" x14ac:dyDescent="0.25">
      <c r="B17">
        <v>8</v>
      </c>
      <c r="D17" s="15"/>
      <c r="E17" s="38" t="s">
        <v>19</v>
      </c>
      <c r="F17" s="37"/>
      <c r="G17" s="45">
        <v>1</v>
      </c>
      <c r="H17" s="23">
        <v>17799</v>
      </c>
      <c r="I17" s="93">
        <v>63.5</v>
      </c>
      <c r="J17" s="36">
        <f t="shared" si="3"/>
        <v>1130236.5</v>
      </c>
      <c r="K17" s="23"/>
      <c r="L17" s="37"/>
      <c r="M17" s="45">
        <v>1</v>
      </c>
      <c r="N17" s="23">
        <v>17799</v>
      </c>
      <c r="O17" s="82">
        <v>63.5</v>
      </c>
      <c r="P17" s="14">
        <f t="shared" si="4"/>
        <v>1130236.5</v>
      </c>
    </row>
    <row r="18" spans="2:16" x14ac:dyDescent="0.25">
      <c r="B18">
        <v>9</v>
      </c>
      <c r="D18" s="15"/>
      <c r="E18" s="38" t="s">
        <v>20</v>
      </c>
      <c r="F18" s="37"/>
      <c r="G18" s="45">
        <v>1</v>
      </c>
      <c r="H18" s="94">
        <v>1613</v>
      </c>
      <c r="I18" s="95">
        <v>420.25</v>
      </c>
      <c r="J18" s="35">
        <f t="shared" si="3"/>
        <v>677863.25</v>
      </c>
      <c r="K18" s="23"/>
      <c r="L18" s="37"/>
      <c r="M18" s="45">
        <v>1</v>
      </c>
      <c r="N18" s="23">
        <v>1613</v>
      </c>
      <c r="O18" s="70">
        <v>420.25</v>
      </c>
      <c r="P18" s="14">
        <f t="shared" si="4"/>
        <v>677863.25</v>
      </c>
    </row>
    <row r="19" spans="2:16" x14ac:dyDescent="0.25">
      <c r="B19">
        <v>10</v>
      </c>
      <c r="D19" s="15"/>
      <c r="E19" s="38" t="s">
        <v>21</v>
      </c>
      <c r="F19" s="37"/>
      <c r="G19" s="45"/>
      <c r="H19" s="36">
        <f>SUM(H15:H18)</f>
        <v>13857035</v>
      </c>
      <c r="I19" s="37"/>
      <c r="J19" s="36">
        <f>SUM(J15:J18)</f>
        <v>101486581.5</v>
      </c>
      <c r="K19" s="37"/>
      <c r="L19" s="37"/>
      <c r="M19" s="45"/>
      <c r="N19" s="17">
        <f>SUM(N15:N18)</f>
        <v>13857035</v>
      </c>
      <c r="O19" s="46"/>
      <c r="P19" s="18">
        <f>SUM(P15:P18)</f>
        <v>101486581.5</v>
      </c>
    </row>
    <row r="20" spans="2:16" ht="15.75" thickBot="1" x14ac:dyDescent="0.3">
      <c r="D20" s="15"/>
      <c r="E20" s="37"/>
      <c r="F20" s="47"/>
      <c r="G20" s="45"/>
      <c r="H20" s="37"/>
      <c r="I20" s="47"/>
      <c r="J20" s="24"/>
      <c r="K20" s="37"/>
      <c r="L20" s="47"/>
      <c r="M20" s="45"/>
      <c r="N20" s="47"/>
      <c r="O20" s="47"/>
      <c r="P20" s="25"/>
    </row>
    <row r="21" spans="2:16" x14ac:dyDescent="0.25">
      <c r="B21">
        <v>11</v>
      </c>
      <c r="D21" s="59" t="s">
        <v>22</v>
      </c>
      <c r="E21" s="60"/>
      <c r="F21" s="37"/>
      <c r="G21" s="45"/>
      <c r="H21" s="45"/>
      <c r="I21" s="45"/>
      <c r="J21" s="36">
        <f>J19</f>
        <v>101486581.5</v>
      </c>
      <c r="K21" s="37"/>
      <c r="L21" s="37"/>
      <c r="M21" s="45"/>
      <c r="N21" s="47"/>
      <c r="O21" s="47"/>
      <c r="P21" s="14">
        <f>P19</f>
        <v>101486581.5</v>
      </c>
    </row>
    <row r="22" spans="2:16" ht="15.75" thickBot="1" x14ac:dyDescent="0.3">
      <c r="D22" s="15"/>
      <c r="E22" s="37"/>
      <c r="F22" s="37"/>
      <c r="G22" s="45"/>
      <c r="H22" s="45"/>
      <c r="I22" s="45"/>
      <c r="J22" s="27"/>
      <c r="K22" s="37"/>
      <c r="L22" s="37"/>
      <c r="M22" s="45"/>
      <c r="N22" s="47"/>
      <c r="O22" s="47"/>
      <c r="P22" s="28"/>
    </row>
    <row r="23" spans="2:16" ht="15.75" thickTop="1" x14ac:dyDescent="0.25">
      <c r="B23">
        <v>12</v>
      </c>
      <c r="D23" s="15" t="s">
        <v>23</v>
      </c>
      <c r="E23" s="37"/>
      <c r="F23" s="37"/>
      <c r="G23" s="45"/>
      <c r="H23" s="45"/>
      <c r="I23" s="45"/>
      <c r="J23" s="29">
        <f>J21+J12</f>
        <v>364579474.5</v>
      </c>
      <c r="K23" s="37"/>
      <c r="L23" s="37"/>
      <c r="M23" s="45"/>
      <c r="N23" s="47"/>
      <c r="O23" s="47"/>
      <c r="P23" s="30">
        <f>ROUNDDOWN(P21+P12,0)</f>
        <v>439711988</v>
      </c>
    </row>
    <row r="24" spans="2:16" x14ac:dyDescent="0.25">
      <c r="B24">
        <v>13</v>
      </c>
      <c r="D24" s="15" t="s">
        <v>24</v>
      </c>
      <c r="E24" s="37"/>
      <c r="F24" s="37"/>
      <c r="G24" s="45"/>
      <c r="H24" s="45"/>
      <c r="I24" s="45"/>
      <c r="J24" s="31">
        <f>P24</f>
        <v>1676222.2874854775</v>
      </c>
      <c r="K24" s="37"/>
      <c r="L24" s="37"/>
      <c r="M24" s="45"/>
      <c r="N24" s="37"/>
      <c r="O24" s="37"/>
      <c r="P24" s="96">
        <v>1676222.2874854775</v>
      </c>
    </row>
    <row r="25" spans="2:16" ht="15.75" thickBot="1" x14ac:dyDescent="0.3">
      <c r="B25">
        <v>14</v>
      </c>
      <c r="D25" s="5" t="s">
        <v>25</v>
      </c>
      <c r="E25" s="20"/>
      <c r="F25" s="20"/>
      <c r="G25" s="32"/>
      <c r="H25" s="32"/>
      <c r="I25" s="32"/>
      <c r="J25" s="52">
        <f>J23+J24</f>
        <v>366255696.78748548</v>
      </c>
      <c r="K25" s="24"/>
      <c r="L25" s="20"/>
      <c r="M25" s="32"/>
      <c r="N25" s="24"/>
      <c r="O25" s="20"/>
      <c r="P25" s="25">
        <v>441388210.13203317</v>
      </c>
    </row>
    <row r="26" spans="2:16" x14ac:dyDescent="0.25">
      <c r="D26" s="33"/>
      <c r="E26" s="10"/>
      <c r="F26" s="10"/>
      <c r="G26" s="22"/>
      <c r="H26" s="13"/>
      <c r="I26" s="10"/>
      <c r="J26" s="13"/>
      <c r="K26" s="13"/>
      <c r="L26" s="10"/>
      <c r="M26" s="22"/>
      <c r="N26" s="13"/>
      <c r="O26" s="10"/>
      <c r="P26" s="13"/>
    </row>
    <row r="27" spans="2:16" ht="15.75" thickBot="1" x14ac:dyDescent="0.3">
      <c r="D27" s="33"/>
      <c r="E27" s="10"/>
      <c r="F27" s="10"/>
      <c r="G27" s="22"/>
      <c r="H27" s="13"/>
      <c r="I27" s="10"/>
      <c r="J27" s="13"/>
      <c r="K27" s="13"/>
      <c r="L27" s="10"/>
      <c r="M27" s="22"/>
      <c r="N27" s="13"/>
      <c r="O27" s="10"/>
      <c r="P27" s="13"/>
    </row>
    <row r="28" spans="2:16" x14ac:dyDescent="0.25">
      <c r="D28" s="1" t="s">
        <v>26</v>
      </c>
      <c r="E28" s="2"/>
      <c r="F28" s="2"/>
      <c r="G28" s="3"/>
      <c r="H28" s="106" t="s">
        <v>1</v>
      </c>
      <c r="I28" s="106"/>
      <c r="J28" s="106"/>
      <c r="K28" s="2"/>
      <c r="L28" s="2"/>
      <c r="M28" s="3"/>
      <c r="N28" s="106" t="s">
        <v>2</v>
      </c>
      <c r="O28" s="106"/>
      <c r="P28" s="107"/>
    </row>
    <row r="29" spans="2:16" ht="15.75" thickBot="1" x14ac:dyDescent="0.3">
      <c r="D29" s="5" t="s">
        <v>3</v>
      </c>
      <c r="E29" s="6"/>
      <c r="F29" s="6"/>
      <c r="G29" s="7"/>
      <c r="H29" s="8" t="s">
        <v>4</v>
      </c>
      <c r="I29" s="8" t="s">
        <v>5</v>
      </c>
      <c r="J29" s="9" t="s">
        <v>6</v>
      </c>
      <c r="K29" s="37"/>
      <c r="L29" s="6"/>
      <c r="M29" s="7"/>
      <c r="N29" s="8" t="s">
        <v>4</v>
      </c>
      <c r="O29" s="8" t="s">
        <v>7</v>
      </c>
      <c r="P29" s="11" t="s">
        <v>6</v>
      </c>
    </row>
    <row r="30" spans="2:16" x14ac:dyDescent="0.25">
      <c r="B30">
        <v>15</v>
      </c>
      <c r="D30" s="34" t="s">
        <v>27</v>
      </c>
      <c r="E30" s="38"/>
      <c r="F30" s="38"/>
      <c r="G30" s="41"/>
      <c r="H30" s="36">
        <v>289772</v>
      </c>
      <c r="I30" s="42">
        <v>8.6288099999999996</v>
      </c>
      <c r="J30" s="36">
        <f>ROUND(H30*I30,0)</f>
        <v>2500388</v>
      </c>
      <c r="K30" s="44"/>
      <c r="L30" s="38"/>
      <c r="M30" s="41"/>
      <c r="N30" s="36">
        <v>289772</v>
      </c>
      <c r="O30" s="42">
        <f>P32/N30</f>
        <v>10.880919694949602</v>
      </c>
      <c r="P30" s="14">
        <f>N30*O30</f>
        <v>3152985.8618449364</v>
      </c>
    </row>
    <row r="31" spans="2:16" ht="15.75" thickBot="1" x14ac:dyDescent="0.3">
      <c r="D31" s="15"/>
      <c r="E31" s="37"/>
      <c r="F31" s="37"/>
      <c r="G31" s="45"/>
      <c r="H31" s="47"/>
      <c r="I31" s="47"/>
      <c r="J31" s="27"/>
      <c r="K31" s="37"/>
      <c r="L31" s="37"/>
      <c r="M31" s="45"/>
      <c r="N31" s="47"/>
      <c r="O31" s="47"/>
      <c r="P31" s="28"/>
    </row>
    <row r="32" spans="2:16" ht="15.75" thickTop="1" x14ac:dyDescent="0.25">
      <c r="B32">
        <v>16</v>
      </c>
      <c r="D32" s="15" t="s">
        <v>28</v>
      </c>
      <c r="E32" s="37"/>
      <c r="F32" s="37"/>
      <c r="G32" s="45"/>
      <c r="H32" s="47"/>
      <c r="I32" s="47"/>
      <c r="J32" s="47">
        <f>J30</f>
        <v>2500388</v>
      </c>
      <c r="K32" s="37"/>
      <c r="L32" s="37"/>
      <c r="M32" s="45"/>
      <c r="N32" s="47"/>
      <c r="O32" s="47"/>
      <c r="P32" s="30">
        <f>P34-P33</f>
        <v>3152985.8618449359</v>
      </c>
    </row>
    <row r="33" spans="2:16" x14ac:dyDescent="0.25">
      <c r="B33">
        <v>17</v>
      </c>
      <c r="D33" s="15" t="s">
        <v>24</v>
      </c>
      <c r="E33" s="37"/>
      <c r="F33" s="37"/>
      <c r="G33" s="45"/>
      <c r="H33" s="37"/>
      <c r="I33" s="37"/>
      <c r="J33" s="31">
        <f>P33</f>
        <v>2398.5472871807247</v>
      </c>
      <c r="K33" s="37"/>
      <c r="L33" s="37"/>
      <c r="M33" s="45"/>
      <c r="N33" s="37"/>
      <c r="O33" s="53"/>
      <c r="P33" s="96">
        <v>2398.5472871807247</v>
      </c>
    </row>
    <row r="34" spans="2:16" ht="15.75" thickBot="1" x14ac:dyDescent="0.3">
      <c r="B34">
        <v>18</v>
      </c>
      <c r="D34" s="54" t="s">
        <v>29</v>
      </c>
      <c r="E34" s="20"/>
      <c r="F34" s="20"/>
      <c r="G34" s="32"/>
      <c r="H34" s="24"/>
      <c r="I34" s="20"/>
      <c r="J34" s="52">
        <f>SUM(J32:J33)</f>
        <v>2502786.5472871806</v>
      </c>
      <c r="K34" s="24"/>
      <c r="L34" s="20"/>
      <c r="M34" s="32"/>
      <c r="N34" s="24"/>
      <c r="O34" s="20"/>
      <c r="P34" s="25">
        <v>3155384.4091321165</v>
      </c>
    </row>
  </sheetData>
  <mergeCells count="6">
    <mergeCell ref="N5:P5"/>
    <mergeCell ref="H28:J28"/>
    <mergeCell ref="N28:P28"/>
    <mergeCell ref="F3:G3"/>
    <mergeCell ref="D3:E3"/>
    <mergeCell ref="L3:M3"/>
  </mergeCells>
  <pageMargins left="0.25" right="0.25" top="0.5" bottom="0.25" header="0" footer="0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3"/>
  <sheetViews>
    <sheetView workbookViewId="0">
      <selection activeCell="M34" activeCellId="1" sqref="G34 M34"/>
    </sheetView>
  </sheetViews>
  <sheetFormatPr defaultRowHeight="15" x14ac:dyDescent="0.25"/>
  <cols>
    <col min="2" max="2" width="3" bestFit="1" customWidth="1"/>
    <col min="3" max="3" width="3.42578125" customWidth="1"/>
    <col min="4" max="4" width="25.140625" bestFit="1" customWidth="1"/>
    <col min="5" max="5" width="7.28515625" bestFit="1" customWidth="1"/>
    <col min="6" max="7" width="9.28515625" customWidth="1"/>
    <col min="8" max="8" width="12" bestFit="1" customWidth="1"/>
    <col min="9" max="9" width="10.140625" bestFit="1" customWidth="1"/>
    <col min="10" max="10" width="10.7109375" bestFit="1" customWidth="1"/>
    <col min="11" max="11" width="3.7109375" bestFit="1" customWidth="1"/>
    <col min="12" max="13" width="9" customWidth="1"/>
    <col min="14" max="14" width="12" bestFit="1" customWidth="1"/>
    <col min="15" max="15" width="10.5703125" bestFit="1" customWidth="1"/>
    <col min="16" max="16" width="10.7109375" bestFit="1" customWidth="1"/>
  </cols>
  <sheetData>
    <row r="3" spans="2:16" x14ac:dyDescent="0.25">
      <c r="D3" s="108" t="s">
        <v>30</v>
      </c>
      <c r="E3" s="108"/>
      <c r="F3" s="108" t="s">
        <v>31</v>
      </c>
      <c r="G3" s="108"/>
      <c r="H3" s="50" t="s">
        <v>32</v>
      </c>
      <c r="I3" s="50" t="s">
        <v>33</v>
      </c>
      <c r="J3" s="50" t="s">
        <v>34</v>
      </c>
      <c r="K3" s="50"/>
      <c r="L3" s="108" t="s">
        <v>35</v>
      </c>
      <c r="M3" s="108"/>
      <c r="N3" s="50" t="s">
        <v>36</v>
      </c>
      <c r="O3" s="50" t="s">
        <v>37</v>
      </c>
      <c r="P3" s="50" t="s">
        <v>38</v>
      </c>
    </row>
    <row r="4" spans="2:16" ht="15.75" thickBot="1" x14ac:dyDescent="0.3"/>
    <row r="5" spans="2:16" x14ac:dyDescent="0.25">
      <c r="D5" s="1" t="s">
        <v>39</v>
      </c>
      <c r="E5" s="2"/>
      <c r="F5" s="67"/>
      <c r="G5" s="109" t="s">
        <v>1</v>
      </c>
      <c r="H5" s="109"/>
      <c r="I5" s="109"/>
      <c r="J5" s="66"/>
      <c r="K5" s="2"/>
      <c r="L5" s="2"/>
      <c r="M5" s="3"/>
      <c r="N5" s="106" t="s">
        <v>2</v>
      </c>
      <c r="O5" s="106"/>
      <c r="P5" s="107"/>
    </row>
    <row r="6" spans="2:16" ht="15.75" thickBot="1" x14ac:dyDescent="0.3">
      <c r="D6" s="5" t="s">
        <v>3</v>
      </c>
      <c r="E6" s="6"/>
      <c r="F6" s="6"/>
      <c r="G6" s="7" t="s">
        <v>4</v>
      </c>
      <c r="H6" s="8" t="s">
        <v>4</v>
      </c>
      <c r="I6" s="8" t="s">
        <v>5</v>
      </c>
      <c r="J6" s="9" t="s">
        <v>6</v>
      </c>
      <c r="K6" s="23"/>
      <c r="L6" s="6"/>
      <c r="M6" s="7" t="s">
        <v>4</v>
      </c>
      <c r="N6" s="8" t="s">
        <v>4</v>
      </c>
      <c r="O6" s="8" t="s">
        <v>7</v>
      </c>
      <c r="P6" s="11" t="s">
        <v>6</v>
      </c>
    </row>
    <row r="7" spans="2:16" x14ac:dyDescent="0.25">
      <c r="B7">
        <v>1</v>
      </c>
      <c r="D7" s="12" t="s">
        <v>8</v>
      </c>
      <c r="E7" s="38" t="s">
        <v>9</v>
      </c>
      <c r="F7" s="38" t="s">
        <v>10</v>
      </c>
      <c r="G7" s="41">
        <v>200</v>
      </c>
      <c r="H7" s="36">
        <f>N7</f>
        <v>421888</v>
      </c>
      <c r="I7" s="42">
        <v>1.64625</v>
      </c>
      <c r="J7" s="36">
        <f>ROUND(H7*I7,0)</f>
        <v>694533</v>
      </c>
      <c r="K7" s="62"/>
      <c r="L7" s="38" t="s">
        <v>40</v>
      </c>
      <c r="M7" s="41">
        <v>200</v>
      </c>
      <c r="N7" s="36">
        <v>421888</v>
      </c>
      <c r="O7" s="42">
        <v>2.1102132804443992</v>
      </c>
      <c r="P7" s="14">
        <f>ROUND(N7*O7,0)</f>
        <v>890274</v>
      </c>
    </row>
    <row r="8" spans="2:16" x14ac:dyDescent="0.25">
      <c r="B8">
        <v>2</v>
      </c>
      <c r="D8" s="15"/>
      <c r="E8" s="38" t="s">
        <v>11</v>
      </c>
      <c r="F8" s="38" t="s">
        <v>41</v>
      </c>
      <c r="G8" s="41">
        <v>1800</v>
      </c>
      <c r="H8" s="36">
        <f t="shared" ref="H8:H13" si="0">N8</f>
        <v>643727</v>
      </c>
      <c r="I8" s="42">
        <v>1.1246500000000001</v>
      </c>
      <c r="J8" s="36">
        <f t="shared" ref="J8:J9" si="1">ROUND(H8*I8,0)</f>
        <v>723968</v>
      </c>
      <c r="K8" s="62"/>
      <c r="L8" s="38" t="s">
        <v>42</v>
      </c>
      <c r="M8" s="41">
        <v>1800</v>
      </c>
      <c r="N8" s="36">
        <v>643727</v>
      </c>
      <c r="O8" s="42">
        <v>1.5886132804443993</v>
      </c>
      <c r="P8" s="14">
        <f t="shared" ref="P8:P9" si="2">ROUND(N8*O8,0)</f>
        <v>1022633</v>
      </c>
    </row>
    <row r="9" spans="2:16" x14ac:dyDescent="0.25">
      <c r="B9">
        <v>3</v>
      </c>
      <c r="D9" s="15"/>
      <c r="E9" s="38" t="s">
        <v>43</v>
      </c>
      <c r="F9" s="38" t="s">
        <v>12</v>
      </c>
      <c r="G9" s="41">
        <v>2000</v>
      </c>
      <c r="H9" s="36">
        <f t="shared" si="0"/>
        <v>215071</v>
      </c>
      <c r="I9" s="42">
        <v>0.57558000000000009</v>
      </c>
      <c r="J9" s="36">
        <f t="shared" si="1"/>
        <v>123791</v>
      </c>
      <c r="K9" s="62"/>
      <c r="L9" s="38" t="s">
        <v>44</v>
      </c>
      <c r="M9" s="41">
        <v>2000</v>
      </c>
      <c r="N9" s="36">
        <v>215071</v>
      </c>
      <c r="O9" s="42">
        <v>1.0395432804443994</v>
      </c>
      <c r="P9" s="14">
        <f t="shared" si="2"/>
        <v>223576</v>
      </c>
    </row>
    <row r="10" spans="2:16" x14ac:dyDescent="0.25">
      <c r="D10" s="15"/>
      <c r="E10" s="38"/>
      <c r="F10" s="38"/>
      <c r="G10" s="41"/>
      <c r="H10" s="36"/>
      <c r="I10" s="43"/>
      <c r="J10" s="36"/>
      <c r="K10" s="62"/>
      <c r="L10" s="38"/>
      <c r="M10" s="41"/>
      <c r="N10" s="36"/>
      <c r="O10" s="43"/>
      <c r="P10" s="14"/>
    </row>
    <row r="11" spans="2:16" x14ac:dyDescent="0.25">
      <c r="B11">
        <v>4</v>
      </c>
      <c r="D11" s="15" t="s">
        <v>13</v>
      </c>
      <c r="E11" s="38" t="s">
        <v>9</v>
      </c>
      <c r="F11" s="38" t="s">
        <v>10</v>
      </c>
      <c r="G11" s="41">
        <v>200</v>
      </c>
      <c r="H11" s="36">
        <f t="shared" si="0"/>
        <v>564416</v>
      </c>
      <c r="I11" s="42">
        <v>1.0886200000000001</v>
      </c>
      <c r="J11" s="36">
        <f t="shared" ref="J11:J13" si="3">ROUND(H11*I11,0)</f>
        <v>614435</v>
      </c>
      <c r="K11" s="62"/>
      <c r="L11" s="38" t="s">
        <v>40</v>
      </c>
      <c r="M11" s="41">
        <v>200</v>
      </c>
      <c r="N11" s="36">
        <v>564416</v>
      </c>
      <c r="O11" s="42">
        <v>1.5861106801560974</v>
      </c>
      <c r="P11" s="14">
        <f t="shared" ref="P11:P13" si="4">ROUND(N11*O11,0)</f>
        <v>895226</v>
      </c>
    </row>
    <row r="12" spans="2:16" x14ac:dyDescent="0.25">
      <c r="B12">
        <v>5</v>
      </c>
      <c r="D12" s="15"/>
      <c r="E12" s="38" t="s">
        <v>11</v>
      </c>
      <c r="F12" s="38" t="s">
        <v>41</v>
      </c>
      <c r="G12" s="41">
        <v>1800</v>
      </c>
      <c r="H12" s="36">
        <f t="shared" si="0"/>
        <v>578756</v>
      </c>
      <c r="I12" s="42">
        <v>0.56703000000000003</v>
      </c>
      <c r="J12" s="36">
        <f t="shared" si="3"/>
        <v>328172</v>
      </c>
      <c r="K12" s="62"/>
      <c r="L12" s="38" t="s">
        <v>42</v>
      </c>
      <c r="M12" s="41">
        <v>1800</v>
      </c>
      <c r="N12" s="36">
        <v>578756</v>
      </c>
      <c r="O12" s="42">
        <v>1.0645106801560975</v>
      </c>
      <c r="P12" s="14">
        <f t="shared" si="4"/>
        <v>616092</v>
      </c>
    </row>
    <row r="13" spans="2:16" x14ac:dyDescent="0.25">
      <c r="B13">
        <v>6</v>
      </c>
      <c r="D13" s="15"/>
      <c r="E13" s="38" t="s">
        <v>43</v>
      </c>
      <c r="F13" s="38" t="s">
        <v>12</v>
      </c>
      <c r="G13" s="41">
        <v>2000</v>
      </c>
      <c r="H13" s="36">
        <f t="shared" si="0"/>
        <v>165334</v>
      </c>
      <c r="I13" s="97">
        <v>1.7950000000000004E-2</v>
      </c>
      <c r="J13" s="36">
        <f t="shared" si="3"/>
        <v>2968</v>
      </c>
      <c r="K13" s="62"/>
      <c r="L13" s="38" t="s">
        <v>44</v>
      </c>
      <c r="M13" s="41">
        <v>2000</v>
      </c>
      <c r="N13" s="36">
        <v>165334</v>
      </c>
      <c r="O13" s="97">
        <v>0.51544068015609745</v>
      </c>
      <c r="P13" s="14">
        <f t="shared" si="4"/>
        <v>85220</v>
      </c>
    </row>
    <row r="14" spans="2:16" x14ac:dyDescent="0.25">
      <c r="B14">
        <v>7</v>
      </c>
      <c r="D14" s="16" t="s">
        <v>14</v>
      </c>
      <c r="E14" s="37"/>
      <c r="F14" s="38"/>
      <c r="G14" s="41"/>
      <c r="H14" s="17">
        <f>SUM(H7:H13)</f>
        <v>2589192</v>
      </c>
      <c r="I14" s="43"/>
      <c r="J14" s="17">
        <f>SUM(J7:J13)</f>
        <v>2487867</v>
      </c>
      <c r="K14" s="44"/>
      <c r="L14" s="38"/>
      <c r="M14" s="41"/>
      <c r="N14" s="17">
        <f>SUM(N7:N13)</f>
        <v>2589192</v>
      </c>
      <c r="O14" s="43"/>
      <c r="P14" s="18">
        <f>SUM(P7:P13)</f>
        <v>3733021</v>
      </c>
    </row>
    <row r="15" spans="2:16" x14ac:dyDescent="0.25">
      <c r="D15" s="15"/>
      <c r="E15" s="38"/>
      <c r="F15" s="38"/>
      <c r="G15" s="41"/>
      <c r="H15" s="37"/>
      <c r="I15" s="64"/>
      <c r="J15" s="36"/>
      <c r="K15" s="44"/>
      <c r="L15" s="38"/>
      <c r="M15" s="41"/>
      <c r="N15" s="36"/>
      <c r="O15" s="43"/>
      <c r="P15" s="14"/>
    </row>
    <row r="16" spans="2:16" ht="15.75" thickBot="1" x14ac:dyDescent="0.3">
      <c r="D16" s="19" t="s">
        <v>15</v>
      </c>
      <c r="E16" s="20"/>
      <c r="F16" s="20"/>
      <c r="G16" s="7"/>
      <c r="H16" s="8" t="s">
        <v>16</v>
      </c>
      <c r="I16" s="8" t="s">
        <v>5</v>
      </c>
      <c r="J16" s="9" t="s">
        <v>6</v>
      </c>
      <c r="K16" s="37"/>
      <c r="L16" s="20"/>
      <c r="M16" s="7"/>
      <c r="N16" s="8" t="s">
        <v>16</v>
      </c>
      <c r="O16" s="8" t="s">
        <v>7</v>
      </c>
      <c r="P16" s="11" t="s">
        <v>6</v>
      </c>
    </row>
    <row r="17" spans="2:16" x14ac:dyDescent="0.25">
      <c r="B17">
        <v>8</v>
      </c>
      <c r="D17" s="34" t="s">
        <v>45</v>
      </c>
      <c r="E17" s="38" t="s">
        <v>17</v>
      </c>
      <c r="F17" s="37"/>
      <c r="G17" s="45">
        <v>1</v>
      </c>
      <c r="H17" s="36">
        <f>N17</f>
        <v>84</v>
      </c>
      <c r="I17" s="82">
        <v>6.75</v>
      </c>
      <c r="J17" s="36">
        <f>G17*H17*I17</f>
        <v>567</v>
      </c>
      <c r="K17" s="37"/>
      <c r="L17" s="37"/>
      <c r="M17" s="45">
        <v>1</v>
      </c>
      <c r="N17" s="36">
        <v>84</v>
      </c>
      <c r="O17" s="82">
        <v>6.75</v>
      </c>
      <c r="P17" s="14">
        <f>M17*N17*O17</f>
        <v>567</v>
      </c>
    </row>
    <row r="18" spans="2:16" x14ac:dyDescent="0.25">
      <c r="B18">
        <v>9</v>
      </c>
      <c r="D18" s="34"/>
      <c r="E18" s="38" t="s">
        <v>18</v>
      </c>
      <c r="F18" s="37"/>
      <c r="G18" s="45">
        <v>1</v>
      </c>
      <c r="H18" s="36">
        <f t="shared" ref="H18:H20" si="5">N18</f>
        <v>4188</v>
      </c>
      <c r="I18" s="82">
        <v>18.25</v>
      </c>
      <c r="J18" s="36">
        <f t="shared" ref="J18:J20" si="6">G18*H18*I18</f>
        <v>76431</v>
      </c>
      <c r="K18" s="37"/>
      <c r="L18" s="37"/>
      <c r="M18" s="45">
        <v>1</v>
      </c>
      <c r="N18" s="36">
        <v>4188</v>
      </c>
      <c r="O18" s="82">
        <v>18.25</v>
      </c>
      <c r="P18" s="14">
        <f t="shared" ref="P18:P20" si="7">M18*N18*O18</f>
        <v>76431</v>
      </c>
    </row>
    <row r="19" spans="2:16" x14ac:dyDescent="0.25">
      <c r="B19">
        <v>10</v>
      </c>
      <c r="D19" s="15"/>
      <c r="E19" s="38" t="s">
        <v>19</v>
      </c>
      <c r="F19" s="37"/>
      <c r="G19" s="45">
        <v>1</v>
      </c>
      <c r="H19" s="36">
        <f t="shared" si="5"/>
        <v>1236</v>
      </c>
      <c r="I19" s="82">
        <v>63.5</v>
      </c>
      <c r="J19" s="36">
        <f t="shared" si="6"/>
        <v>78486</v>
      </c>
      <c r="K19" s="37"/>
      <c r="L19" s="37"/>
      <c r="M19" s="45">
        <v>1</v>
      </c>
      <c r="N19" s="36">
        <v>1236</v>
      </c>
      <c r="O19" s="82">
        <v>63.5</v>
      </c>
      <c r="P19" s="14">
        <f t="shared" si="7"/>
        <v>78486</v>
      </c>
    </row>
    <row r="20" spans="2:16" x14ac:dyDescent="0.25">
      <c r="B20">
        <v>11</v>
      </c>
      <c r="D20" s="15"/>
      <c r="E20" s="38" t="s">
        <v>20</v>
      </c>
      <c r="F20" s="37"/>
      <c r="G20" s="45">
        <v>1</v>
      </c>
      <c r="H20" s="36">
        <f t="shared" si="5"/>
        <v>192</v>
      </c>
      <c r="I20" s="70">
        <v>420.25</v>
      </c>
      <c r="J20" s="36">
        <f t="shared" si="6"/>
        <v>80688</v>
      </c>
      <c r="K20" s="37"/>
      <c r="L20" s="37"/>
      <c r="M20" s="45">
        <v>1</v>
      </c>
      <c r="N20" s="36">
        <v>192</v>
      </c>
      <c r="O20" s="70">
        <v>420.25</v>
      </c>
      <c r="P20" s="14">
        <f t="shared" si="7"/>
        <v>80688</v>
      </c>
    </row>
    <row r="21" spans="2:16" x14ac:dyDescent="0.25">
      <c r="B21">
        <v>12</v>
      </c>
      <c r="D21" s="26" t="s">
        <v>22</v>
      </c>
      <c r="E21" s="38"/>
      <c r="F21" s="37"/>
      <c r="G21" s="45"/>
      <c r="H21" s="17">
        <f>SUM(H17:H20)</f>
        <v>5700</v>
      </c>
      <c r="I21" s="43"/>
      <c r="J21" s="17">
        <f>SUM(J17:J20)</f>
        <v>236172</v>
      </c>
      <c r="K21" s="44"/>
      <c r="L21" s="37"/>
      <c r="M21" s="45"/>
      <c r="N21" s="17">
        <f>SUM(N17:N20)</f>
        <v>5700</v>
      </c>
      <c r="O21" s="46"/>
      <c r="P21" s="18">
        <f>SUM(P17:P20)</f>
        <v>236172</v>
      </c>
    </row>
    <row r="22" spans="2:16" ht="15.75" thickBot="1" x14ac:dyDescent="0.3">
      <c r="D22" s="15"/>
      <c r="E22" s="37"/>
      <c r="F22" s="37"/>
      <c r="G22" s="45"/>
      <c r="H22" s="47"/>
      <c r="I22" s="47"/>
      <c r="J22" s="27"/>
      <c r="K22" s="37"/>
      <c r="L22" s="37"/>
      <c r="M22" s="45"/>
      <c r="N22" s="47"/>
      <c r="O22" s="47"/>
      <c r="P22" s="28"/>
    </row>
    <row r="23" spans="2:16" ht="15.75" thickTop="1" x14ac:dyDescent="0.25">
      <c r="B23">
        <v>13</v>
      </c>
      <c r="D23" s="15" t="s">
        <v>46</v>
      </c>
      <c r="E23" s="37"/>
      <c r="F23" s="37"/>
      <c r="G23" s="37"/>
      <c r="H23" s="37"/>
      <c r="I23" s="47"/>
      <c r="J23" s="47">
        <f>J21+J14</f>
        <v>2724039</v>
      </c>
      <c r="K23" s="37"/>
      <c r="L23" s="37"/>
      <c r="M23" s="37"/>
      <c r="N23" s="37"/>
      <c r="O23" s="47"/>
      <c r="P23" s="30">
        <f>P21+P14</f>
        <v>3969193</v>
      </c>
    </row>
    <row r="24" spans="2:16" x14ac:dyDescent="0.25">
      <c r="B24">
        <v>14</v>
      </c>
      <c r="D24" s="15" t="s">
        <v>24</v>
      </c>
      <c r="E24" s="37"/>
      <c r="F24" s="37"/>
      <c r="G24" s="37"/>
      <c r="H24" s="37"/>
      <c r="I24" s="37"/>
      <c r="J24" s="31">
        <f>P24</f>
        <v>27110.370810570661</v>
      </c>
      <c r="K24" s="37"/>
      <c r="L24" s="37"/>
      <c r="M24" s="37"/>
      <c r="N24" s="37"/>
      <c r="O24" s="37"/>
      <c r="P24" s="96">
        <v>27110.370810570661</v>
      </c>
    </row>
    <row r="25" spans="2:16" ht="15.75" thickBot="1" x14ac:dyDescent="0.3">
      <c r="B25">
        <v>15</v>
      </c>
      <c r="D25" s="54" t="s">
        <v>47</v>
      </c>
      <c r="E25" s="20"/>
      <c r="F25" s="20"/>
      <c r="G25" s="32"/>
      <c r="H25" s="24"/>
      <c r="I25" s="20"/>
      <c r="J25" s="52">
        <f>+J23+J24</f>
        <v>2751149.3708105707</v>
      </c>
      <c r="K25" s="24"/>
      <c r="L25" s="20"/>
      <c r="M25" s="32"/>
      <c r="N25" s="24"/>
      <c r="O25" s="20"/>
      <c r="P25" s="25">
        <v>3996302.96358812</v>
      </c>
    </row>
    <row r="26" spans="2:16" ht="15.75" thickBot="1" x14ac:dyDescent="0.3">
      <c r="D26" s="33"/>
      <c r="E26" s="10"/>
      <c r="F26" s="10"/>
      <c r="G26" s="22"/>
      <c r="H26" s="13"/>
      <c r="I26" s="10"/>
      <c r="J26" s="13"/>
      <c r="K26" s="13"/>
      <c r="L26" s="10"/>
      <c r="M26" s="22"/>
      <c r="N26" s="13"/>
      <c r="O26" s="10"/>
      <c r="P26" s="13"/>
    </row>
    <row r="27" spans="2:16" x14ac:dyDescent="0.25">
      <c r="D27" s="1" t="s">
        <v>48</v>
      </c>
      <c r="E27" s="2"/>
      <c r="F27" s="2"/>
      <c r="G27" s="110" t="s">
        <v>1</v>
      </c>
      <c r="H27" s="110"/>
      <c r="I27" s="110"/>
      <c r="J27" s="61"/>
      <c r="K27" s="2"/>
      <c r="L27" s="2"/>
      <c r="M27" s="3"/>
      <c r="N27" s="106" t="s">
        <v>2</v>
      </c>
      <c r="O27" s="106"/>
      <c r="P27" s="107"/>
    </row>
    <row r="28" spans="2:16" ht="15.75" thickBot="1" x14ac:dyDescent="0.3">
      <c r="D28" s="5" t="s">
        <v>3</v>
      </c>
      <c r="E28" s="6"/>
      <c r="F28" s="6"/>
      <c r="G28" s="7" t="s">
        <v>4</v>
      </c>
      <c r="H28" s="8" t="s">
        <v>4</v>
      </c>
      <c r="I28" s="8" t="s">
        <v>5</v>
      </c>
      <c r="J28" s="9" t="s">
        <v>6</v>
      </c>
      <c r="K28" s="23"/>
      <c r="L28" s="6"/>
      <c r="M28" s="7" t="s">
        <v>4</v>
      </c>
      <c r="N28" s="8" t="s">
        <v>4</v>
      </c>
      <c r="O28" s="8" t="s">
        <v>7</v>
      </c>
      <c r="P28" s="11" t="s">
        <v>6</v>
      </c>
    </row>
    <row r="29" spans="2:16" x14ac:dyDescent="0.25">
      <c r="B29">
        <v>16</v>
      </c>
      <c r="D29" s="12"/>
      <c r="E29" s="38" t="s">
        <v>9</v>
      </c>
      <c r="F29" s="38" t="s">
        <v>10</v>
      </c>
      <c r="G29" s="63">
        <v>2000</v>
      </c>
      <c r="H29" s="36">
        <f>N29</f>
        <v>214818</v>
      </c>
      <c r="I29" s="42">
        <v>0.95730999999999999</v>
      </c>
      <c r="J29" s="36">
        <f>ROUND(H29*I29,0)</f>
        <v>205647</v>
      </c>
      <c r="K29" s="23"/>
      <c r="L29" s="38" t="s">
        <v>10</v>
      </c>
      <c r="M29" s="63">
        <v>2000</v>
      </c>
      <c r="N29" s="36">
        <v>214818</v>
      </c>
      <c r="O29" s="42">
        <v>0.92199311607311418</v>
      </c>
      <c r="P29" s="14">
        <f>ROUND(N29*O29,0)</f>
        <v>198061</v>
      </c>
    </row>
    <row r="30" spans="2:16" x14ac:dyDescent="0.25">
      <c r="B30">
        <v>17</v>
      </c>
      <c r="D30" s="15"/>
      <c r="E30" s="38" t="s">
        <v>11</v>
      </c>
      <c r="F30" s="38" t="s">
        <v>41</v>
      </c>
      <c r="G30" s="63">
        <v>18000</v>
      </c>
      <c r="H30" s="36">
        <f t="shared" ref="H30:H31" si="8">N30</f>
        <v>56186</v>
      </c>
      <c r="I30" s="42">
        <v>0.14458000000000001</v>
      </c>
      <c r="J30" s="36">
        <f t="shared" ref="J30:J31" si="9">ROUND(H30*I30,0)</f>
        <v>8123</v>
      </c>
      <c r="K30" s="23"/>
      <c r="L30" s="38" t="s">
        <v>42</v>
      </c>
      <c r="M30" s="63">
        <v>18000</v>
      </c>
      <c r="N30" s="36">
        <v>56186</v>
      </c>
      <c r="O30" s="42">
        <v>0.10926311607311423</v>
      </c>
      <c r="P30" s="14">
        <f t="shared" ref="P30:P31" si="10">ROUND(N30*O30,0)</f>
        <v>6139</v>
      </c>
    </row>
    <row r="31" spans="2:16" x14ac:dyDescent="0.25">
      <c r="B31">
        <v>18</v>
      </c>
      <c r="D31" s="15"/>
      <c r="E31" s="38" t="s">
        <v>43</v>
      </c>
      <c r="F31" s="38" t="s">
        <v>12</v>
      </c>
      <c r="G31" s="63">
        <v>20000</v>
      </c>
      <c r="H31" s="36">
        <f t="shared" si="8"/>
        <v>0</v>
      </c>
      <c r="I31" s="97">
        <v>8.5110000000000019E-2</v>
      </c>
      <c r="J31" s="36">
        <f t="shared" si="9"/>
        <v>0</v>
      </c>
      <c r="K31" s="23"/>
      <c r="L31" s="38" t="s">
        <v>12</v>
      </c>
      <c r="M31" s="63">
        <v>20000</v>
      </c>
      <c r="N31" s="36">
        <v>0</v>
      </c>
      <c r="O31" s="97">
        <v>4.9793116073114235E-2</v>
      </c>
      <c r="P31" s="14">
        <f t="shared" si="10"/>
        <v>0</v>
      </c>
    </row>
    <row r="32" spans="2:16" x14ac:dyDescent="0.25">
      <c r="B32">
        <v>19</v>
      </c>
      <c r="D32" s="16" t="s">
        <v>14</v>
      </c>
      <c r="E32" s="37"/>
      <c r="F32" s="38"/>
      <c r="G32" s="41"/>
      <c r="H32" s="17">
        <f>SUM(H29:H31)</f>
        <v>271004</v>
      </c>
      <c r="I32" s="43"/>
      <c r="J32" s="17">
        <f>SUM(J29:J31)</f>
        <v>213770</v>
      </c>
      <c r="K32" s="23"/>
      <c r="L32" s="38"/>
      <c r="M32" s="41"/>
      <c r="N32" s="17">
        <f>SUM(N29:N31)</f>
        <v>271004</v>
      </c>
      <c r="O32" s="43"/>
      <c r="P32" s="18">
        <f>SUM(P29:P31)</f>
        <v>204200</v>
      </c>
    </row>
    <row r="33" spans="2:16" x14ac:dyDescent="0.25">
      <c r="D33" s="15"/>
      <c r="E33" s="38"/>
      <c r="F33" s="38"/>
      <c r="G33" s="41"/>
      <c r="H33" s="36"/>
      <c r="I33" s="43"/>
      <c r="J33" s="36"/>
      <c r="K33" s="44"/>
      <c r="L33" s="38"/>
      <c r="M33" s="41"/>
      <c r="N33" s="36"/>
      <c r="O33" s="43"/>
      <c r="P33" s="14"/>
    </row>
    <row r="34" spans="2:16" ht="15.75" thickBot="1" x14ac:dyDescent="0.3">
      <c r="D34" s="19" t="s">
        <v>15</v>
      </c>
      <c r="E34" s="20"/>
      <c r="F34" s="20"/>
      <c r="G34" s="7"/>
      <c r="H34" s="8" t="s">
        <v>16</v>
      </c>
      <c r="I34" s="8" t="s">
        <v>5</v>
      </c>
      <c r="J34" s="9" t="s">
        <v>6</v>
      </c>
      <c r="K34" s="37"/>
      <c r="L34" s="20"/>
      <c r="M34" s="7"/>
      <c r="N34" s="8" t="s">
        <v>16</v>
      </c>
      <c r="O34" s="8" t="s">
        <v>7</v>
      </c>
      <c r="P34" s="11" t="s">
        <v>6</v>
      </c>
    </row>
    <row r="35" spans="2:16" x14ac:dyDescent="0.25">
      <c r="B35">
        <v>20</v>
      </c>
      <c r="D35" s="34" t="s">
        <v>45</v>
      </c>
      <c r="E35" s="38" t="s">
        <v>17</v>
      </c>
      <c r="F35" s="37"/>
      <c r="G35" s="45">
        <v>1</v>
      </c>
      <c r="H35" s="36">
        <f>N35</f>
        <v>0</v>
      </c>
      <c r="I35" s="82">
        <v>6.75</v>
      </c>
      <c r="J35" s="36">
        <f>G35*H35*I35</f>
        <v>0</v>
      </c>
      <c r="K35" s="36"/>
      <c r="L35" s="37"/>
      <c r="M35" s="45">
        <v>1</v>
      </c>
      <c r="N35" s="36">
        <v>0</v>
      </c>
      <c r="O35" s="82">
        <v>6.75</v>
      </c>
      <c r="P35" s="14">
        <f>M35*N35*O35</f>
        <v>0</v>
      </c>
    </row>
    <row r="36" spans="2:16" x14ac:dyDescent="0.25">
      <c r="B36">
        <v>21</v>
      </c>
      <c r="D36" s="34"/>
      <c r="E36" s="38" t="s">
        <v>18</v>
      </c>
      <c r="F36" s="37"/>
      <c r="G36" s="45">
        <v>1</v>
      </c>
      <c r="H36" s="36">
        <f t="shared" ref="H36:H38" si="11">N36</f>
        <v>60</v>
      </c>
      <c r="I36" s="82">
        <v>18.25</v>
      </c>
      <c r="J36" s="36">
        <f t="shared" ref="J36:J38" si="12">G36*H36*I36</f>
        <v>1095</v>
      </c>
      <c r="K36" s="36"/>
      <c r="L36" s="37"/>
      <c r="M36" s="45">
        <v>1</v>
      </c>
      <c r="N36" s="36">
        <v>60</v>
      </c>
      <c r="O36" s="82">
        <v>18.25</v>
      </c>
      <c r="P36" s="14">
        <f t="shared" ref="P36:P38" si="13">M36*N36*O36</f>
        <v>1095</v>
      </c>
    </row>
    <row r="37" spans="2:16" x14ac:dyDescent="0.25">
      <c r="B37">
        <v>22</v>
      </c>
      <c r="D37" s="15"/>
      <c r="E37" s="38" t="s">
        <v>19</v>
      </c>
      <c r="F37" s="37"/>
      <c r="G37" s="45">
        <v>1</v>
      </c>
      <c r="H37" s="36">
        <f t="shared" si="11"/>
        <v>132</v>
      </c>
      <c r="I37" s="82">
        <v>63.5</v>
      </c>
      <c r="J37" s="36">
        <f t="shared" si="12"/>
        <v>8382</v>
      </c>
      <c r="K37" s="36"/>
      <c r="L37" s="37"/>
      <c r="M37" s="45">
        <v>1</v>
      </c>
      <c r="N37" s="36">
        <v>132</v>
      </c>
      <c r="O37" s="82">
        <v>63.5</v>
      </c>
      <c r="P37" s="14">
        <f t="shared" si="13"/>
        <v>8382</v>
      </c>
    </row>
    <row r="38" spans="2:16" x14ac:dyDescent="0.25">
      <c r="B38">
        <v>23</v>
      </c>
      <c r="D38" s="15"/>
      <c r="E38" s="38" t="s">
        <v>20</v>
      </c>
      <c r="F38" s="37"/>
      <c r="G38" s="45">
        <v>1</v>
      </c>
      <c r="H38" s="36">
        <f t="shared" si="11"/>
        <v>84</v>
      </c>
      <c r="I38" s="70">
        <v>420.25</v>
      </c>
      <c r="J38" s="36">
        <f t="shared" si="12"/>
        <v>35301</v>
      </c>
      <c r="K38" s="36"/>
      <c r="L38" s="37"/>
      <c r="M38" s="45">
        <v>1</v>
      </c>
      <c r="N38" s="36">
        <v>84</v>
      </c>
      <c r="O38" s="70">
        <v>420.25</v>
      </c>
      <c r="P38" s="14">
        <f t="shared" si="13"/>
        <v>35301</v>
      </c>
    </row>
    <row r="39" spans="2:16" x14ac:dyDescent="0.25">
      <c r="B39">
        <v>24</v>
      </c>
      <c r="D39" s="26" t="s">
        <v>22</v>
      </c>
      <c r="E39" s="38"/>
      <c r="F39" s="37"/>
      <c r="G39" s="45"/>
      <c r="H39" s="17">
        <f>SUM(H35:H38)</f>
        <v>276</v>
      </c>
      <c r="I39" s="43"/>
      <c r="J39" s="17">
        <f>SUM(J35:J38)</f>
        <v>44778</v>
      </c>
      <c r="K39" s="44"/>
      <c r="L39" s="37"/>
      <c r="M39" s="45"/>
      <c r="N39" s="17">
        <f>SUM(N35:N38)</f>
        <v>276</v>
      </c>
      <c r="O39" s="46"/>
      <c r="P39" s="18">
        <f>SUM(P35:P38)</f>
        <v>44778</v>
      </c>
    </row>
    <row r="40" spans="2:16" ht="15.75" thickBot="1" x14ac:dyDescent="0.3">
      <c r="D40" s="15"/>
      <c r="E40" s="37"/>
      <c r="F40" s="37"/>
      <c r="G40" s="45"/>
      <c r="H40" s="47"/>
      <c r="I40" s="47"/>
      <c r="J40" s="27"/>
      <c r="K40" s="37"/>
      <c r="L40" s="37"/>
      <c r="M40" s="45"/>
      <c r="N40" s="47"/>
      <c r="O40" s="47"/>
      <c r="P40" s="28"/>
    </row>
    <row r="41" spans="2:16" ht="15.75" thickTop="1" x14ac:dyDescent="0.25">
      <c r="B41">
        <v>25</v>
      </c>
      <c r="D41" s="15" t="s">
        <v>49</v>
      </c>
      <c r="E41" s="37"/>
      <c r="F41" s="37"/>
      <c r="G41" s="45"/>
      <c r="H41" s="47"/>
      <c r="I41" s="47"/>
      <c r="J41" s="47">
        <f>J39+J32</f>
        <v>258548</v>
      </c>
      <c r="K41" s="37"/>
      <c r="L41" s="37"/>
      <c r="M41" s="45"/>
      <c r="N41" s="47"/>
      <c r="O41" s="47"/>
      <c r="P41" s="30">
        <f>+P32+P39</f>
        <v>248978</v>
      </c>
    </row>
    <row r="42" spans="2:16" x14ac:dyDescent="0.25">
      <c r="B42">
        <v>26</v>
      </c>
      <c r="D42" s="15" t="s">
        <v>24</v>
      </c>
      <c r="E42" s="37"/>
      <c r="F42" s="37"/>
      <c r="G42" s="45"/>
      <c r="H42" s="37"/>
      <c r="I42" s="37"/>
      <c r="J42" s="31">
        <f>P42</f>
        <v>1404.4252754164347</v>
      </c>
      <c r="K42" s="37"/>
      <c r="L42" s="37"/>
      <c r="M42" s="45"/>
      <c r="N42" s="37"/>
      <c r="O42" s="37"/>
      <c r="P42" s="96">
        <v>1404.4252754164347</v>
      </c>
    </row>
    <row r="43" spans="2:16" ht="15.75" thickBot="1" x14ac:dyDescent="0.3">
      <c r="B43">
        <v>27</v>
      </c>
      <c r="D43" s="54" t="s">
        <v>50</v>
      </c>
      <c r="E43" s="20"/>
      <c r="F43" s="20"/>
      <c r="G43" s="32"/>
      <c r="H43" s="24"/>
      <c r="I43" s="20"/>
      <c r="J43" s="52">
        <f>+J41+J42</f>
        <v>259952.42527541643</v>
      </c>
      <c r="K43" s="24"/>
      <c r="L43" s="20"/>
      <c r="M43" s="32"/>
      <c r="N43" s="24"/>
      <c r="O43" s="20"/>
      <c r="P43" s="25">
        <v>250382.19992369469</v>
      </c>
    </row>
  </sheetData>
  <mergeCells count="7">
    <mergeCell ref="D3:E3"/>
    <mergeCell ref="F3:G3"/>
    <mergeCell ref="L3:M3"/>
    <mergeCell ref="N5:P5"/>
    <mergeCell ref="N27:P27"/>
    <mergeCell ref="G5:I5"/>
    <mergeCell ref="G27:I27"/>
  </mergeCells>
  <pageMargins left="0.25" right="0.25" top="0.5" bottom="0.25" header="0" footer="0"/>
  <pageSetup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1"/>
  <sheetViews>
    <sheetView zoomScale="85" zoomScaleNormal="85" workbookViewId="0">
      <selection activeCell="H13" sqref="H13"/>
    </sheetView>
  </sheetViews>
  <sheetFormatPr defaultRowHeight="15" x14ac:dyDescent="0.25"/>
  <cols>
    <col min="2" max="2" width="3" bestFit="1" customWidth="1"/>
    <col min="3" max="3" width="3.42578125" customWidth="1"/>
    <col min="4" max="4" width="17" customWidth="1"/>
    <col min="5" max="5" width="7.28515625" bestFit="1" customWidth="1"/>
    <col min="6" max="6" width="9.85546875" bestFit="1" customWidth="1"/>
    <col min="7" max="7" width="7.5703125" bestFit="1" customWidth="1"/>
    <col min="8" max="8" width="25.5703125" bestFit="1" customWidth="1"/>
    <col min="9" max="9" width="10.140625" bestFit="1" customWidth="1"/>
    <col min="10" max="10" width="11.7109375" bestFit="1" customWidth="1"/>
    <col min="11" max="11" width="3.7109375" bestFit="1" customWidth="1"/>
    <col min="12" max="12" width="9.85546875" bestFit="1" customWidth="1"/>
    <col min="13" max="13" width="7.5703125" bestFit="1" customWidth="1"/>
    <col min="14" max="14" width="16.140625" bestFit="1" customWidth="1"/>
    <col min="15" max="15" width="10.5703125" bestFit="1" customWidth="1"/>
    <col min="16" max="16" width="11.85546875" bestFit="1" customWidth="1"/>
  </cols>
  <sheetData>
    <row r="3" spans="2:16" x14ac:dyDescent="0.25">
      <c r="D3" s="108" t="s">
        <v>30</v>
      </c>
      <c r="E3" s="108"/>
      <c r="F3" s="108" t="s">
        <v>31</v>
      </c>
      <c r="G3" s="108"/>
      <c r="H3" s="51" t="s">
        <v>32</v>
      </c>
      <c r="I3" s="51" t="s">
        <v>33</v>
      </c>
      <c r="J3" s="51" t="s">
        <v>34</v>
      </c>
      <c r="K3" s="51"/>
      <c r="L3" s="108" t="s">
        <v>35</v>
      </c>
      <c r="M3" s="108"/>
      <c r="N3" s="51" t="s">
        <v>36</v>
      </c>
      <c r="O3" s="51" t="s">
        <v>37</v>
      </c>
      <c r="P3" s="51" t="s">
        <v>38</v>
      </c>
    </row>
    <row r="4" spans="2:16" ht="15.75" thickBot="1" x14ac:dyDescent="0.3"/>
    <row r="5" spans="2:16" x14ac:dyDescent="0.25">
      <c r="D5" s="1" t="s">
        <v>51</v>
      </c>
      <c r="E5" s="2"/>
      <c r="F5" s="67"/>
      <c r="G5" s="109" t="s">
        <v>1</v>
      </c>
      <c r="H5" s="109"/>
      <c r="I5" s="109"/>
      <c r="J5" s="66"/>
      <c r="K5" s="2"/>
      <c r="L5" s="2"/>
      <c r="M5" s="65"/>
      <c r="N5" s="106" t="s">
        <v>2</v>
      </c>
      <c r="O5" s="106"/>
      <c r="P5" s="107"/>
    </row>
    <row r="6" spans="2:16" ht="15.75" thickBot="1" x14ac:dyDescent="0.3">
      <c r="D6" s="5" t="s">
        <v>3</v>
      </c>
      <c r="E6" s="6"/>
      <c r="F6" s="6"/>
      <c r="G6" s="7" t="s">
        <v>4</v>
      </c>
      <c r="H6" s="8" t="s">
        <v>4</v>
      </c>
      <c r="I6" s="8" t="s">
        <v>5</v>
      </c>
      <c r="J6" s="9" t="s">
        <v>6</v>
      </c>
      <c r="K6" s="23"/>
      <c r="L6" s="6"/>
      <c r="M6" s="7" t="s">
        <v>4</v>
      </c>
      <c r="N6" s="8" t="s">
        <v>4</v>
      </c>
      <c r="O6" s="8" t="s">
        <v>7</v>
      </c>
      <c r="P6" s="11" t="s">
        <v>6</v>
      </c>
    </row>
    <row r="7" spans="2:16" x14ac:dyDescent="0.25">
      <c r="B7">
        <v>1</v>
      </c>
      <c r="D7" s="12"/>
      <c r="E7" s="38" t="s">
        <v>9</v>
      </c>
      <c r="F7" s="38" t="s">
        <v>10</v>
      </c>
      <c r="G7" s="41">
        <v>10000</v>
      </c>
      <c r="H7" s="36">
        <f>N7</f>
        <v>1253888</v>
      </c>
      <c r="I7" s="42">
        <v>0.56564000000000003</v>
      </c>
      <c r="J7" s="36">
        <f>ROUND(H7*I7,0)</f>
        <v>709249</v>
      </c>
      <c r="K7" s="81"/>
      <c r="L7" s="38" t="s">
        <v>10</v>
      </c>
      <c r="M7" s="41">
        <v>10000</v>
      </c>
      <c r="N7" s="36">
        <v>1253888</v>
      </c>
      <c r="O7" s="42">
        <v>0.57621790971733622</v>
      </c>
      <c r="P7" s="14">
        <f>ROUND(N7*O7,0)</f>
        <v>722513</v>
      </c>
    </row>
    <row r="8" spans="2:16" x14ac:dyDescent="0.25">
      <c r="B8">
        <v>2</v>
      </c>
      <c r="D8" s="15"/>
      <c r="E8" s="38" t="s">
        <v>11</v>
      </c>
      <c r="F8" s="38" t="s">
        <v>41</v>
      </c>
      <c r="G8" s="41">
        <v>112500</v>
      </c>
      <c r="H8" s="36">
        <f t="shared" ref="H8:H10" si="0">N8</f>
        <v>5311402</v>
      </c>
      <c r="I8" s="42">
        <v>0.53011999999999992</v>
      </c>
      <c r="J8" s="36">
        <f t="shared" ref="J8:J10" si="1">ROUND(H8*I8,0)</f>
        <v>2815680</v>
      </c>
      <c r="K8" s="81"/>
      <c r="L8" s="38" t="s">
        <v>41</v>
      </c>
      <c r="M8" s="41">
        <v>112500</v>
      </c>
      <c r="N8" s="36">
        <v>5311402</v>
      </c>
      <c r="O8" s="42">
        <v>0.54069790971733611</v>
      </c>
      <c r="P8" s="14">
        <f t="shared" ref="P8:P10" si="2">ROUND(N8*O8,0)</f>
        <v>2871864</v>
      </c>
    </row>
    <row r="9" spans="2:16" x14ac:dyDescent="0.25">
      <c r="B9">
        <v>3</v>
      </c>
      <c r="D9" s="15"/>
      <c r="E9" s="38" t="s">
        <v>43</v>
      </c>
      <c r="F9" s="38" t="s">
        <v>41</v>
      </c>
      <c r="G9" s="41">
        <v>477500</v>
      </c>
      <c r="H9" s="36">
        <f t="shared" si="0"/>
        <v>3184380</v>
      </c>
      <c r="I9" s="42">
        <v>0.37212999999999996</v>
      </c>
      <c r="J9" s="36">
        <f t="shared" si="1"/>
        <v>1185003</v>
      </c>
      <c r="K9" s="46"/>
      <c r="L9" s="38" t="s">
        <v>41</v>
      </c>
      <c r="M9" s="41">
        <v>477500</v>
      </c>
      <c r="N9" s="36">
        <v>3184380</v>
      </c>
      <c r="O9" s="42">
        <v>0.38270790971733615</v>
      </c>
      <c r="P9" s="14">
        <f t="shared" si="2"/>
        <v>1218687</v>
      </c>
    </row>
    <row r="10" spans="2:16" x14ac:dyDescent="0.25">
      <c r="B10">
        <v>4</v>
      </c>
      <c r="D10" s="15"/>
      <c r="E10" s="38" t="s">
        <v>52</v>
      </c>
      <c r="F10" s="38" t="s">
        <v>12</v>
      </c>
      <c r="G10" s="41">
        <v>600000</v>
      </c>
      <c r="H10" s="35">
        <f t="shared" si="0"/>
        <v>0</v>
      </c>
      <c r="I10" s="97">
        <v>7.9999999999999988E-2</v>
      </c>
      <c r="J10" s="35">
        <f t="shared" si="1"/>
        <v>0</v>
      </c>
      <c r="K10" s="46"/>
      <c r="L10" s="38" t="s">
        <v>12</v>
      </c>
      <c r="M10" s="41">
        <v>600000</v>
      </c>
      <c r="N10" s="36">
        <v>0</v>
      </c>
      <c r="O10" s="42">
        <v>9.0577909717336147E-2</v>
      </c>
      <c r="P10" s="14">
        <f t="shared" si="2"/>
        <v>0</v>
      </c>
    </row>
    <row r="11" spans="2:16" x14ac:dyDescent="0.25">
      <c r="B11">
        <v>5</v>
      </c>
      <c r="D11" s="16" t="s">
        <v>14</v>
      </c>
      <c r="E11" s="37"/>
      <c r="F11" s="38"/>
      <c r="G11" s="41"/>
      <c r="H11" s="36">
        <f>SUM(H7:H10)</f>
        <v>9749670</v>
      </c>
      <c r="I11" s="43"/>
      <c r="J11" s="36">
        <f>SUM(J7:J10)</f>
        <v>4709932</v>
      </c>
      <c r="K11" s="44"/>
      <c r="L11" s="38"/>
      <c r="M11" s="41"/>
      <c r="N11" s="17">
        <f>SUM(N7:N10)</f>
        <v>9749670</v>
      </c>
      <c r="O11" s="68"/>
      <c r="P11" s="18">
        <f>SUM(P7:P10)</f>
        <v>4813064</v>
      </c>
    </row>
    <row r="12" spans="2:16" x14ac:dyDescent="0.25">
      <c r="D12" s="15"/>
      <c r="E12" s="38"/>
      <c r="F12" s="38"/>
      <c r="G12" s="41"/>
      <c r="H12" s="36"/>
      <c r="I12" s="43"/>
      <c r="J12" s="36"/>
      <c r="K12" s="44"/>
      <c r="L12" s="38"/>
      <c r="M12" s="41"/>
      <c r="N12" s="36"/>
      <c r="O12" s="43"/>
      <c r="P12" s="14"/>
    </row>
    <row r="13" spans="2:16" ht="15.75" thickBot="1" x14ac:dyDescent="0.3">
      <c r="D13" s="19" t="s">
        <v>15</v>
      </c>
      <c r="E13" s="20"/>
      <c r="F13" s="20"/>
      <c r="G13" s="7"/>
      <c r="H13" s="8" t="s">
        <v>53</v>
      </c>
      <c r="I13" s="8" t="s">
        <v>5</v>
      </c>
      <c r="J13" s="9" t="s">
        <v>6</v>
      </c>
      <c r="K13" s="37"/>
      <c r="L13" s="20"/>
      <c r="M13" s="7"/>
      <c r="N13" s="8" t="s">
        <v>53</v>
      </c>
      <c r="O13" s="8" t="s">
        <v>7</v>
      </c>
      <c r="P13" s="11" t="s">
        <v>6</v>
      </c>
    </row>
    <row r="14" spans="2:16" x14ac:dyDescent="0.25">
      <c r="B14">
        <v>6</v>
      </c>
      <c r="D14" s="34" t="s">
        <v>54</v>
      </c>
      <c r="E14" s="37"/>
      <c r="F14" s="38" t="s">
        <v>55</v>
      </c>
      <c r="G14" s="45">
        <v>1</v>
      </c>
      <c r="H14" s="36">
        <f>N14</f>
        <v>60</v>
      </c>
      <c r="I14" s="82">
        <v>250</v>
      </c>
      <c r="J14" s="36">
        <f>G14*H14*I14</f>
        <v>15000</v>
      </c>
      <c r="K14" s="37"/>
      <c r="L14" s="38" t="s">
        <v>55</v>
      </c>
      <c r="M14" s="45">
        <v>1</v>
      </c>
      <c r="N14" s="36">
        <v>60</v>
      </c>
      <c r="O14" s="82">
        <v>200</v>
      </c>
      <c r="P14" s="14">
        <f>M14*N14*O14</f>
        <v>12000</v>
      </c>
    </row>
    <row r="15" spans="2:16" x14ac:dyDescent="0.25">
      <c r="B15">
        <v>7</v>
      </c>
      <c r="D15" s="69"/>
      <c r="E15" s="37"/>
      <c r="F15" s="38" t="s">
        <v>56</v>
      </c>
      <c r="G15" s="45">
        <v>1</v>
      </c>
      <c r="H15" s="36">
        <f>N15</f>
        <v>72</v>
      </c>
      <c r="I15" s="70">
        <v>125</v>
      </c>
      <c r="J15" s="36">
        <f>G15*H15*I15</f>
        <v>9000</v>
      </c>
      <c r="K15" s="37"/>
      <c r="L15" s="38" t="s">
        <v>56</v>
      </c>
      <c r="M15" s="45">
        <v>1</v>
      </c>
      <c r="N15" s="36">
        <v>72</v>
      </c>
      <c r="O15" s="70">
        <v>100</v>
      </c>
      <c r="P15" s="71">
        <f>M15*N15*O15</f>
        <v>7200</v>
      </c>
    </row>
    <row r="16" spans="2:16" x14ac:dyDescent="0.25">
      <c r="B16">
        <v>8</v>
      </c>
      <c r="D16" s="69"/>
      <c r="E16" s="37"/>
      <c r="F16" s="38"/>
      <c r="G16" s="45"/>
      <c r="H16" s="17">
        <f>SUM(H14:H15)</f>
        <v>132</v>
      </c>
      <c r="I16" s="43"/>
      <c r="J16" s="17">
        <f>SUM(J14:J15)</f>
        <v>24000</v>
      </c>
      <c r="K16" s="44"/>
      <c r="L16" s="38"/>
      <c r="M16" s="45"/>
      <c r="N16" s="17">
        <f>SUM(N14:N15)</f>
        <v>132</v>
      </c>
      <c r="O16" s="43"/>
      <c r="P16" s="18">
        <f>SUM(P14:P15)</f>
        <v>19200</v>
      </c>
    </row>
    <row r="17" spans="2:16" x14ac:dyDescent="0.25">
      <c r="D17" s="69"/>
      <c r="E17" s="37"/>
      <c r="F17" s="37"/>
      <c r="G17" s="45"/>
      <c r="H17" s="83"/>
      <c r="I17" s="84"/>
      <c r="J17" s="84"/>
      <c r="K17" s="37"/>
      <c r="L17" s="37"/>
      <c r="M17" s="45"/>
      <c r="N17" s="83"/>
      <c r="O17" s="84"/>
      <c r="P17" s="72"/>
    </row>
    <row r="18" spans="2:16" x14ac:dyDescent="0.25">
      <c r="B18">
        <v>9</v>
      </c>
      <c r="D18" s="34" t="s">
        <v>45</v>
      </c>
      <c r="E18" s="38" t="s">
        <v>17</v>
      </c>
      <c r="F18" s="37"/>
      <c r="G18" s="45">
        <v>1</v>
      </c>
      <c r="H18" s="36">
        <f>N18</f>
        <v>0</v>
      </c>
      <c r="I18" s="82">
        <v>6.75</v>
      </c>
      <c r="J18" s="36">
        <f>H18*I18</f>
        <v>0</v>
      </c>
      <c r="K18" s="37"/>
      <c r="L18" s="38" t="s">
        <v>17</v>
      </c>
      <c r="M18" s="45">
        <v>1</v>
      </c>
      <c r="N18" s="36">
        <v>0</v>
      </c>
      <c r="O18" s="82">
        <v>6.75</v>
      </c>
      <c r="P18" s="14">
        <f>M18*N18*O18</f>
        <v>0</v>
      </c>
    </row>
    <row r="19" spans="2:16" x14ac:dyDescent="0.25">
      <c r="B19">
        <v>10</v>
      </c>
      <c r="D19" s="34"/>
      <c r="E19" s="38" t="s">
        <v>18</v>
      </c>
      <c r="F19" s="37"/>
      <c r="G19" s="45">
        <v>1</v>
      </c>
      <c r="H19" s="36">
        <f t="shared" ref="H19:H21" si="3">N19</f>
        <v>0</v>
      </c>
      <c r="I19" s="82">
        <v>18.25</v>
      </c>
      <c r="J19" s="36">
        <f t="shared" ref="J19:J21" si="4">H19*I19</f>
        <v>0</v>
      </c>
      <c r="K19" s="37"/>
      <c r="L19" s="38" t="s">
        <v>18</v>
      </c>
      <c r="M19" s="45">
        <v>1</v>
      </c>
      <c r="N19" s="36">
        <v>0</v>
      </c>
      <c r="O19" s="82">
        <v>18.25</v>
      </c>
      <c r="P19" s="14">
        <f t="shared" ref="P19:P21" si="5">M19*N19*O19</f>
        <v>0</v>
      </c>
    </row>
    <row r="20" spans="2:16" x14ac:dyDescent="0.25">
      <c r="B20">
        <v>11</v>
      </c>
      <c r="D20" s="15"/>
      <c r="E20" s="38" t="s">
        <v>19</v>
      </c>
      <c r="F20" s="37"/>
      <c r="G20" s="45">
        <v>1</v>
      </c>
      <c r="H20" s="36">
        <f t="shared" si="3"/>
        <v>12</v>
      </c>
      <c r="I20" s="82">
        <v>63.5</v>
      </c>
      <c r="J20" s="36">
        <f t="shared" si="4"/>
        <v>762</v>
      </c>
      <c r="K20" s="37"/>
      <c r="L20" s="38" t="s">
        <v>19</v>
      </c>
      <c r="M20" s="45">
        <v>1</v>
      </c>
      <c r="N20" s="36">
        <v>12</v>
      </c>
      <c r="O20" s="82">
        <v>63.5</v>
      </c>
      <c r="P20" s="14">
        <f t="shared" si="5"/>
        <v>762</v>
      </c>
    </row>
    <row r="21" spans="2:16" x14ac:dyDescent="0.25">
      <c r="B21">
        <v>12</v>
      </c>
      <c r="D21" s="15"/>
      <c r="E21" s="38" t="s">
        <v>20</v>
      </c>
      <c r="F21" s="37"/>
      <c r="G21" s="45">
        <v>1</v>
      </c>
      <c r="H21" s="36">
        <f t="shared" si="3"/>
        <v>168</v>
      </c>
      <c r="I21" s="70">
        <v>420.25</v>
      </c>
      <c r="J21" s="36">
        <f t="shared" si="4"/>
        <v>70602</v>
      </c>
      <c r="K21" s="37"/>
      <c r="L21" s="38" t="s">
        <v>20</v>
      </c>
      <c r="M21" s="45">
        <v>1</v>
      </c>
      <c r="N21" s="36">
        <v>168</v>
      </c>
      <c r="O21" s="70">
        <v>420.25</v>
      </c>
      <c r="P21" s="14">
        <f t="shared" si="5"/>
        <v>70602</v>
      </c>
    </row>
    <row r="22" spans="2:16" x14ac:dyDescent="0.25">
      <c r="B22">
        <v>13</v>
      </c>
      <c r="D22" s="15"/>
      <c r="E22" s="37"/>
      <c r="F22" s="37"/>
      <c r="G22" s="45"/>
      <c r="H22" s="17">
        <f>SUM(H18:H21)</f>
        <v>180</v>
      </c>
      <c r="I22" s="43"/>
      <c r="J22" s="17">
        <f>SUM(J18:J21)</f>
        <v>71364</v>
      </c>
      <c r="K22" s="44"/>
      <c r="L22" s="37"/>
      <c r="M22" s="45"/>
      <c r="N22" s="17">
        <f>SUM(N18:N21)</f>
        <v>180</v>
      </c>
      <c r="O22" s="43"/>
      <c r="P22" s="18">
        <f>SUM(P18:P21)</f>
        <v>71364</v>
      </c>
    </row>
    <row r="23" spans="2:16" x14ac:dyDescent="0.25">
      <c r="D23" s="15"/>
      <c r="E23" s="37"/>
      <c r="F23" s="37"/>
      <c r="G23" s="45"/>
      <c r="H23" s="36"/>
      <c r="I23" s="43"/>
      <c r="J23" s="36"/>
      <c r="K23" s="44"/>
      <c r="L23" s="37"/>
      <c r="M23" s="45"/>
      <c r="N23" s="36"/>
      <c r="O23" s="43"/>
      <c r="P23" s="14"/>
    </row>
    <row r="24" spans="2:16" ht="15.75" thickBot="1" x14ac:dyDescent="0.3">
      <c r="D24" s="34" t="s">
        <v>57</v>
      </c>
      <c r="E24" s="37"/>
      <c r="F24" s="37"/>
      <c r="G24" s="45"/>
      <c r="H24" s="8" t="s">
        <v>58</v>
      </c>
      <c r="I24" s="8" t="s">
        <v>59</v>
      </c>
      <c r="J24" s="9" t="s">
        <v>6</v>
      </c>
      <c r="K24" s="44"/>
      <c r="L24" s="37"/>
      <c r="M24" s="45"/>
      <c r="N24" s="8" t="s">
        <v>58</v>
      </c>
      <c r="O24" s="8" t="s">
        <v>59</v>
      </c>
      <c r="P24" s="11" t="s">
        <v>6</v>
      </c>
    </row>
    <row r="25" spans="2:16" x14ac:dyDescent="0.25">
      <c r="B25">
        <v>14</v>
      </c>
      <c r="D25" s="34" t="s">
        <v>60</v>
      </c>
      <c r="E25" s="37"/>
      <c r="F25" s="37"/>
      <c r="G25" s="45"/>
      <c r="H25" s="36">
        <f>N25</f>
        <v>774000</v>
      </c>
      <c r="I25" s="98">
        <v>2.0547341666666665</v>
      </c>
      <c r="J25" s="36">
        <f>H25*I25</f>
        <v>1590364.2449999999</v>
      </c>
      <c r="K25" s="44"/>
      <c r="L25" s="37"/>
      <c r="M25" s="45"/>
      <c r="N25" s="36">
        <v>774000</v>
      </c>
      <c r="O25" s="98">
        <v>1.9389584448844979</v>
      </c>
      <c r="P25" s="14">
        <f>N25*O25</f>
        <v>1500753.8363406013</v>
      </c>
    </row>
    <row r="26" spans="2:16" x14ac:dyDescent="0.25">
      <c r="B26">
        <v>15</v>
      </c>
      <c r="D26" s="26" t="s">
        <v>22</v>
      </c>
      <c r="E26" s="38"/>
      <c r="F26" s="37"/>
      <c r="G26" s="45"/>
      <c r="H26" s="17"/>
      <c r="I26" s="68"/>
      <c r="J26" s="17">
        <f>J25+J22+J16</f>
        <v>1685728.2449999999</v>
      </c>
      <c r="K26" s="44"/>
      <c r="L26" s="37"/>
      <c r="M26" s="45"/>
      <c r="N26" s="17"/>
      <c r="O26" s="68"/>
      <c r="P26" s="18">
        <f>P25+P22+P16</f>
        <v>1591317.8363406013</v>
      </c>
    </row>
    <row r="27" spans="2:16" ht="15.75" thickBot="1" x14ac:dyDescent="0.3">
      <c r="D27" s="15"/>
      <c r="E27" s="37"/>
      <c r="F27" s="37"/>
      <c r="G27" s="45"/>
      <c r="H27" s="47"/>
      <c r="I27" s="47"/>
      <c r="J27" s="27"/>
      <c r="K27" s="37"/>
      <c r="L27" s="37"/>
      <c r="M27" s="45"/>
      <c r="N27" s="47"/>
      <c r="O27" s="47"/>
      <c r="P27" s="28"/>
    </row>
    <row r="28" spans="2:16" ht="15.75" thickTop="1" x14ac:dyDescent="0.25">
      <c r="B28">
        <v>16</v>
      </c>
      <c r="D28" s="16" t="s">
        <v>61</v>
      </c>
      <c r="E28" s="37"/>
      <c r="F28" s="37"/>
      <c r="G28" s="45"/>
      <c r="H28" s="36"/>
      <c r="I28" s="37"/>
      <c r="J28" s="47">
        <f>J26+J11</f>
        <v>6395660.2450000001</v>
      </c>
      <c r="K28" s="36"/>
      <c r="L28" s="37"/>
      <c r="M28" s="45"/>
      <c r="N28" s="36"/>
      <c r="O28" s="37"/>
      <c r="P28" s="30">
        <f>P26+P11</f>
        <v>6404381.8363406016</v>
      </c>
    </row>
    <row r="29" spans="2:16" x14ac:dyDescent="0.25">
      <c r="B29">
        <v>17</v>
      </c>
      <c r="D29" s="69" t="s">
        <v>62</v>
      </c>
      <c r="E29" s="37"/>
      <c r="F29" s="37"/>
      <c r="G29" s="45"/>
      <c r="H29" s="36">
        <f>N29</f>
        <v>0</v>
      </c>
      <c r="I29" s="37"/>
      <c r="J29" s="35">
        <v>2240124</v>
      </c>
      <c r="K29" s="36"/>
      <c r="L29" s="37"/>
      <c r="M29" s="45"/>
      <c r="N29" s="36">
        <v>0</v>
      </c>
      <c r="O29" s="37"/>
      <c r="P29" s="73">
        <v>2240124</v>
      </c>
    </row>
    <row r="30" spans="2:16" x14ac:dyDescent="0.25">
      <c r="B30">
        <v>18</v>
      </c>
      <c r="D30" s="69" t="s">
        <v>63</v>
      </c>
      <c r="E30" s="37"/>
      <c r="F30" s="37"/>
      <c r="G30" s="45"/>
      <c r="H30" s="36"/>
      <c r="I30" s="37"/>
      <c r="J30" s="47">
        <f>SUM(J28:J29)</f>
        <v>8635784.245000001</v>
      </c>
      <c r="K30" s="36"/>
      <c r="L30" s="37"/>
      <c r="M30" s="45"/>
      <c r="N30" s="36"/>
      <c r="O30" s="37"/>
      <c r="P30" s="30">
        <f>SUM(P28:P29)</f>
        <v>8644505.8363406025</v>
      </c>
    </row>
    <row r="31" spans="2:16" x14ac:dyDescent="0.25">
      <c r="B31">
        <v>19</v>
      </c>
      <c r="D31" s="69" t="s">
        <v>64</v>
      </c>
      <c r="E31" s="37"/>
      <c r="F31" s="37"/>
      <c r="G31" s="45"/>
      <c r="H31" s="36"/>
      <c r="I31" s="37"/>
      <c r="J31" s="47">
        <f>J26+J11</f>
        <v>6395660.2450000001</v>
      </c>
      <c r="K31" s="36"/>
      <c r="L31" s="37"/>
      <c r="M31" s="45"/>
      <c r="N31" s="36"/>
      <c r="O31" s="37"/>
      <c r="P31" s="30">
        <f>P26+P11</f>
        <v>6404381.8363406016</v>
      </c>
    </row>
    <row r="32" spans="2:16" x14ac:dyDescent="0.25">
      <c r="B32">
        <v>20</v>
      </c>
      <c r="D32" s="15" t="s">
        <v>24</v>
      </c>
      <c r="E32" s="37"/>
      <c r="F32" s="37"/>
      <c r="G32" s="45"/>
      <c r="H32" s="36"/>
      <c r="I32" s="37"/>
      <c r="J32" s="74">
        <f>P32</f>
        <v>109917.44702545884</v>
      </c>
      <c r="K32" s="36"/>
      <c r="L32" s="37"/>
      <c r="M32" s="45"/>
      <c r="N32" s="36"/>
      <c r="O32" s="37"/>
      <c r="P32" s="73">
        <v>109917.44702545884</v>
      </c>
    </row>
    <row r="33" spans="2:16" ht="15.75" thickBot="1" x14ac:dyDescent="0.3">
      <c r="B33">
        <v>21</v>
      </c>
      <c r="D33" s="19" t="s">
        <v>63</v>
      </c>
      <c r="E33" s="20"/>
      <c r="F33" s="20"/>
      <c r="G33" s="32"/>
      <c r="H33" s="24"/>
      <c r="I33" s="20"/>
      <c r="J33" s="24">
        <f>J31+J32</f>
        <v>6505577.6920254594</v>
      </c>
      <c r="K33" s="24"/>
      <c r="L33" s="20"/>
      <c r="M33" s="32"/>
      <c r="N33" s="24"/>
      <c r="O33" s="20"/>
      <c r="P33" s="25">
        <v>6514299.3783598822</v>
      </c>
    </row>
    <row r="34" spans="2:16" ht="15.75" thickBot="1" x14ac:dyDescent="0.3">
      <c r="D34" s="33"/>
      <c r="E34" s="10"/>
      <c r="F34" s="10"/>
      <c r="G34" s="22"/>
      <c r="H34" s="13"/>
      <c r="I34" s="10"/>
      <c r="J34" s="13"/>
      <c r="K34" s="13"/>
      <c r="L34" s="10"/>
      <c r="M34" s="22"/>
      <c r="N34" s="13"/>
      <c r="O34" s="10"/>
      <c r="P34" s="13"/>
    </row>
    <row r="35" spans="2:16" x14ac:dyDescent="0.25">
      <c r="D35" s="1" t="s">
        <v>74</v>
      </c>
      <c r="E35" s="2"/>
      <c r="F35" s="2"/>
      <c r="G35" s="109" t="s">
        <v>1</v>
      </c>
      <c r="H35" s="109"/>
      <c r="I35" s="109"/>
      <c r="J35" s="92"/>
      <c r="K35" s="2"/>
      <c r="L35" s="2"/>
      <c r="M35" s="65"/>
      <c r="N35" s="106" t="s">
        <v>2</v>
      </c>
      <c r="O35" s="106"/>
      <c r="P35" s="107"/>
    </row>
    <row r="36" spans="2:16" ht="15.75" thickBot="1" x14ac:dyDescent="0.3">
      <c r="D36" s="5" t="s">
        <v>3</v>
      </c>
      <c r="E36" s="6"/>
      <c r="F36" s="6"/>
      <c r="G36" s="7" t="s">
        <v>4</v>
      </c>
      <c r="H36" s="8" t="s">
        <v>4</v>
      </c>
      <c r="I36" s="8" t="s">
        <v>5</v>
      </c>
      <c r="J36" s="9" t="s">
        <v>6</v>
      </c>
      <c r="K36" s="37"/>
      <c r="L36" s="6"/>
      <c r="M36" s="7" t="s">
        <v>4</v>
      </c>
      <c r="N36" s="8" t="s">
        <v>4</v>
      </c>
      <c r="O36" s="8" t="s">
        <v>7</v>
      </c>
      <c r="P36" s="11" t="s">
        <v>6</v>
      </c>
    </row>
    <row r="37" spans="2:16" x14ac:dyDescent="0.25">
      <c r="B37">
        <v>22</v>
      </c>
      <c r="D37" s="34" t="s">
        <v>27</v>
      </c>
      <c r="E37" s="38"/>
      <c r="F37" s="38" t="s">
        <v>12</v>
      </c>
      <c r="G37" s="41">
        <v>0</v>
      </c>
      <c r="H37" s="36">
        <f>N37</f>
        <v>25468</v>
      </c>
      <c r="I37" s="42">
        <v>0.81601000000000001</v>
      </c>
      <c r="J37" s="36">
        <f>H37*I37</f>
        <v>20782.142680000001</v>
      </c>
      <c r="K37" s="44"/>
      <c r="L37" s="38" t="s">
        <v>12</v>
      </c>
      <c r="M37" s="41">
        <v>0</v>
      </c>
      <c r="N37" s="36">
        <v>25468</v>
      </c>
      <c r="O37" s="42">
        <v>0.94602374027061142</v>
      </c>
      <c r="P37" s="14">
        <f>N37*O37</f>
        <v>24093.33261721193</v>
      </c>
    </row>
    <row r="38" spans="2:16" x14ac:dyDescent="0.25">
      <c r="B38">
        <v>23</v>
      </c>
      <c r="D38" s="16" t="s">
        <v>14</v>
      </c>
      <c r="E38" s="37"/>
      <c r="F38" s="38"/>
      <c r="G38" s="41"/>
      <c r="H38" s="17">
        <f>SUM(H37)</f>
        <v>25468</v>
      </c>
      <c r="I38" s="68"/>
      <c r="J38" s="17">
        <f>SUM(J37)</f>
        <v>20782.142680000001</v>
      </c>
      <c r="K38" s="44"/>
      <c r="L38" s="38"/>
      <c r="M38" s="41"/>
      <c r="N38" s="17">
        <f>SUM(N37)</f>
        <v>25468</v>
      </c>
      <c r="O38" s="68"/>
      <c r="P38" s="18">
        <f>SUM(P37)</f>
        <v>24093.33261721193</v>
      </c>
    </row>
    <row r="39" spans="2:16" x14ac:dyDescent="0.25">
      <c r="D39" s="15"/>
      <c r="E39" s="38"/>
      <c r="F39" s="38"/>
      <c r="G39" s="41"/>
      <c r="H39" s="36"/>
      <c r="I39" s="43"/>
      <c r="J39" s="36"/>
      <c r="K39" s="44"/>
      <c r="L39" s="38"/>
      <c r="M39" s="41"/>
      <c r="N39" s="36"/>
      <c r="O39" s="43"/>
      <c r="P39" s="14"/>
    </row>
    <row r="40" spans="2:16" ht="15.75" thickBot="1" x14ac:dyDescent="0.3">
      <c r="D40" s="19" t="s">
        <v>15</v>
      </c>
      <c r="E40" s="20"/>
      <c r="F40" s="20"/>
      <c r="G40" s="7"/>
      <c r="H40" s="8" t="s">
        <v>16</v>
      </c>
      <c r="I40" s="8" t="s">
        <v>5</v>
      </c>
      <c r="J40" s="9" t="s">
        <v>6</v>
      </c>
      <c r="K40" s="37"/>
      <c r="L40" s="20"/>
      <c r="M40" s="7"/>
      <c r="N40" s="8" t="s">
        <v>16</v>
      </c>
      <c r="O40" s="8" t="s">
        <v>7</v>
      </c>
      <c r="P40" s="11" t="s">
        <v>6</v>
      </c>
    </row>
    <row r="41" spans="2:16" x14ac:dyDescent="0.25">
      <c r="B41">
        <v>24</v>
      </c>
      <c r="D41" s="34" t="s">
        <v>54</v>
      </c>
      <c r="E41" s="37"/>
      <c r="F41" s="38" t="s">
        <v>55</v>
      </c>
      <c r="G41" s="45">
        <v>1</v>
      </c>
      <c r="H41" s="36">
        <f>N41</f>
        <v>12</v>
      </c>
      <c r="I41" s="82">
        <v>250</v>
      </c>
      <c r="J41" s="36">
        <f>I41*H41*G41</f>
        <v>3000</v>
      </c>
      <c r="K41" s="36"/>
      <c r="L41" s="36" t="s">
        <v>55</v>
      </c>
      <c r="M41" s="63">
        <v>1</v>
      </c>
      <c r="N41" s="36">
        <v>12</v>
      </c>
      <c r="O41" s="82">
        <v>200</v>
      </c>
      <c r="P41" s="14">
        <f>O41*N41*M41</f>
        <v>2400</v>
      </c>
    </row>
    <row r="42" spans="2:16" x14ac:dyDescent="0.25">
      <c r="B42">
        <v>25</v>
      </c>
      <c r="D42" s="69"/>
      <c r="E42" s="37"/>
      <c r="F42" s="38" t="s">
        <v>56</v>
      </c>
      <c r="G42" s="45">
        <v>1</v>
      </c>
      <c r="H42" s="36">
        <f>N42</f>
        <v>0</v>
      </c>
      <c r="I42" s="82">
        <v>125</v>
      </c>
      <c r="J42" s="36">
        <f>I42*H42*G42</f>
        <v>0</v>
      </c>
      <c r="K42" s="36"/>
      <c r="L42" s="36" t="s">
        <v>56</v>
      </c>
      <c r="M42" s="63">
        <v>1</v>
      </c>
      <c r="N42" s="36">
        <v>0</v>
      </c>
      <c r="O42" s="82">
        <v>100</v>
      </c>
      <c r="P42" s="14">
        <f>O42*N42*M42</f>
        <v>0</v>
      </c>
    </row>
    <row r="43" spans="2:16" x14ac:dyDescent="0.25">
      <c r="B43">
        <v>26</v>
      </c>
      <c r="D43" s="69"/>
      <c r="E43" s="37"/>
      <c r="F43" s="38"/>
      <c r="G43" s="45"/>
      <c r="H43" s="17">
        <f>SUM(H41:H42)</f>
        <v>12</v>
      </c>
      <c r="I43" s="68"/>
      <c r="J43" s="17">
        <f>SUM(J41:J42)</f>
        <v>3000</v>
      </c>
      <c r="K43" s="44"/>
      <c r="L43" s="38"/>
      <c r="M43" s="45"/>
      <c r="N43" s="17">
        <f>SUM(N41:N42)</f>
        <v>12</v>
      </c>
      <c r="O43" s="68"/>
      <c r="P43" s="18">
        <f>SUM(P41:P42)</f>
        <v>2400</v>
      </c>
    </row>
    <row r="44" spans="2:16" x14ac:dyDescent="0.25">
      <c r="D44" s="69"/>
      <c r="E44" s="37"/>
      <c r="F44" s="37"/>
      <c r="G44" s="45"/>
      <c r="H44" s="83"/>
      <c r="I44" s="84"/>
      <c r="J44" s="84"/>
      <c r="K44" s="37"/>
      <c r="L44" s="37"/>
      <c r="M44" s="45"/>
      <c r="N44" s="83"/>
      <c r="O44" s="84"/>
      <c r="P44" s="72"/>
    </row>
    <row r="45" spans="2:16" x14ac:dyDescent="0.25">
      <c r="B45">
        <v>27</v>
      </c>
      <c r="D45" s="34" t="s">
        <v>45</v>
      </c>
      <c r="E45" s="38" t="s">
        <v>17</v>
      </c>
      <c r="F45" s="37"/>
      <c r="G45" s="45">
        <v>1</v>
      </c>
      <c r="H45" s="36">
        <f>N45</f>
        <v>0</v>
      </c>
      <c r="I45" s="82">
        <v>6.75</v>
      </c>
      <c r="J45" s="36">
        <f t="shared" ref="J45:J48" si="6">I45*H45*G45</f>
        <v>0</v>
      </c>
      <c r="K45" s="37"/>
      <c r="L45" s="37"/>
      <c r="M45" s="45">
        <v>1</v>
      </c>
      <c r="N45" s="36">
        <v>0</v>
      </c>
      <c r="O45" s="82">
        <v>6.75</v>
      </c>
      <c r="P45" s="14">
        <f t="shared" ref="P45:P48" si="7">O45*N45*M45</f>
        <v>0</v>
      </c>
    </row>
    <row r="46" spans="2:16" x14ac:dyDescent="0.25">
      <c r="B46">
        <v>28</v>
      </c>
      <c r="D46" s="34"/>
      <c r="E46" s="38" t="s">
        <v>18</v>
      </c>
      <c r="F46" s="37"/>
      <c r="G46" s="45">
        <v>1</v>
      </c>
      <c r="H46" s="36">
        <f t="shared" ref="H46:H48" si="8">N46</f>
        <v>0</v>
      </c>
      <c r="I46" s="82">
        <v>18.25</v>
      </c>
      <c r="J46" s="36">
        <f t="shared" si="6"/>
        <v>0</v>
      </c>
      <c r="K46" s="37"/>
      <c r="L46" s="37"/>
      <c r="M46" s="45">
        <v>1</v>
      </c>
      <c r="N46" s="36">
        <v>0</v>
      </c>
      <c r="O46" s="82">
        <v>18.25</v>
      </c>
      <c r="P46" s="14">
        <f t="shared" si="7"/>
        <v>0</v>
      </c>
    </row>
    <row r="47" spans="2:16" x14ac:dyDescent="0.25">
      <c r="B47">
        <v>29</v>
      </c>
      <c r="D47" s="15"/>
      <c r="E47" s="38" t="s">
        <v>19</v>
      </c>
      <c r="F47" s="37"/>
      <c r="G47" s="45">
        <v>1</v>
      </c>
      <c r="H47" s="36">
        <f t="shared" si="8"/>
        <v>0</v>
      </c>
      <c r="I47" s="82">
        <v>63.5</v>
      </c>
      <c r="J47" s="36">
        <f t="shared" si="6"/>
        <v>0</v>
      </c>
      <c r="K47" s="37"/>
      <c r="L47" s="37"/>
      <c r="M47" s="45">
        <v>1</v>
      </c>
      <c r="N47" s="36">
        <v>0</v>
      </c>
      <c r="O47" s="82">
        <v>63.5</v>
      </c>
      <c r="P47" s="14">
        <f t="shared" si="7"/>
        <v>0</v>
      </c>
    </row>
    <row r="48" spans="2:16" x14ac:dyDescent="0.25">
      <c r="B48">
        <v>30</v>
      </c>
      <c r="D48" s="15"/>
      <c r="E48" s="38" t="s">
        <v>20</v>
      </c>
      <c r="F48" s="37"/>
      <c r="G48" s="45">
        <v>1</v>
      </c>
      <c r="H48" s="36">
        <f t="shared" si="8"/>
        <v>12</v>
      </c>
      <c r="I48" s="82">
        <v>420.25</v>
      </c>
      <c r="J48" s="36">
        <f t="shared" si="6"/>
        <v>5043</v>
      </c>
      <c r="K48" s="47"/>
      <c r="L48" s="37"/>
      <c r="M48" s="45">
        <v>1</v>
      </c>
      <c r="N48" s="36">
        <v>12</v>
      </c>
      <c r="O48" s="82">
        <v>420.25</v>
      </c>
      <c r="P48" s="14">
        <f t="shared" si="7"/>
        <v>5043</v>
      </c>
    </row>
    <row r="49" spans="2:16" x14ac:dyDescent="0.25">
      <c r="B49">
        <v>31</v>
      </c>
      <c r="D49" s="15"/>
      <c r="E49" s="37"/>
      <c r="F49" s="37"/>
      <c r="G49" s="45"/>
      <c r="H49" s="17">
        <f>SUM(H45:H48)</f>
        <v>12</v>
      </c>
      <c r="I49" s="68"/>
      <c r="J49" s="17">
        <f>SUM(J45:J48)</f>
        <v>5043</v>
      </c>
      <c r="K49" s="44"/>
      <c r="L49" s="37"/>
      <c r="M49" s="45"/>
      <c r="N49" s="17">
        <f>SUM(N45:N48)</f>
        <v>12</v>
      </c>
      <c r="O49" s="68"/>
      <c r="P49" s="18">
        <f>SUM(P45:P48)</f>
        <v>5043</v>
      </c>
    </row>
    <row r="50" spans="2:16" ht="15.75" thickBot="1" x14ac:dyDescent="0.3">
      <c r="B50">
        <v>32</v>
      </c>
      <c r="D50" s="26" t="s">
        <v>22</v>
      </c>
      <c r="E50" s="38"/>
      <c r="F50" s="37"/>
      <c r="G50" s="45"/>
      <c r="H50" s="36"/>
      <c r="I50" s="43"/>
      <c r="J50" s="87">
        <f>J49+J43</f>
        <v>8043</v>
      </c>
      <c r="K50" s="44"/>
      <c r="L50" s="37"/>
      <c r="M50" s="45"/>
      <c r="N50" s="36"/>
      <c r="O50" s="43"/>
      <c r="P50" s="88">
        <f>P49+P43</f>
        <v>7443</v>
      </c>
    </row>
    <row r="51" spans="2:16" ht="16.5" thickTop="1" thickBot="1" x14ac:dyDescent="0.3">
      <c r="B51">
        <v>33</v>
      </c>
      <c r="D51" s="54" t="s">
        <v>67</v>
      </c>
      <c r="E51" s="20"/>
      <c r="F51" s="20"/>
      <c r="G51" s="32"/>
      <c r="H51" s="24"/>
      <c r="I51" s="20"/>
      <c r="J51" s="89">
        <f>J50+J38</f>
        <v>28825.142680000001</v>
      </c>
      <c r="K51" s="24"/>
      <c r="L51" s="20"/>
      <c r="M51" s="32"/>
      <c r="N51" s="24"/>
      <c r="O51" s="20"/>
      <c r="P51" s="90">
        <f>P50+P38</f>
        <v>31536.33261721193</v>
      </c>
    </row>
  </sheetData>
  <mergeCells count="7">
    <mergeCell ref="G5:I5"/>
    <mergeCell ref="N35:P35"/>
    <mergeCell ref="G35:I35"/>
    <mergeCell ref="D3:E3"/>
    <mergeCell ref="F3:G3"/>
    <mergeCell ref="L3:M3"/>
    <mergeCell ref="N5:P5"/>
  </mergeCells>
  <pageMargins left="0.25" right="0.25" top="0.5" bottom="0.25" header="0" footer="0"/>
  <pageSetup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60"/>
  <sheetViews>
    <sheetView zoomScale="80" zoomScaleNormal="80" workbookViewId="0">
      <selection activeCell="T20" sqref="T20"/>
    </sheetView>
  </sheetViews>
  <sheetFormatPr defaultRowHeight="15" x14ac:dyDescent="0.25"/>
  <cols>
    <col min="3" max="3" width="3" bestFit="1" customWidth="1"/>
    <col min="4" max="4" width="3.42578125" customWidth="1"/>
    <col min="5" max="5" width="17" customWidth="1"/>
    <col min="6" max="6" width="7.28515625" bestFit="1" customWidth="1"/>
    <col min="7" max="7" width="14.7109375" bestFit="1" customWidth="1"/>
    <col min="8" max="8" width="8.7109375" bestFit="1" customWidth="1"/>
    <col min="9" max="9" width="14.7109375" bestFit="1" customWidth="1"/>
    <col min="10" max="10" width="10.140625" bestFit="1" customWidth="1"/>
    <col min="11" max="11" width="13.28515625" bestFit="1" customWidth="1"/>
    <col min="12" max="12" width="3.7109375" bestFit="1" customWidth="1"/>
    <col min="13" max="13" width="9.85546875" bestFit="1" customWidth="1"/>
    <col min="14" max="14" width="8.7109375" bestFit="1" customWidth="1"/>
    <col min="15" max="15" width="14.7109375" bestFit="1" customWidth="1"/>
    <col min="16" max="16" width="10.5703125" bestFit="1" customWidth="1"/>
    <col min="17" max="17" width="13.28515625" bestFit="1" customWidth="1"/>
  </cols>
  <sheetData>
    <row r="1" spans="3:17" x14ac:dyDescent="0.25">
      <c r="E1" s="108" t="s">
        <v>30</v>
      </c>
      <c r="F1" s="108"/>
      <c r="G1" s="108" t="s">
        <v>31</v>
      </c>
      <c r="H1" s="108"/>
      <c r="I1" s="51" t="s">
        <v>32</v>
      </c>
      <c r="J1" s="51" t="s">
        <v>33</v>
      </c>
      <c r="K1" s="51" t="s">
        <v>34</v>
      </c>
      <c r="L1" s="51"/>
      <c r="M1" s="108" t="s">
        <v>35</v>
      </c>
      <c r="N1" s="108"/>
      <c r="O1" s="51" t="s">
        <v>36</v>
      </c>
      <c r="P1" s="51" t="s">
        <v>37</v>
      </c>
      <c r="Q1" s="51" t="s">
        <v>38</v>
      </c>
    </row>
    <row r="2" spans="3:17" ht="15.75" thickBot="1" x14ac:dyDescent="0.3"/>
    <row r="3" spans="3:17" x14ac:dyDescent="0.25">
      <c r="E3" s="1" t="s">
        <v>82</v>
      </c>
      <c r="F3" s="2"/>
      <c r="G3" s="2"/>
      <c r="H3" s="110" t="s">
        <v>1</v>
      </c>
      <c r="I3" s="110"/>
      <c r="J3" s="110"/>
      <c r="K3" s="92"/>
      <c r="L3" s="2"/>
      <c r="M3" s="2"/>
      <c r="N3" s="65"/>
      <c r="O3" s="106" t="s">
        <v>2</v>
      </c>
      <c r="P3" s="106"/>
      <c r="Q3" s="107"/>
    </row>
    <row r="4" spans="3:17" ht="15.75" thickBot="1" x14ac:dyDescent="0.3">
      <c r="E4" s="5" t="s">
        <v>3</v>
      </c>
      <c r="F4" s="6"/>
      <c r="G4" s="6"/>
      <c r="H4" s="7" t="s">
        <v>4</v>
      </c>
      <c r="I4" s="8" t="s">
        <v>4</v>
      </c>
      <c r="J4" s="8" t="s">
        <v>5</v>
      </c>
      <c r="K4" s="9" t="s">
        <v>6</v>
      </c>
      <c r="L4" s="83"/>
      <c r="M4" s="6"/>
      <c r="N4" s="7" t="s">
        <v>4</v>
      </c>
      <c r="O4" s="8" t="s">
        <v>4</v>
      </c>
      <c r="P4" s="8" t="s">
        <v>7</v>
      </c>
      <c r="Q4" s="11" t="s">
        <v>6</v>
      </c>
    </row>
    <row r="5" spans="3:17" x14ac:dyDescent="0.25">
      <c r="C5">
        <v>1</v>
      </c>
      <c r="E5" s="12"/>
      <c r="F5" s="38" t="s">
        <v>9</v>
      </c>
      <c r="G5" s="38" t="s">
        <v>10</v>
      </c>
      <c r="H5" s="45">
        <v>200</v>
      </c>
      <c r="I5" s="36">
        <f>O5</f>
        <v>2392361</v>
      </c>
      <c r="J5" s="42">
        <v>1.22949</v>
      </c>
      <c r="K5" s="36">
        <f>ROUND(I5*J5,0)</f>
        <v>2941384</v>
      </c>
      <c r="L5" s="75"/>
      <c r="M5" s="38" t="s">
        <v>10</v>
      </c>
      <c r="N5" s="45">
        <v>200</v>
      </c>
      <c r="O5" s="36">
        <v>2392361</v>
      </c>
      <c r="P5" s="42">
        <v>1.5180407490273786</v>
      </c>
      <c r="Q5" s="14">
        <f>ROUND(O5*P5,0)</f>
        <v>3631701</v>
      </c>
    </row>
    <row r="6" spans="3:17" x14ac:dyDescent="0.25">
      <c r="C6">
        <v>2</v>
      </c>
      <c r="E6" s="15"/>
      <c r="F6" s="38" t="s">
        <v>11</v>
      </c>
      <c r="G6" s="38" t="s">
        <v>41</v>
      </c>
      <c r="H6" s="45">
        <v>1800</v>
      </c>
      <c r="I6" s="36">
        <f t="shared" ref="I6:I8" si="0">O6</f>
        <v>10540863</v>
      </c>
      <c r="J6" s="42">
        <v>0.80371999999999999</v>
      </c>
      <c r="K6" s="36">
        <f t="shared" ref="K6:K8" si="1">ROUND(I6*J6,0)</f>
        <v>8471902</v>
      </c>
      <c r="L6" s="75"/>
      <c r="M6" s="38" t="s">
        <v>41</v>
      </c>
      <c r="N6" s="45">
        <v>1800</v>
      </c>
      <c r="O6" s="36">
        <v>10540863</v>
      </c>
      <c r="P6" s="42">
        <v>1.0922707490273786</v>
      </c>
      <c r="Q6" s="14">
        <f t="shared" ref="Q6:Q8" si="2">ROUND(O6*P6,0)</f>
        <v>11513476</v>
      </c>
    </row>
    <row r="7" spans="3:17" x14ac:dyDescent="0.25">
      <c r="C7">
        <v>3</v>
      </c>
      <c r="E7" s="15"/>
      <c r="F7" s="38" t="s">
        <v>43</v>
      </c>
      <c r="G7" s="38" t="s">
        <v>41</v>
      </c>
      <c r="H7" s="45">
        <v>98000</v>
      </c>
      <c r="I7" s="36">
        <f t="shared" si="0"/>
        <v>27386254</v>
      </c>
      <c r="J7" s="42">
        <v>0.32867000000000002</v>
      </c>
      <c r="K7" s="36">
        <f t="shared" si="1"/>
        <v>9001040</v>
      </c>
      <c r="L7" s="75"/>
      <c r="M7" s="38" t="s">
        <v>41</v>
      </c>
      <c r="N7" s="45">
        <v>98000</v>
      </c>
      <c r="O7" s="36">
        <v>27386254</v>
      </c>
      <c r="P7" s="42">
        <v>0.61722074902737867</v>
      </c>
      <c r="Q7" s="14">
        <f t="shared" si="2"/>
        <v>16903364</v>
      </c>
    </row>
    <row r="8" spans="3:17" x14ac:dyDescent="0.25">
      <c r="C8">
        <v>4</v>
      </c>
      <c r="E8" s="15"/>
      <c r="F8" s="99" t="s">
        <v>52</v>
      </c>
      <c r="G8" s="38" t="s">
        <v>12</v>
      </c>
      <c r="H8" s="45">
        <v>100000</v>
      </c>
      <c r="I8" s="36">
        <f t="shared" si="0"/>
        <v>7622482</v>
      </c>
      <c r="J8" s="42">
        <v>0.12164999999999998</v>
      </c>
      <c r="K8" s="36">
        <f t="shared" si="1"/>
        <v>927275</v>
      </c>
      <c r="L8" s="76"/>
      <c r="M8" s="38" t="s">
        <v>12</v>
      </c>
      <c r="N8" s="45">
        <v>100000</v>
      </c>
      <c r="O8" s="36">
        <v>7622482</v>
      </c>
      <c r="P8" s="42">
        <v>0.41020074902737863</v>
      </c>
      <c r="Q8" s="14">
        <f t="shared" si="2"/>
        <v>3126748</v>
      </c>
    </row>
    <row r="9" spans="3:17" x14ac:dyDescent="0.25">
      <c r="C9">
        <v>5</v>
      </c>
      <c r="E9" s="16" t="s">
        <v>14</v>
      </c>
      <c r="F9" s="37"/>
      <c r="G9" s="38"/>
      <c r="H9" s="41"/>
      <c r="I9" s="17">
        <f>SUM(I5:I8)</f>
        <v>47941960</v>
      </c>
      <c r="J9" s="68"/>
      <c r="K9" s="17">
        <f>SUM(K5:K8)</f>
        <v>21341601</v>
      </c>
      <c r="L9" s="44"/>
      <c r="M9" s="38"/>
      <c r="N9" s="41"/>
      <c r="O9" s="17">
        <f>SUM(O5:O8)</f>
        <v>47941960</v>
      </c>
      <c r="P9" s="68"/>
      <c r="Q9" s="18">
        <f>SUM(Q5:Q8)</f>
        <v>35175289</v>
      </c>
    </row>
    <row r="10" spans="3:17" x14ac:dyDescent="0.25">
      <c r="E10" s="15"/>
      <c r="F10" s="38"/>
      <c r="G10" s="38"/>
      <c r="H10" s="41"/>
      <c r="I10" s="36"/>
      <c r="J10" s="43"/>
      <c r="K10" s="36"/>
      <c r="L10" s="44"/>
      <c r="M10" s="38"/>
      <c r="N10" s="41"/>
      <c r="O10" s="36"/>
      <c r="P10" s="43"/>
      <c r="Q10" s="14"/>
    </row>
    <row r="11" spans="3:17" ht="15.75" thickBot="1" x14ac:dyDescent="0.3">
      <c r="E11" s="19" t="s">
        <v>15</v>
      </c>
      <c r="F11" s="20"/>
      <c r="G11" s="8"/>
      <c r="H11" s="7"/>
      <c r="I11" s="8" t="s">
        <v>16</v>
      </c>
      <c r="J11" s="8" t="s">
        <v>5</v>
      </c>
      <c r="K11" s="9" t="s">
        <v>6</v>
      </c>
      <c r="L11" s="37"/>
      <c r="M11" s="20"/>
      <c r="N11" s="7"/>
      <c r="O11" s="8" t="s">
        <v>65</v>
      </c>
      <c r="P11" s="8" t="s">
        <v>7</v>
      </c>
      <c r="Q11" s="11" t="s">
        <v>6</v>
      </c>
    </row>
    <row r="12" spans="3:17" x14ac:dyDescent="0.25">
      <c r="C12">
        <v>6</v>
      </c>
      <c r="E12" s="34" t="s">
        <v>54</v>
      </c>
      <c r="F12" s="37"/>
      <c r="G12" s="38" t="s">
        <v>55</v>
      </c>
      <c r="H12" s="45">
        <v>1</v>
      </c>
      <c r="I12" s="36">
        <f>O12</f>
        <v>11964</v>
      </c>
      <c r="J12" s="82">
        <v>250</v>
      </c>
      <c r="K12" s="36">
        <f>J12*I12*H12</f>
        <v>2991000</v>
      </c>
      <c r="L12" s="37"/>
      <c r="M12" s="38" t="s">
        <v>55</v>
      </c>
      <c r="N12" s="45">
        <v>1</v>
      </c>
      <c r="O12" s="36">
        <v>11964</v>
      </c>
      <c r="P12" s="82">
        <v>200</v>
      </c>
      <c r="Q12" s="14">
        <f>P12*O12*N12</f>
        <v>2392800</v>
      </c>
    </row>
    <row r="13" spans="3:17" x14ac:dyDescent="0.25">
      <c r="C13">
        <v>7</v>
      </c>
      <c r="E13" s="69"/>
      <c r="F13" s="37"/>
      <c r="G13" s="38" t="s">
        <v>56</v>
      </c>
      <c r="H13" s="45">
        <v>1</v>
      </c>
      <c r="I13" s="36">
        <f>O13</f>
        <v>1872</v>
      </c>
      <c r="J13" s="82">
        <v>125</v>
      </c>
      <c r="K13" s="36">
        <f>J13*I13*H13</f>
        <v>234000</v>
      </c>
      <c r="L13" s="37"/>
      <c r="M13" s="38" t="s">
        <v>56</v>
      </c>
      <c r="N13" s="45">
        <v>1</v>
      </c>
      <c r="O13" s="36">
        <v>1872</v>
      </c>
      <c r="P13" s="82">
        <v>100</v>
      </c>
      <c r="Q13" s="14">
        <f>P13*O13*N13</f>
        <v>187200</v>
      </c>
    </row>
    <row r="14" spans="3:17" x14ac:dyDescent="0.25">
      <c r="C14">
        <v>8</v>
      </c>
      <c r="E14" s="69"/>
      <c r="F14" s="37"/>
      <c r="G14" s="38"/>
      <c r="H14" s="45"/>
      <c r="I14" s="17">
        <f>SUM(I12:I13)</f>
        <v>13836</v>
      </c>
      <c r="J14" s="68"/>
      <c r="K14" s="17">
        <f>SUM(K12:K13)</f>
        <v>3225000</v>
      </c>
      <c r="L14" s="44"/>
      <c r="M14" s="38"/>
      <c r="N14" s="45"/>
      <c r="O14" s="17">
        <f>SUM(O12:O13)</f>
        <v>13836</v>
      </c>
      <c r="P14" s="68"/>
      <c r="Q14" s="18">
        <f>SUM(Q12:Q13)</f>
        <v>2580000</v>
      </c>
    </row>
    <row r="15" spans="3:17" x14ac:dyDescent="0.25">
      <c r="E15" s="69"/>
      <c r="F15" s="37"/>
      <c r="G15" s="37"/>
      <c r="H15" s="45"/>
      <c r="I15" s="83"/>
      <c r="J15" s="84"/>
      <c r="K15" s="84"/>
      <c r="L15" s="37"/>
      <c r="M15" s="37"/>
      <c r="N15" s="45"/>
      <c r="O15" s="83"/>
      <c r="P15" s="84"/>
      <c r="Q15" s="72"/>
    </row>
    <row r="16" spans="3:17" x14ac:dyDescent="0.25">
      <c r="C16">
        <v>9</v>
      </c>
      <c r="E16" s="34" t="s">
        <v>45</v>
      </c>
      <c r="F16" s="38" t="s">
        <v>17</v>
      </c>
      <c r="G16" s="37"/>
      <c r="H16" s="45">
        <v>1</v>
      </c>
      <c r="I16" s="36">
        <f>O16</f>
        <v>24</v>
      </c>
      <c r="J16" s="82">
        <v>6.75</v>
      </c>
      <c r="K16" s="36">
        <f>J16*I16*H16</f>
        <v>162</v>
      </c>
      <c r="L16" s="37"/>
      <c r="M16" s="38" t="s">
        <v>17</v>
      </c>
      <c r="N16" s="45">
        <v>1</v>
      </c>
      <c r="O16" s="36">
        <v>24</v>
      </c>
      <c r="P16" s="82">
        <v>6.75</v>
      </c>
      <c r="Q16" s="14">
        <f t="shared" ref="Q16:Q19" si="3">P16*O16*N16</f>
        <v>162</v>
      </c>
    </row>
    <row r="17" spans="3:17" x14ac:dyDescent="0.25">
      <c r="C17">
        <v>10</v>
      </c>
      <c r="E17" s="34"/>
      <c r="F17" s="38" t="s">
        <v>18</v>
      </c>
      <c r="G17" s="37"/>
      <c r="H17" s="45">
        <v>1</v>
      </c>
      <c r="I17" s="36">
        <f t="shared" ref="I17:I19" si="4">O17</f>
        <v>2784</v>
      </c>
      <c r="J17" s="82">
        <v>18.25</v>
      </c>
      <c r="K17" s="36">
        <f t="shared" ref="K17:K19" si="5">J17*I17*H17</f>
        <v>50808</v>
      </c>
      <c r="L17" s="37"/>
      <c r="M17" s="38" t="s">
        <v>18</v>
      </c>
      <c r="N17" s="45">
        <v>1</v>
      </c>
      <c r="O17" s="36">
        <v>2784</v>
      </c>
      <c r="P17" s="82">
        <v>18.25</v>
      </c>
      <c r="Q17" s="14">
        <f t="shared" si="3"/>
        <v>50808</v>
      </c>
    </row>
    <row r="18" spans="3:17" x14ac:dyDescent="0.25">
      <c r="C18">
        <v>11</v>
      </c>
      <c r="E18" s="15"/>
      <c r="F18" s="38" t="s">
        <v>19</v>
      </c>
      <c r="G18" s="37"/>
      <c r="H18" s="45">
        <v>1</v>
      </c>
      <c r="I18" s="36">
        <f t="shared" si="4"/>
        <v>6732</v>
      </c>
      <c r="J18" s="82">
        <v>63.5</v>
      </c>
      <c r="K18" s="36">
        <f t="shared" si="5"/>
        <v>427482</v>
      </c>
      <c r="L18" s="37"/>
      <c r="M18" s="38" t="s">
        <v>19</v>
      </c>
      <c r="N18" s="45">
        <v>1</v>
      </c>
      <c r="O18" s="36">
        <v>6732</v>
      </c>
      <c r="P18" s="82">
        <v>63.5</v>
      </c>
      <c r="Q18" s="14">
        <f t="shared" si="3"/>
        <v>427482</v>
      </c>
    </row>
    <row r="19" spans="3:17" x14ac:dyDescent="0.25">
      <c r="C19">
        <v>12</v>
      </c>
      <c r="E19" s="15"/>
      <c r="F19" s="38" t="s">
        <v>20</v>
      </c>
      <c r="G19" s="37"/>
      <c r="H19" s="45">
        <v>1</v>
      </c>
      <c r="I19" s="36">
        <f t="shared" si="4"/>
        <v>4920</v>
      </c>
      <c r="J19" s="82">
        <v>420.25</v>
      </c>
      <c r="K19" s="36">
        <f t="shared" si="5"/>
        <v>2067630</v>
      </c>
      <c r="L19" s="37"/>
      <c r="M19" s="38" t="s">
        <v>20</v>
      </c>
      <c r="N19" s="45">
        <v>1</v>
      </c>
      <c r="O19" s="36">
        <v>4920</v>
      </c>
      <c r="P19" s="82">
        <v>420.25</v>
      </c>
      <c r="Q19" s="14">
        <f t="shared" si="3"/>
        <v>2067630</v>
      </c>
    </row>
    <row r="20" spans="3:17" x14ac:dyDescent="0.25">
      <c r="C20">
        <v>13</v>
      </c>
      <c r="E20" s="15"/>
      <c r="F20" s="37"/>
      <c r="G20" s="37"/>
      <c r="H20" s="45"/>
      <c r="I20" s="17">
        <f>SUM(I16:I19)</f>
        <v>14460</v>
      </c>
      <c r="J20" s="68"/>
      <c r="K20" s="17">
        <f>SUM(K16:K19)</f>
        <v>2546082</v>
      </c>
      <c r="L20" s="44"/>
      <c r="M20" s="37"/>
      <c r="N20" s="45"/>
      <c r="O20" s="17">
        <f>SUM(O16:O19)</f>
        <v>14460</v>
      </c>
      <c r="P20" s="77"/>
      <c r="Q20" s="18">
        <f>SUM(Q16:Q19)</f>
        <v>2546082</v>
      </c>
    </row>
    <row r="21" spans="3:17" x14ac:dyDescent="0.25">
      <c r="E21" s="15"/>
      <c r="F21" s="37"/>
      <c r="G21" s="37"/>
      <c r="H21" s="45"/>
      <c r="I21" s="36"/>
      <c r="J21" s="43"/>
      <c r="K21" s="36"/>
      <c r="L21" s="44"/>
      <c r="M21" s="37"/>
      <c r="N21" s="45"/>
      <c r="O21" s="36"/>
      <c r="P21" s="43"/>
      <c r="Q21" s="14"/>
    </row>
    <row r="22" spans="3:17" ht="15.75" thickBot="1" x14ac:dyDescent="0.3">
      <c r="E22" s="34" t="s">
        <v>57</v>
      </c>
      <c r="F22" s="37"/>
      <c r="G22" s="37"/>
      <c r="H22" s="45"/>
      <c r="I22" s="8" t="s">
        <v>58</v>
      </c>
      <c r="J22" s="8" t="s">
        <v>59</v>
      </c>
      <c r="K22" s="9" t="s">
        <v>6</v>
      </c>
      <c r="L22" s="44"/>
      <c r="M22" s="37"/>
      <c r="N22" s="45"/>
      <c r="O22" s="8" t="s">
        <v>58</v>
      </c>
      <c r="P22" s="8" t="s">
        <v>59</v>
      </c>
      <c r="Q22" s="11" t="s">
        <v>6</v>
      </c>
    </row>
    <row r="23" spans="3:17" x14ac:dyDescent="0.25">
      <c r="C23">
        <v>14</v>
      </c>
      <c r="E23" s="34" t="s">
        <v>60</v>
      </c>
      <c r="F23" s="37"/>
      <c r="G23" s="37"/>
      <c r="H23" s="45"/>
      <c r="I23" s="36">
        <f>O23</f>
        <v>2430264</v>
      </c>
      <c r="J23" s="98">
        <v>4.1648025000000004</v>
      </c>
      <c r="K23" s="36">
        <f>J23*I23</f>
        <v>10121569.58286</v>
      </c>
      <c r="L23" s="44"/>
      <c r="M23" s="37"/>
      <c r="N23" s="45"/>
      <c r="O23" s="36">
        <v>2430264</v>
      </c>
      <c r="P23" s="98">
        <v>3.2315974081408299</v>
      </c>
      <c r="Q23" s="14">
        <f>P23*O23</f>
        <v>7853634.8434979655</v>
      </c>
    </row>
    <row r="24" spans="3:17" x14ac:dyDescent="0.25">
      <c r="C24">
        <v>15</v>
      </c>
      <c r="E24" s="26" t="s">
        <v>22</v>
      </c>
      <c r="F24" s="38"/>
      <c r="G24" s="37"/>
      <c r="H24" s="45"/>
      <c r="I24" s="17"/>
      <c r="J24" s="68"/>
      <c r="K24" s="17">
        <f>K23+K20+K14</f>
        <v>15892651.58286</v>
      </c>
      <c r="L24" s="44"/>
      <c r="M24" s="37"/>
      <c r="N24" s="45"/>
      <c r="O24" s="17"/>
      <c r="P24" s="68"/>
      <c r="Q24" s="18">
        <f>Q23+Q20+Q14</f>
        <v>12979716.843497965</v>
      </c>
    </row>
    <row r="25" spans="3:17" ht="15.75" thickBot="1" x14ac:dyDescent="0.3">
      <c r="E25" s="15"/>
      <c r="F25" s="37"/>
      <c r="G25" s="37"/>
      <c r="H25" s="45"/>
      <c r="I25" s="47"/>
      <c r="J25" s="47"/>
      <c r="K25" s="27"/>
      <c r="L25" s="37"/>
      <c r="M25" s="37"/>
      <c r="N25" s="45"/>
      <c r="O25" s="47"/>
      <c r="P25" s="47"/>
      <c r="Q25" s="28"/>
    </row>
    <row r="26" spans="3:17" ht="15.75" thickTop="1" x14ac:dyDescent="0.25">
      <c r="C26">
        <v>15</v>
      </c>
      <c r="E26" s="16" t="s">
        <v>66</v>
      </c>
      <c r="F26" s="37"/>
      <c r="G26" s="37"/>
      <c r="H26" s="45"/>
      <c r="I26" s="36"/>
      <c r="J26" s="37"/>
      <c r="K26" s="36">
        <f>K24+K9</f>
        <v>37234252.58286</v>
      </c>
      <c r="L26" s="36"/>
      <c r="M26" s="37"/>
      <c r="N26" s="45"/>
      <c r="O26" s="36"/>
      <c r="P26" s="37"/>
      <c r="Q26" s="14">
        <f>Q24+Q9</f>
        <v>48155005.843497962</v>
      </c>
    </row>
    <row r="27" spans="3:17" x14ac:dyDescent="0.25">
      <c r="C27">
        <v>16</v>
      </c>
      <c r="E27" s="69" t="s">
        <v>67</v>
      </c>
      <c r="F27" s="37"/>
      <c r="G27" s="36"/>
      <c r="H27" s="45"/>
      <c r="I27" s="36">
        <f>O27</f>
        <v>25468</v>
      </c>
      <c r="J27" s="37"/>
      <c r="K27" s="36">
        <v>28825.142680000001</v>
      </c>
      <c r="L27" s="36"/>
      <c r="M27" s="36"/>
      <c r="N27" s="45"/>
      <c r="O27" s="36">
        <v>25468</v>
      </c>
      <c r="P27" s="37"/>
      <c r="Q27" s="14">
        <v>31536.33261721193</v>
      </c>
    </row>
    <row r="28" spans="3:17" x14ac:dyDescent="0.25">
      <c r="C28">
        <v>17</v>
      </c>
      <c r="E28" s="69" t="s">
        <v>68</v>
      </c>
      <c r="F28" s="37"/>
      <c r="G28" s="37"/>
      <c r="H28" s="45"/>
      <c r="I28" s="36"/>
      <c r="J28" s="37"/>
      <c r="K28" s="78">
        <f>SUM(K26:K27)</f>
        <v>37263077.725539997</v>
      </c>
      <c r="L28" s="36"/>
      <c r="M28" s="37"/>
      <c r="N28" s="45"/>
      <c r="O28" s="36"/>
      <c r="P28" s="37"/>
      <c r="Q28" s="79">
        <f>SUM(Q26:Q27)</f>
        <v>48186542.17611517</v>
      </c>
    </row>
    <row r="29" spans="3:17" x14ac:dyDescent="0.25">
      <c r="C29">
        <v>18</v>
      </c>
      <c r="E29" s="15" t="s">
        <v>24</v>
      </c>
      <c r="F29" s="37"/>
      <c r="G29" s="37"/>
      <c r="H29" s="45"/>
      <c r="I29" s="36"/>
      <c r="J29" s="37"/>
      <c r="K29" s="80">
        <f>Q29</f>
        <v>423070.92211589566</v>
      </c>
      <c r="L29" s="36"/>
      <c r="M29" s="37"/>
      <c r="N29" s="45"/>
      <c r="O29" s="36"/>
      <c r="P29" s="37"/>
      <c r="Q29" s="101">
        <v>423070.92211589566</v>
      </c>
    </row>
    <row r="30" spans="3:17" ht="15.75" thickBot="1" x14ac:dyDescent="0.3">
      <c r="C30">
        <v>19</v>
      </c>
      <c r="E30" s="19" t="s">
        <v>69</v>
      </c>
      <c r="F30" s="20"/>
      <c r="G30" s="20"/>
      <c r="H30" s="32"/>
      <c r="I30" s="24"/>
      <c r="J30" s="20"/>
      <c r="K30" s="24">
        <f>SUM(K26:K27)</f>
        <v>37263077.725539997</v>
      </c>
      <c r="L30" s="24"/>
      <c r="M30" s="20"/>
      <c r="N30" s="32"/>
      <c r="O30" s="24"/>
      <c r="P30" s="20"/>
      <c r="Q30" s="25">
        <v>48609613.9398017</v>
      </c>
    </row>
    <row r="31" spans="3:17" ht="15.75" thickBot="1" x14ac:dyDescent="0.3"/>
    <row r="32" spans="3:17" x14ac:dyDescent="0.25">
      <c r="E32" s="1" t="s">
        <v>70</v>
      </c>
      <c r="F32" s="2"/>
      <c r="G32" s="2"/>
      <c r="H32" s="109" t="s">
        <v>1</v>
      </c>
      <c r="I32" s="109"/>
      <c r="J32" s="109"/>
      <c r="K32" s="92"/>
      <c r="L32" s="2"/>
      <c r="M32" s="2"/>
      <c r="N32" s="65"/>
      <c r="O32" s="106" t="s">
        <v>2</v>
      </c>
      <c r="P32" s="106"/>
      <c r="Q32" s="107"/>
    </row>
    <row r="33" spans="3:17" ht="15.75" thickBot="1" x14ac:dyDescent="0.3">
      <c r="E33" s="5" t="s">
        <v>3</v>
      </c>
      <c r="F33" s="6"/>
      <c r="G33" s="6"/>
      <c r="H33" s="7" t="s">
        <v>4</v>
      </c>
      <c r="I33" s="8" t="s">
        <v>4</v>
      </c>
      <c r="J33" s="8" t="s">
        <v>5</v>
      </c>
      <c r="K33" s="9" t="s">
        <v>6</v>
      </c>
      <c r="L33" s="83"/>
      <c r="M33" s="6"/>
      <c r="N33" s="7" t="s">
        <v>4</v>
      </c>
      <c r="O33" s="8" t="s">
        <v>4</v>
      </c>
      <c r="P33" s="8" t="s">
        <v>7</v>
      </c>
      <c r="Q33" s="11" t="s">
        <v>6</v>
      </c>
    </row>
    <row r="34" spans="3:17" x14ac:dyDescent="0.25">
      <c r="C34">
        <v>20</v>
      </c>
      <c r="E34" s="86"/>
      <c r="F34" s="38" t="s">
        <v>9</v>
      </c>
      <c r="G34" s="38" t="s">
        <v>10</v>
      </c>
      <c r="H34" s="45">
        <v>200</v>
      </c>
      <c r="I34" s="36">
        <f>O34</f>
        <v>1822018</v>
      </c>
      <c r="J34" s="42">
        <v>1.22949</v>
      </c>
      <c r="K34" s="36">
        <f>ROUND(I34*J34,0)</f>
        <v>2240153</v>
      </c>
      <c r="L34" s="75" t="s">
        <v>8</v>
      </c>
      <c r="M34" s="38" t="s">
        <v>10</v>
      </c>
      <c r="N34" s="45">
        <v>200</v>
      </c>
      <c r="O34" s="36">
        <v>1822018</v>
      </c>
      <c r="P34" s="42">
        <v>1.2808261783506667</v>
      </c>
      <c r="Q34" s="85">
        <f>ROUND(O34*P34,0)</f>
        <v>2333688</v>
      </c>
    </row>
    <row r="35" spans="3:17" x14ac:dyDescent="0.25">
      <c r="C35">
        <v>21</v>
      </c>
      <c r="E35" s="86"/>
      <c r="F35" s="38" t="s">
        <v>11</v>
      </c>
      <c r="G35" s="38" t="s">
        <v>41</v>
      </c>
      <c r="H35" s="45">
        <v>1800</v>
      </c>
      <c r="I35" s="36">
        <f t="shared" ref="I35:I36" si="6">O35</f>
        <v>5547024</v>
      </c>
      <c r="J35" s="42">
        <v>0.80371999999999999</v>
      </c>
      <c r="K35" s="36">
        <f t="shared" ref="K35:K36" si="7">ROUND(I35*J35,0)</f>
        <v>4458254</v>
      </c>
      <c r="L35" s="75"/>
      <c r="M35" s="38" t="s">
        <v>41</v>
      </c>
      <c r="N35" s="45">
        <v>1800</v>
      </c>
      <c r="O35" s="36">
        <v>5547024</v>
      </c>
      <c r="P35" s="42">
        <v>0.75922617835066686</v>
      </c>
      <c r="Q35" s="14">
        <f t="shared" ref="Q35:Q36" si="8">ROUND(O35*P35,0)</f>
        <v>4211446</v>
      </c>
    </row>
    <row r="36" spans="3:17" x14ac:dyDescent="0.25">
      <c r="C36">
        <v>22</v>
      </c>
      <c r="E36" s="86"/>
      <c r="F36" s="38" t="s">
        <v>43</v>
      </c>
      <c r="G36" s="38" t="s">
        <v>12</v>
      </c>
      <c r="H36" s="45">
        <v>2000</v>
      </c>
      <c r="I36" s="36">
        <f t="shared" si="6"/>
        <v>368347</v>
      </c>
      <c r="J36" s="42">
        <v>0.32867000000000002</v>
      </c>
      <c r="K36" s="36">
        <f t="shared" si="7"/>
        <v>121065</v>
      </c>
      <c r="L36" s="75"/>
      <c r="M36" s="38" t="s">
        <v>12</v>
      </c>
      <c r="N36" s="45">
        <v>2000</v>
      </c>
      <c r="O36" s="36">
        <v>368347</v>
      </c>
      <c r="P36" s="42">
        <v>0.2101561783506668</v>
      </c>
      <c r="Q36" s="14">
        <f t="shared" si="8"/>
        <v>77410</v>
      </c>
    </row>
    <row r="37" spans="3:17" x14ac:dyDescent="0.25">
      <c r="C37">
        <v>23</v>
      </c>
      <c r="E37" s="16" t="s">
        <v>14</v>
      </c>
      <c r="F37" s="37"/>
      <c r="G37" s="38"/>
      <c r="H37" s="41"/>
      <c r="I37" s="17">
        <f>SUM(I34:I36)</f>
        <v>7737389</v>
      </c>
      <c r="J37" s="68"/>
      <c r="K37" s="17">
        <f>SUM(K34:K36)</f>
        <v>6819472</v>
      </c>
      <c r="L37" s="44"/>
      <c r="M37" s="38"/>
      <c r="N37" s="41"/>
      <c r="O37" s="17">
        <f>SUM(O34:O36)</f>
        <v>7737389</v>
      </c>
      <c r="P37" s="68"/>
      <c r="Q37" s="18">
        <f>Q58-Q52-Q55-Q57</f>
        <v>6622544.5823924867</v>
      </c>
    </row>
    <row r="38" spans="3:17" x14ac:dyDescent="0.25">
      <c r="E38" s="15"/>
      <c r="F38" s="38"/>
      <c r="G38" s="38"/>
      <c r="H38" s="41"/>
      <c r="I38" s="36"/>
      <c r="J38" s="43"/>
      <c r="K38" s="36"/>
      <c r="L38" s="44"/>
      <c r="M38" s="38"/>
      <c r="N38" s="41"/>
      <c r="O38" s="37"/>
      <c r="P38" s="43"/>
      <c r="Q38" s="14"/>
    </row>
    <row r="39" spans="3:17" ht="15.75" thickBot="1" x14ac:dyDescent="0.3">
      <c r="E39" s="19" t="s">
        <v>15</v>
      </c>
      <c r="F39" s="20"/>
      <c r="G39" s="20"/>
      <c r="H39" s="7"/>
      <c r="I39" s="8" t="s">
        <v>65</v>
      </c>
      <c r="J39" s="8" t="s">
        <v>5</v>
      </c>
      <c r="K39" s="9" t="s">
        <v>6</v>
      </c>
      <c r="L39" s="37"/>
      <c r="M39" s="20"/>
      <c r="N39" s="7"/>
      <c r="O39" s="7" t="s">
        <v>65</v>
      </c>
      <c r="P39" s="8" t="s">
        <v>7</v>
      </c>
      <c r="Q39" s="11" t="s">
        <v>6</v>
      </c>
    </row>
    <row r="40" spans="3:17" x14ac:dyDescent="0.25">
      <c r="C40">
        <v>24</v>
      </c>
      <c r="E40" s="34" t="s">
        <v>54</v>
      </c>
      <c r="F40" s="37"/>
      <c r="G40" s="38" t="s">
        <v>55</v>
      </c>
      <c r="H40" s="45">
        <v>1</v>
      </c>
      <c r="I40" s="36">
        <f>O40</f>
        <v>9300</v>
      </c>
      <c r="J40" s="82">
        <v>250</v>
      </c>
      <c r="K40" s="36">
        <f>J40*I40*H40</f>
        <v>2325000</v>
      </c>
      <c r="L40" s="37"/>
      <c r="M40" s="38" t="s">
        <v>55</v>
      </c>
      <c r="N40" s="45">
        <v>1</v>
      </c>
      <c r="O40" s="104">
        <v>9300</v>
      </c>
      <c r="P40" s="82">
        <v>200</v>
      </c>
      <c r="Q40" s="14">
        <f>P40*O40*N40</f>
        <v>1860000</v>
      </c>
    </row>
    <row r="41" spans="3:17" x14ac:dyDescent="0.25">
      <c r="C41">
        <v>25</v>
      </c>
      <c r="E41" s="69"/>
      <c r="F41" s="37"/>
      <c r="G41" s="38" t="s">
        <v>56</v>
      </c>
      <c r="H41" s="45">
        <v>1</v>
      </c>
      <c r="I41" s="36">
        <f>O41</f>
        <v>1452</v>
      </c>
      <c r="J41" s="82">
        <v>125</v>
      </c>
      <c r="K41" s="36">
        <f>J41*I41*H41</f>
        <v>181500</v>
      </c>
      <c r="L41" s="37"/>
      <c r="M41" s="38" t="s">
        <v>56</v>
      </c>
      <c r="N41" s="45">
        <v>1</v>
      </c>
      <c r="O41" s="105">
        <v>1452</v>
      </c>
      <c r="P41" s="82">
        <v>100</v>
      </c>
      <c r="Q41" s="14">
        <f>P41*O41*N41</f>
        <v>145200</v>
      </c>
    </row>
    <row r="42" spans="3:17" x14ac:dyDescent="0.25">
      <c r="C42">
        <v>26</v>
      </c>
      <c r="E42" s="69"/>
      <c r="F42" s="37"/>
      <c r="G42" s="38"/>
      <c r="H42" s="45"/>
      <c r="I42" s="17">
        <f>SUM(I40:I41)</f>
        <v>10752</v>
      </c>
      <c r="J42" s="68"/>
      <c r="K42" s="17">
        <f>SUM(K40:K41)</f>
        <v>2506500</v>
      </c>
      <c r="L42" s="44"/>
      <c r="M42" s="38"/>
      <c r="N42" s="45"/>
      <c r="O42" s="104">
        <f>SUM(O40:O41)</f>
        <v>10752</v>
      </c>
      <c r="P42" s="68"/>
      <c r="Q42" s="18">
        <f>SUM(Q40:Q41)</f>
        <v>2005200</v>
      </c>
    </row>
    <row r="43" spans="3:17" x14ac:dyDescent="0.25">
      <c r="E43" s="69"/>
      <c r="F43" s="37"/>
      <c r="G43" s="37"/>
      <c r="H43" s="45"/>
      <c r="I43" s="83"/>
      <c r="J43" s="84"/>
      <c r="K43" s="84"/>
      <c r="L43" s="37"/>
      <c r="M43" s="37"/>
      <c r="N43" s="45"/>
      <c r="O43" s="104"/>
      <c r="P43" s="84"/>
      <c r="Q43" s="72"/>
    </row>
    <row r="44" spans="3:17" x14ac:dyDescent="0.25">
      <c r="C44">
        <v>27</v>
      </c>
      <c r="E44" s="34" t="s">
        <v>45</v>
      </c>
      <c r="F44" s="37"/>
      <c r="G44" s="38" t="s">
        <v>17</v>
      </c>
      <c r="H44" s="45">
        <v>1</v>
      </c>
      <c r="I44" s="36">
        <f>O44</f>
        <v>12</v>
      </c>
      <c r="J44" s="82">
        <v>6.75</v>
      </c>
      <c r="K44" s="36">
        <f t="shared" ref="K44:K47" si="9">J44*I44*H44</f>
        <v>81</v>
      </c>
      <c r="L44" s="37"/>
      <c r="M44" s="38" t="s">
        <v>17</v>
      </c>
      <c r="N44" s="45">
        <v>1</v>
      </c>
      <c r="O44" s="104">
        <v>12</v>
      </c>
      <c r="P44" s="82">
        <v>6.75</v>
      </c>
      <c r="Q44" s="14">
        <f t="shared" ref="Q44:Q47" si="10">P44*O44*N44</f>
        <v>81</v>
      </c>
    </row>
    <row r="45" spans="3:17" x14ac:dyDescent="0.25">
      <c r="C45">
        <v>28</v>
      </c>
      <c r="E45" s="34"/>
      <c r="F45" s="37"/>
      <c r="G45" s="38" t="s">
        <v>18</v>
      </c>
      <c r="H45" s="45">
        <v>1</v>
      </c>
      <c r="I45" s="36">
        <f t="shared" ref="I45:I47" si="11">O45</f>
        <v>2592</v>
      </c>
      <c r="J45" s="82">
        <v>18.25</v>
      </c>
      <c r="K45" s="36">
        <f t="shared" si="9"/>
        <v>47304</v>
      </c>
      <c r="L45" s="37"/>
      <c r="M45" s="38" t="s">
        <v>18</v>
      </c>
      <c r="N45" s="45">
        <v>1</v>
      </c>
      <c r="O45" s="104">
        <v>2592</v>
      </c>
      <c r="P45" s="82">
        <v>18.25</v>
      </c>
      <c r="Q45" s="14">
        <f t="shared" si="10"/>
        <v>47304</v>
      </c>
    </row>
    <row r="46" spans="3:17" x14ac:dyDescent="0.25">
      <c r="C46">
        <v>29</v>
      </c>
      <c r="E46" s="15"/>
      <c r="F46" s="37"/>
      <c r="G46" s="38" t="s">
        <v>19</v>
      </c>
      <c r="H46" s="45">
        <v>1</v>
      </c>
      <c r="I46" s="36">
        <f t="shared" si="11"/>
        <v>5784</v>
      </c>
      <c r="J46" s="82">
        <v>63.5</v>
      </c>
      <c r="K46" s="36">
        <f t="shared" si="9"/>
        <v>367284</v>
      </c>
      <c r="L46" s="37"/>
      <c r="M46" s="38" t="s">
        <v>19</v>
      </c>
      <c r="N46" s="45">
        <v>1</v>
      </c>
      <c r="O46" s="104">
        <v>5784</v>
      </c>
      <c r="P46" s="82">
        <v>63.5</v>
      </c>
      <c r="Q46" s="14">
        <f t="shared" si="10"/>
        <v>367284</v>
      </c>
    </row>
    <row r="47" spans="3:17" x14ac:dyDescent="0.25">
      <c r="C47">
        <v>30</v>
      </c>
      <c r="E47" s="15"/>
      <c r="F47" s="37"/>
      <c r="G47" s="38" t="s">
        <v>20</v>
      </c>
      <c r="H47" s="45">
        <v>1</v>
      </c>
      <c r="I47" s="36">
        <f t="shared" si="11"/>
        <v>2364</v>
      </c>
      <c r="J47" s="82">
        <v>420.25</v>
      </c>
      <c r="K47" s="36">
        <f t="shared" si="9"/>
        <v>993471</v>
      </c>
      <c r="L47" s="37"/>
      <c r="M47" s="38" t="s">
        <v>20</v>
      </c>
      <c r="N47" s="45">
        <v>1</v>
      </c>
      <c r="O47" s="105">
        <v>2364</v>
      </c>
      <c r="P47" s="82">
        <v>420.25</v>
      </c>
      <c r="Q47" s="14">
        <f t="shared" si="10"/>
        <v>993471</v>
      </c>
    </row>
    <row r="48" spans="3:17" x14ac:dyDescent="0.25">
      <c r="C48">
        <v>31</v>
      </c>
      <c r="E48" s="15"/>
      <c r="F48" s="37"/>
      <c r="G48" s="37"/>
      <c r="H48" s="45"/>
      <c r="I48" s="17">
        <f>SUM(I44:I47)</f>
        <v>10752</v>
      </c>
      <c r="J48" s="68"/>
      <c r="K48" s="17">
        <f>SUM(K44:K47)</f>
        <v>1408140</v>
      </c>
      <c r="L48" s="44"/>
      <c r="M48" s="37"/>
      <c r="N48" s="45"/>
      <c r="O48" s="104">
        <f>SUM(O44:O47)</f>
        <v>10752</v>
      </c>
      <c r="P48" s="77"/>
      <c r="Q48" s="18">
        <f>SUM(Q44:Q47)</f>
        <v>1408140</v>
      </c>
    </row>
    <row r="49" spans="3:17" x14ac:dyDescent="0.25">
      <c r="E49" s="15"/>
      <c r="F49" s="37"/>
      <c r="G49" s="37"/>
      <c r="H49" s="45"/>
      <c r="I49" s="36"/>
      <c r="J49" s="43"/>
      <c r="K49" s="36"/>
      <c r="L49" s="44"/>
      <c r="M49" s="37"/>
      <c r="N49" s="45"/>
      <c r="O49" s="36"/>
      <c r="P49" s="43"/>
      <c r="Q49" s="14"/>
    </row>
    <row r="50" spans="3:17" ht="15.75" thickBot="1" x14ac:dyDescent="0.3">
      <c r="C50">
        <v>32</v>
      </c>
      <c r="E50" s="34" t="s">
        <v>57</v>
      </c>
      <c r="F50" s="37"/>
      <c r="G50" s="37"/>
      <c r="H50" s="45"/>
      <c r="I50" s="8" t="s">
        <v>58</v>
      </c>
      <c r="J50" s="8" t="s">
        <v>59</v>
      </c>
      <c r="K50" s="9" t="s">
        <v>6</v>
      </c>
      <c r="L50" s="44"/>
      <c r="M50" s="37"/>
      <c r="N50" s="45"/>
      <c r="O50" s="8" t="s">
        <v>58</v>
      </c>
      <c r="P50" s="8" t="s">
        <v>59</v>
      </c>
      <c r="Q50" s="11" t="s">
        <v>6</v>
      </c>
    </row>
    <row r="51" spans="3:17" x14ac:dyDescent="0.25">
      <c r="C51">
        <v>33</v>
      </c>
      <c r="E51" s="34" t="s">
        <v>60</v>
      </c>
      <c r="F51" s="37"/>
      <c r="G51" s="37"/>
      <c r="H51" s="45"/>
      <c r="I51" s="36">
        <f>O51</f>
        <v>801984</v>
      </c>
      <c r="J51" s="98">
        <v>4.1648025000000004</v>
      </c>
      <c r="K51" s="36">
        <f>I51*J51</f>
        <v>3340104.9681600002</v>
      </c>
      <c r="L51" s="44"/>
      <c r="M51" s="37"/>
      <c r="N51" s="45"/>
      <c r="O51" s="36">
        <v>801984</v>
      </c>
      <c r="P51" s="98">
        <v>3.2315974081408299</v>
      </c>
      <c r="Q51" s="14">
        <f>O51*P51</f>
        <v>2591689.4157704152</v>
      </c>
    </row>
    <row r="52" spans="3:17" x14ac:dyDescent="0.25">
      <c r="C52">
        <v>34</v>
      </c>
      <c r="E52" s="26" t="s">
        <v>22</v>
      </c>
      <c r="F52" s="38"/>
      <c r="G52" s="37"/>
      <c r="H52" s="45"/>
      <c r="I52" s="17"/>
      <c r="J52" s="68"/>
      <c r="K52" s="17">
        <f>K51+K48+K42</f>
        <v>7254744.9681599997</v>
      </c>
      <c r="L52" s="44"/>
      <c r="M52" s="37"/>
      <c r="N52" s="45"/>
      <c r="O52" s="17"/>
      <c r="P52" s="68"/>
      <c r="Q52" s="18">
        <f>Q51+Q48+Q42</f>
        <v>6005029.4157704152</v>
      </c>
    </row>
    <row r="53" spans="3:17" ht="15.75" thickBot="1" x14ac:dyDescent="0.3">
      <c r="E53" s="15"/>
      <c r="F53" s="37"/>
      <c r="G53" s="37"/>
      <c r="H53" s="45"/>
      <c r="I53" s="47"/>
      <c r="J53" s="47"/>
      <c r="K53" s="27"/>
      <c r="L53" s="37"/>
      <c r="M53" s="37"/>
      <c r="N53" s="45"/>
      <c r="O53" s="47"/>
      <c r="P53" s="47"/>
      <c r="Q53" s="28"/>
    </row>
    <row r="54" spans="3:17" ht="15.75" thickTop="1" x14ac:dyDescent="0.25">
      <c r="C54">
        <v>35</v>
      </c>
      <c r="E54" s="16" t="s">
        <v>71</v>
      </c>
      <c r="F54" s="37"/>
      <c r="G54" s="37"/>
      <c r="H54" s="45"/>
      <c r="I54" s="36"/>
      <c r="J54" s="37"/>
      <c r="K54" s="36">
        <f>K52+K37</f>
        <v>14074216.96816</v>
      </c>
      <c r="L54" s="36"/>
      <c r="M54" s="37"/>
      <c r="N54" s="45"/>
      <c r="O54" s="36"/>
      <c r="P54" s="37"/>
      <c r="Q54" s="14">
        <f>Q52+Q37</f>
        <v>12627573.998162903</v>
      </c>
    </row>
    <row r="55" spans="3:17" x14ac:dyDescent="0.25">
      <c r="C55">
        <v>36</v>
      </c>
      <c r="E55" s="69" t="s">
        <v>67</v>
      </c>
      <c r="F55" s="37"/>
      <c r="G55" s="36"/>
      <c r="H55" s="45"/>
      <c r="I55" s="36">
        <v>0</v>
      </c>
      <c r="J55" s="37"/>
      <c r="K55" s="36">
        <v>0</v>
      </c>
      <c r="L55" s="36"/>
      <c r="M55" s="36"/>
      <c r="N55" s="45"/>
      <c r="O55" s="36"/>
      <c r="P55" s="37"/>
      <c r="Q55" s="14">
        <v>0</v>
      </c>
    </row>
    <row r="56" spans="3:17" x14ac:dyDescent="0.25">
      <c r="C56">
        <v>37</v>
      </c>
      <c r="E56" s="69" t="s">
        <v>72</v>
      </c>
      <c r="F56" s="37"/>
      <c r="G56" s="37"/>
      <c r="H56" s="45"/>
      <c r="I56" s="36"/>
      <c r="J56" s="37"/>
      <c r="K56" s="78">
        <f>SUM(K54:K55)</f>
        <v>14074216.96816</v>
      </c>
      <c r="L56" s="36"/>
      <c r="M56" s="37"/>
      <c r="N56" s="45"/>
      <c r="O56" s="36"/>
      <c r="P56" s="37"/>
      <c r="Q56" s="79">
        <f>SUM(Q54:Q55)</f>
        <v>12627573.998162903</v>
      </c>
    </row>
    <row r="57" spans="3:17" x14ac:dyDescent="0.25">
      <c r="C57">
        <v>38</v>
      </c>
      <c r="E57" s="15" t="s">
        <v>24</v>
      </c>
      <c r="F57" s="37"/>
      <c r="G57" s="37"/>
      <c r="H57" s="45"/>
      <c r="I57" s="36"/>
      <c r="J57" s="37"/>
      <c r="K57" s="80">
        <f>Q57</f>
        <v>96933.04938619645</v>
      </c>
      <c r="L57" s="36"/>
      <c r="M57" s="37"/>
      <c r="N57" s="45"/>
      <c r="O57" s="36"/>
      <c r="P57" s="37"/>
      <c r="Q57" s="101">
        <v>96933.04938619645</v>
      </c>
    </row>
    <row r="58" spans="3:17" ht="15.75" thickBot="1" x14ac:dyDescent="0.3">
      <c r="C58">
        <v>39</v>
      </c>
      <c r="E58" s="19" t="s">
        <v>73</v>
      </c>
      <c r="F58" s="20"/>
      <c r="G58" s="20"/>
      <c r="H58" s="32"/>
      <c r="I58" s="24"/>
      <c r="J58" s="20"/>
      <c r="K58" s="100">
        <f>SUM(K54:K55)</f>
        <v>14074216.96816</v>
      </c>
      <c r="L58" s="24"/>
      <c r="M58" s="20"/>
      <c r="N58" s="32"/>
      <c r="O58" s="24"/>
      <c r="P58" s="20"/>
      <c r="Q58" s="102">
        <v>12724507.047549099</v>
      </c>
    </row>
    <row r="60" spans="3:17" x14ac:dyDescent="0.25">
      <c r="E60" s="103" t="s">
        <v>83</v>
      </c>
    </row>
  </sheetData>
  <mergeCells count="7">
    <mergeCell ref="H32:J32"/>
    <mergeCell ref="O32:Q32"/>
    <mergeCell ref="E1:F1"/>
    <mergeCell ref="G1:H1"/>
    <mergeCell ref="M1:N1"/>
    <mergeCell ref="O3:Q3"/>
    <mergeCell ref="H3:J3"/>
  </mergeCells>
  <pageMargins left="0.25" right="0.25" top="0.5" bottom="0.25" header="0" footer="0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59"/>
  <sheetViews>
    <sheetView zoomScale="85" zoomScaleNormal="85" workbookViewId="0">
      <selection activeCell="E60" sqref="E60"/>
    </sheetView>
  </sheetViews>
  <sheetFormatPr defaultRowHeight="15" x14ac:dyDescent="0.25"/>
  <cols>
    <col min="3" max="3" width="3" bestFit="1" customWidth="1"/>
    <col min="4" max="4" width="3.42578125" customWidth="1"/>
    <col min="5" max="5" width="16.7109375" customWidth="1"/>
    <col min="6" max="6" width="7.28515625" bestFit="1" customWidth="1"/>
    <col min="7" max="7" width="9.85546875" bestFit="1" customWidth="1"/>
    <col min="8" max="8" width="7.5703125" bestFit="1" customWidth="1"/>
    <col min="9" max="9" width="25.5703125" bestFit="1" customWidth="1"/>
    <col min="10" max="10" width="10.140625" bestFit="1" customWidth="1"/>
    <col min="11" max="11" width="12.28515625" bestFit="1" customWidth="1"/>
    <col min="12" max="12" width="7.5703125" bestFit="1" customWidth="1"/>
    <col min="13" max="13" width="9.85546875" bestFit="1" customWidth="1"/>
    <col min="14" max="14" width="7.5703125" bestFit="1" customWidth="1"/>
    <col min="15" max="15" width="12.140625" bestFit="1" customWidth="1"/>
    <col min="16" max="16" width="10.5703125" bestFit="1" customWidth="1"/>
    <col min="17" max="17" width="12.28515625" bestFit="1" customWidth="1"/>
  </cols>
  <sheetData>
    <row r="1" spans="3:17" x14ac:dyDescent="0.25">
      <c r="E1" s="108" t="s">
        <v>30</v>
      </c>
      <c r="F1" s="108"/>
      <c r="G1" s="108" t="s">
        <v>31</v>
      </c>
      <c r="H1" s="108"/>
      <c r="I1" s="51" t="s">
        <v>32</v>
      </c>
      <c r="J1" s="51" t="s">
        <v>33</v>
      </c>
      <c r="K1" s="51" t="s">
        <v>34</v>
      </c>
      <c r="L1" s="51"/>
      <c r="M1" s="108" t="s">
        <v>35</v>
      </c>
      <c r="N1" s="108"/>
      <c r="O1" s="51" t="s">
        <v>36</v>
      </c>
      <c r="P1" s="51" t="s">
        <v>37</v>
      </c>
      <c r="Q1" s="51" t="s">
        <v>38</v>
      </c>
    </row>
    <row r="2" spans="3:17" ht="15.75" thickBot="1" x14ac:dyDescent="0.3"/>
    <row r="3" spans="3:17" x14ac:dyDescent="0.25">
      <c r="E3" s="1" t="s">
        <v>75</v>
      </c>
      <c r="F3" s="2"/>
      <c r="G3" s="2"/>
      <c r="H3" s="110" t="s">
        <v>1</v>
      </c>
      <c r="I3" s="110"/>
      <c r="J3" s="110"/>
      <c r="K3" s="92"/>
      <c r="L3" s="2"/>
      <c r="M3" s="2"/>
      <c r="N3" s="65"/>
      <c r="O3" s="106" t="s">
        <v>2</v>
      </c>
      <c r="P3" s="106"/>
      <c r="Q3" s="107"/>
    </row>
    <row r="4" spans="3:17" ht="15.75" thickBot="1" x14ac:dyDescent="0.3">
      <c r="E4" s="5" t="s">
        <v>3</v>
      </c>
      <c r="F4" s="6"/>
      <c r="G4" s="6"/>
      <c r="H4" s="7" t="s">
        <v>4</v>
      </c>
      <c r="I4" s="8" t="s">
        <v>4</v>
      </c>
      <c r="J4" s="8" t="s">
        <v>5</v>
      </c>
      <c r="K4" s="9" t="s">
        <v>6</v>
      </c>
      <c r="L4" s="83"/>
      <c r="M4" s="6"/>
      <c r="N4" s="7" t="s">
        <v>4</v>
      </c>
      <c r="O4" s="8" t="s">
        <v>4</v>
      </c>
      <c r="P4" s="8" t="s">
        <v>7</v>
      </c>
      <c r="Q4" s="11" t="s">
        <v>6</v>
      </c>
    </row>
    <row r="5" spans="3:17" x14ac:dyDescent="0.25">
      <c r="C5">
        <v>1</v>
      </c>
      <c r="E5" s="12"/>
      <c r="F5" s="38" t="s">
        <v>9</v>
      </c>
      <c r="G5" s="38" t="s">
        <v>10</v>
      </c>
      <c r="H5" s="45">
        <v>200</v>
      </c>
      <c r="I5" s="36">
        <v>529502</v>
      </c>
      <c r="J5" s="42">
        <v>1.22949</v>
      </c>
      <c r="K5" s="36">
        <f>ROUND(I5*J5,0)</f>
        <v>651017</v>
      </c>
      <c r="L5" s="75"/>
      <c r="M5" s="38" t="s">
        <v>10</v>
      </c>
      <c r="N5" s="45">
        <v>2000</v>
      </c>
      <c r="O5" s="36">
        <v>4945598</v>
      </c>
      <c r="P5" s="42">
        <v>1.2076030226152747</v>
      </c>
      <c r="Q5" s="14">
        <f>ROUND(O5*P5,0)</f>
        <v>5972319</v>
      </c>
    </row>
    <row r="6" spans="3:17" x14ac:dyDescent="0.25">
      <c r="C6">
        <v>2</v>
      </c>
      <c r="E6" s="15"/>
      <c r="F6" s="38" t="s">
        <v>11</v>
      </c>
      <c r="G6" s="38" t="s">
        <v>41</v>
      </c>
      <c r="H6" s="45">
        <v>1800</v>
      </c>
      <c r="I6" s="36">
        <v>4416096</v>
      </c>
      <c r="J6" s="42">
        <v>0.80371999999999999</v>
      </c>
      <c r="K6" s="36">
        <f t="shared" ref="K6:K8" si="0">ROUND(I6*J6,0)</f>
        <v>3549305</v>
      </c>
      <c r="L6" s="75"/>
      <c r="M6" s="38" t="s">
        <v>12</v>
      </c>
      <c r="N6" s="45">
        <v>2000</v>
      </c>
      <c r="O6" s="36">
        <v>10359518</v>
      </c>
      <c r="P6" s="42">
        <v>0.65853302261527469</v>
      </c>
      <c r="Q6" s="14">
        <f t="shared" ref="Q6:Q8" si="1">ROUND(O6*P6,0)</f>
        <v>6822085</v>
      </c>
    </row>
    <row r="7" spans="3:17" x14ac:dyDescent="0.25">
      <c r="C7">
        <v>3</v>
      </c>
      <c r="E7" s="15"/>
      <c r="F7" s="38" t="s">
        <v>43</v>
      </c>
      <c r="G7" s="38" t="s">
        <v>41</v>
      </c>
      <c r="H7" s="45">
        <v>98000</v>
      </c>
      <c r="I7" s="36">
        <v>10359518</v>
      </c>
      <c r="J7" s="42">
        <v>0.32867000000000002</v>
      </c>
      <c r="K7" s="36">
        <f t="shared" si="0"/>
        <v>3404863</v>
      </c>
      <c r="L7" s="75"/>
      <c r="M7" s="38"/>
      <c r="N7" s="45"/>
      <c r="O7" s="36">
        <v>0</v>
      </c>
      <c r="P7" s="42">
        <v>0</v>
      </c>
      <c r="Q7" s="14">
        <f t="shared" si="1"/>
        <v>0</v>
      </c>
    </row>
    <row r="8" spans="3:17" x14ac:dyDescent="0.25">
      <c r="C8">
        <v>4</v>
      </c>
      <c r="E8" s="15"/>
      <c r="F8" s="99" t="s">
        <v>52</v>
      </c>
      <c r="G8" s="38" t="s">
        <v>12</v>
      </c>
      <c r="H8" s="45">
        <v>100000</v>
      </c>
      <c r="I8" s="36">
        <v>0</v>
      </c>
      <c r="J8" s="42">
        <v>0.12164999999999998</v>
      </c>
      <c r="K8" s="36">
        <f t="shared" si="0"/>
        <v>0</v>
      </c>
      <c r="L8" s="75"/>
      <c r="M8" s="38"/>
      <c r="N8" s="45"/>
      <c r="O8" s="36">
        <v>0</v>
      </c>
      <c r="P8" s="42">
        <v>0</v>
      </c>
      <c r="Q8" s="14">
        <f t="shared" si="1"/>
        <v>0</v>
      </c>
    </row>
    <row r="9" spans="3:17" x14ac:dyDescent="0.25">
      <c r="E9" s="16" t="s">
        <v>14</v>
      </c>
      <c r="F9" s="37"/>
      <c r="G9" s="38"/>
      <c r="H9" s="41"/>
      <c r="I9" s="17">
        <f>SUM(I5:I8)</f>
        <v>15305116</v>
      </c>
      <c r="J9" s="68"/>
      <c r="K9" s="17">
        <f>SUM(K5:K8)</f>
        <v>7605185</v>
      </c>
      <c r="L9" s="44"/>
      <c r="M9" s="38"/>
      <c r="N9" s="41"/>
      <c r="O9" s="17">
        <f>SUM(O5:O8)</f>
        <v>15305116</v>
      </c>
      <c r="P9" s="68"/>
      <c r="Q9" s="18">
        <f>Q30-Q24-Q27-Q29</f>
        <v>12794403.794817403</v>
      </c>
    </row>
    <row r="10" spans="3:17" x14ac:dyDescent="0.25">
      <c r="E10" s="15"/>
      <c r="F10" s="38"/>
      <c r="G10" s="38"/>
      <c r="H10" s="41"/>
      <c r="I10" s="36"/>
      <c r="J10" s="43"/>
      <c r="K10" s="36"/>
      <c r="L10" s="44"/>
      <c r="M10" s="38"/>
      <c r="N10" s="41"/>
      <c r="O10" s="36"/>
      <c r="P10" s="43"/>
      <c r="Q10" s="14"/>
    </row>
    <row r="11" spans="3:17" ht="15.75" thickBot="1" x14ac:dyDescent="0.3">
      <c r="E11" s="19" t="s">
        <v>15</v>
      </c>
      <c r="F11" s="20"/>
      <c r="G11" s="20"/>
      <c r="H11" s="7"/>
      <c r="I11" s="8" t="s">
        <v>16</v>
      </c>
      <c r="J11" s="8" t="s">
        <v>5</v>
      </c>
      <c r="K11" s="9" t="s">
        <v>6</v>
      </c>
      <c r="L11" s="37"/>
      <c r="M11" s="20"/>
      <c r="N11" s="7"/>
      <c r="O11" s="8" t="s">
        <v>16</v>
      </c>
      <c r="P11" s="8" t="s">
        <v>7</v>
      </c>
      <c r="Q11" s="11" t="s">
        <v>6</v>
      </c>
    </row>
    <row r="12" spans="3:17" x14ac:dyDescent="0.25">
      <c r="C12">
        <v>5</v>
      </c>
      <c r="E12" s="34" t="s">
        <v>54</v>
      </c>
      <c r="F12" s="37"/>
      <c r="G12" s="38" t="s">
        <v>55</v>
      </c>
      <c r="H12" s="45">
        <v>1</v>
      </c>
      <c r="I12" s="36">
        <f>O12</f>
        <v>2388</v>
      </c>
      <c r="J12" s="82">
        <v>250</v>
      </c>
      <c r="K12" s="36">
        <f t="shared" ref="K12:K13" si="2">I12*J12*H12</f>
        <v>597000</v>
      </c>
      <c r="L12" s="37"/>
      <c r="M12" s="38" t="s">
        <v>55</v>
      </c>
      <c r="N12" s="45">
        <v>1</v>
      </c>
      <c r="O12" s="36">
        <v>2388</v>
      </c>
      <c r="P12" s="82">
        <v>200</v>
      </c>
      <c r="Q12" s="14">
        <f t="shared" ref="Q12:Q13" si="3">N12*O12*P12</f>
        <v>477600</v>
      </c>
    </row>
    <row r="13" spans="3:17" x14ac:dyDescent="0.25">
      <c r="C13">
        <v>6</v>
      </c>
      <c r="E13" s="69"/>
      <c r="F13" s="37"/>
      <c r="G13" s="38" t="s">
        <v>56</v>
      </c>
      <c r="H13" s="45">
        <v>1</v>
      </c>
      <c r="I13" s="36">
        <f>O13</f>
        <v>324</v>
      </c>
      <c r="J13" s="82">
        <v>125</v>
      </c>
      <c r="K13" s="36">
        <f t="shared" si="2"/>
        <v>40500</v>
      </c>
      <c r="L13" s="37"/>
      <c r="M13" s="38" t="s">
        <v>56</v>
      </c>
      <c r="N13" s="45">
        <v>1</v>
      </c>
      <c r="O13" s="36">
        <v>324</v>
      </c>
      <c r="P13" s="82">
        <v>100</v>
      </c>
      <c r="Q13" s="14">
        <f t="shared" si="3"/>
        <v>32400</v>
      </c>
    </row>
    <row r="14" spans="3:17" x14ac:dyDescent="0.25">
      <c r="C14">
        <v>7</v>
      </c>
      <c r="E14" s="69"/>
      <c r="F14" s="37"/>
      <c r="G14" s="38"/>
      <c r="H14" s="45"/>
      <c r="I14" s="17">
        <f>SUM(I12:I13)</f>
        <v>2712</v>
      </c>
      <c r="J14" s="68"/>
      <c r="K14" s="17">
        <f>SUM(K12:K13)</f>
        <v>637500</v>
      </c>
      <c r="L14" s="44"/>
      <c r="M14" s="38"/>
      <c r="N14" s="45"/>
      <c r="O14" s="17">
        <f>SUM(O12:O13)</f>
        <v>2712</v>
      </c>
      <c r="P14" s="68"/>
      <c r="Q14" s="18">
        <f>SUM(Q12:Q13)</f>
        <v>510000</v>
      </c>
    </row>
    <row r="15" spans="3:17" x14ac:dyDescent="0.25">
      <c r="E15" s="69"/>
      <c r="F15" s="37"/>
      <c r="G15" s="37"/>
      <c r="H15" s="45"/>
      <c r="I15" s="83"/>
      <c r="J15" s="84"/>
      <c r="K15" s="84"/>
      <c r="L15" s="37"/>
      <c r="M15" s="37"/>
      <c r="N15" s="45"/>
      <c r="O15" s="83"/>
      <c r="P15" s="84"/>
      <c r="Q15" s="72"/>
    </row>
    <row r="16" spans="3:17" x14ac:dyDescent="0.25">
      <c r="C16">
        <v>8</v>
      </c>
      <c r="E16" s="34" t="s">
        <v>45</v>
      </c>
      <c r="F16" s="38" t="s">
        <v>17</v>
      </c>
      <c r="G16" s="37"/>
      <c r="H16" s="45">
        <v>1</v>
      </c>
      <c r="I16" s="36">
        <f>O16</f>
        <v>0</v>
      </c>
      <c r="J16" s="82">
        <v>6.75</v>
      </c>
      <c r="K16" s="36">
        <f>I16*J16*H16</f>
        <v>0</v>
      </c>
      <c r="L16" s="37"/>
      <c r="M16" s="37"/>
      <c r="N16" s="45">
        <v>1</v>
      </c>
      <c r="O16" s="36">
        <v>0</v>
      </c>
      <c r="P16" s="82">
        <v>6.75</v>
      </c>
      <c r="Q16" s="14">
        <f t="shared" ref="Q16:Q18" si="4">N16*O16*P16</f>
        <v>0</v>
      </c>
    </row>
    <row r="17" spans="3:17" x14ac:dyDescent="0.25">
      <c r="C17">
        <v>9</v>
      </c>
      <c r="E17" s="34"/>
      <c r="F17" s="38" t="s">
        <v>18</v>
      </c>
      <c r="G17" s="37"/>
      <c r="H17" s="45">
        <v>1</v>
      </c>
      <c r="I17" s="36">
        <f t="shared" ref="I17:I19" si="5">O17</f>
        <v>192</v>
      </c>
      <c r="J17" s="82">
        <v>18.25</v>
      </c>
      <c r="K17" s="36">
        <f t="shared" ref="K17:K19" si="6">I17*J17*H17</f>
        <v>3504</v>
      </c>
      <c r="L17" s="37"/>
      <c r="M17" s="37"/>
      <c r="N17" s="45">
        <v>1</v>
      </c>
      <c r="O17" s="36">
        <v>192</v>
      </c>
      <c r="P17" s="82">
        <v>18.25</v>
      </c>
      <c r="Q17" s="14">
        <f t="shared" si="4"/>
        <v>3504</v>
      </c>
    </row>
    <row r="18" spans="3:17" x14ac:dyDescent="0.25">
      <c r="C18">
        <v>10</v>
      </c>
      <c r="E18" s="15"/>
      <c r="F18" s="38" t="s">
        <v>19</v>
      </c>
      <c r="G18" s="37"/>
      <c r="H18" s="45">
        <v>1</v>
      </c>
      <c r="I18" s="36">
        <f t="shared" si="5"/>
        <v>876</v>
      </c>
      <c r="J18" s="82">
        <v>63.5</v>
      </c>
      <c r="K18" s="36">
        <f t="shared" si="6"/>
        <v>55626</v>
      </c>
      <c r="L18" s="37"/>
      <c r="M18" s="37"/>
      <c r="N18" s="45">
        <v>1</v>
      </c>
      <c r="O18" s="36">
        <v>876</v>
      </c>
      <c r="P18" s="82">
        <v>63.5</v>
      </c>
      <c r="Q18" s="14">
        <f t="shared" si="4"/>
        <v>55626</v>
      </c>
    </row>
    <row r="19" spans="3:17" x14ac:dyDescent="0.25">
      <c r="C19">
        <v>11</v>
      </c>
      <c r="E19" s="15"/>
      <c r="F19" s="38" t="s">
        <v>20</v>
      </c>
      <c r="G19" s="37"/>
      <c r="H19" s="45">
        <v>1</v>
      </c>
      <c r="I19" s="36">
        <f t="shared" si="5"/>
        <v>2064</v>
      </c>
      <c r="J19" s="82">
        <v>420.25</v>
      </c>
      <c r="K19" s="36">
        <f t="shared" si="6"/>
        <v>867396</v>
      </c>
      <c r="L19" s="37"/>
      <c r="M19" s="37"/>
      <c r="N19" s="45">
        <v>1</v>
      </c>
      <c r="O19" s="36">
        <v>2064</v>
      </c>
      <c r="P19" s="82">
        <v>420.25</v>
      </c>
      <c r="Q19" s="14">
        <f>N19*O19*P19</f>
        <v>867396</v>
      </c>
    </row>
    <row r="20" spans="3:17" x14ac:dyDescent="0.25">
      <c r="C20">
        <v>12</v>
      </c>
      <c r="E20" s="15"/>
      <c r="F20" s="37"/>
      <c r="G20" s="37"/>
      <c r="H20" s="45"/>
      <c r="I20" s="17">
        <f>SUM(I16:I19)</f>
        <v>3132</v>
      </c>
      <c r="J20" s="68"/>
      <c r="K20" s="17">
        <f>SUM(K16:K19)</f>
        <v>926526</v>
      </c>
      <c r="L20" s="44"/>
      <c r="M20" s="37"/>
      <c r="N20" s="45"/>
      <c r="O20" s="17">
        <f>SUM(O16:O19)</f>
        <v>3132</v>
      </c>
      <c r="P20" s="77"/>
      <c r="Q20" s="18">
        <f>SUM(Q16:Q19)</f>
        <v>926526</v>
      </c>
    </row>
    <row r="21" spans="3:17" x14ac:dyDescent="0.25">
      <c r="E21" s="15"/>
      <c r="F21" s="37"/>
      <c r="G21" s="37"/>
      <c r="H21" s="45"/>
      <c r="I21" s="36"/>
      <c r="J21" s="43"/>
      <c r="K21" s="36"/>
      <c r="L21" s="44"/>
      <c r="M21" s="37"/>
      <c r="N21" s="45"/>
      <c r="O21" s="36"/>
      <c r="P21" s="43"/>
      <c r="Q21" s="14"/>
    </row>
    <row r="22" spans="3:17" ht="15.75" thickBot="1" x14ac:dyDescent="0.3">
      <c r="E22" s="34" t="s">
        <v>57</v>
      </c>
      <c r="F22" s="37"/>
      <c r="G22" s="37"/>
      <c r="H22" s="45"/>
      <c r="I22" s="8" t="s">
        <v>58</v>
      </c>
      <c r="J22" s="8" t="s">
        <v>59</v>
      </c>
      <c r="K22" s="9" t="s">
        <v>6</v>
      </c>
      <c r="L22" s="44"/>
      <c r="M22" s="37"/>
      <c r="N22" s="45"/>
      <c r="O22" s="8" t="s">
        <v>58</v>
      </c>
      <c r="P22" s="8" t="s">
        <v>59</v>
      </c>
      <c r="Q22" s="11" t="s">
        <v>6</v>
      </c>
    </row>
    <row r="23" spans="3:17" x14ac:dyDescent="0.25">
      <c r="C23">
        <v>13</v>
      </c>
      <c r="E23" s="34" t="s">
        <v>60</v>
      </c>
      <c r="F23" s="37"/>
      <c r="G23" s="37"/>
      <c r="H23" s="45"/>
      <c r="I23" s="36">
        <f>O23</f>
        <v>850596</v>
      </c>
      <c r="J23" s="98">
        <v>4.1648025000000004</v>
      </c>
      <c r="K23" s="36">
        <f>I23*J23</f>
        <v>3542564.3472900004</v>
      </c>
      <c r="L23" s="44"/>
      <c r="M23" s="37"/>
      <c r="N23" s="45"/>
      <c r="O23" s="36">
        <v>850596</v>
      </c>
      <c r="P23" s="98">
        <v>3.2315974081408299</v>
      </c>
      <c r="Q23" s="14">
        <f>O23*P23</f>
        <v>2748783.8289749571</v>
      </c>
    </row>
    <row r="24" spans="3:17" x14ac:dyDescent="0.25">
      <c r="C24">
        <v>14</v>
      </c>
      <c r="E24" s="26" t="s">
        <v>22</v>
      </c>
      <c r="F24" s="38"/>
      <c r="G24" s="37"/>
      <c r="H24" s="45"/>
      <c r="I24" s="17"/>
      <c r="J24" s="68"/>
      <c r="K24" s="17">
        <f>K23+K20+K14</f>
        <v>5106590.3472899999</v>
      </c>
      <c r="L24" s="44"/>
      <c r="M24" s="37"/>
      <c r="N24" s="45"/>
      <c r="O24" s="17"/>
      <c r="P24" s="68"/>
      <c r="Q24" s="18">
        <f>Q20+Q14+Q23</f>
        <v>4185309.8289749571</v>
      </c>
    </row>
    <row r="25" spans="3:17" ht="15.75" thickBot="1" x14ac:dyDescent="0.3">
      <c r="E25" s="15"/>
      <c r="F25" s="37"/>
      <c r="G25" s="37"/>
      <c r="H25" s="45"/>
      <c r="I25" s="47"/>
      <c r="J25" s="47"/>
      <c r="K25" s="27"/>
      <c r="L25" s="37"/>
      <c r="M25" s="37"/>
      <c r="N25" s="45"/>
      <c r="O25" s="47"/>
      <c r="P25" s="47"/>
      <c r="Q25" s="28"/>
    </row>
    <row r="26" spans="3:17" ht="15.75" thickTop="1" x14ac:dyDescent="0.25">
      <c r="C26">
        <v>15</v>
      </c>
      <c r="E26" s="16" t="s">
        <v>76</v>
      </c>
      <c r="F26" s="37"/>
      <c r="G26" s="37"/>
      <c r="H26" s="45"/>
      <c r="I26" s="36"/>
      <c r="J26" s="37"/>
      <c r="K26" s="36">
        <f>K24+K9</f>
        <v>12711775.34729</v>
      </c>
      <c r="L26" s="36"/>
      <c r="M26" s="37"/>
      <c r="N26" s="45"/>
      <c r="O26" s="36"/>
      <c r="P26" s="37"/>
      <c r="Q26" s="14">
        <f>Q24+Q9</f>
        <v>16979713.623792361</v>
      </c>
    </row>
    <row r="27" spans="3:17" x14ac:dyDescent="0.25">
      <c r="C27">
        <v>16</v>
      </c>
      <c r="E27" s="69" t="s">
        <v>67</v>
      </c>
      <c r="F27" s="37"/>
      <c r="G27" s="36"/>
      <c r="H27" s="45"/>
      <c r="I27" s="36">
        <f>O27</f>
        <v>25468</v>
      </c>
      <c r="J27" s="37"/>
      <c r="K27" s="36">
        <v>28825.142680000001</v>
      </c>
      <c r="L27" s="36"/>
      <c r="M27" s="36"/>
      <c r="N27" s="45"/>
      <c r="O27" s="36">
        <v>25468</v>
      </c>
      <c r="P27" s="37"/>
      <c r="Q27" s="14">
        <v>31536.33261721193</v>
      </c>
    </row>
    <row r="28" spans="3:17" x14ac:dyDescent="0.25">
      <c r="C28">
        <v>17</v>
      </c>
      <c r="E28" s="69" t="s">
        <v>77</v>
      </c>
      <c r="F28" s="37"/>
      <c r="G28" s="37"/>
      <c r="H28" s="45"/>
      <c r="I28" s="36"/>
      <c r="J28" s="37"/>
      <c r="K28" s="78">
        <f>SUM(K26:K27)</f>
        <v>12740600.48997</v>
      </c>
      <c r="L28" s="36"/>
      <c r="M28" s="37"/>
      <c r="N28" s="45"/>
      <c r="O28" s="36"/>
      <c r="P28" s="37"/>
      <c r="Q28" s="79">
        <f>SUM(Q26:Q27)</f>
        <v>17011249.956409574</v>
      </c>
    </row>
    <row r="29" spans="3:17" x14ac:dyDescent="0.25">
      <c r="C29">
        <v>18</v>
      </c>
      <c r="E29" s="15" t="s">
        <v>24</v>
      </c>
      <c r="F29" s="37"/>
      <c r="G29" s="37"/>
      <c r="H29" s="45"/>
      <c r="I29" s="36"/>
      <c r="J29" s="37"/>
      <c r="K29" s="80">
        <f>Q29</f>
        <v>140392.83519623947</v>
      </c>
      <c r="L29" s="36"/>
      <c r="M29" s="37"/>
      <c r="N29" s="45"/>
      <c r="O29" s="36"/>
      <c r="P29" s="37"/>
      <c r="Q29" s="101">
        <v>140392.83519623947</v>
      </c>
    </row>
    <row r="30" spans="3:17" ht="15.75" thickBot="1" x14ac:dyDescent="0.3">
      <c r="C30">
        <v>19</v>
      </c>
      <c r="E30" s="19" t="s">
        <v>78</v>
      </c>
      <c r="F30" s="20"/>
      <c r="G30" s="20"/>
      <c r="H30" s="32"/>
      <c r="I30" s="24"/>
      <c r="J30" s="20"/>
      <c r="K30" s="100">
        <f>SUM(K26:K27)</f>
        <v>12740600.48997</v>
      </c>
      <c r="L30" s="24"/>
      <c r="M30" s="20"/>
      <c r="N30" s="32"/>
      <c r="O30" s="24"/>
      <c r="P30" s="20"/>
      <c r="Q30" s="102">
        <v>17151642.791605812</v>
      </c>
    </row>
    <row r="31" spans="3:17" ht="15.75" thickBot="1" x14ac:dyDescent="0.3">
      <c r="O31" s="91"/>
      <c r="P31" s="91"/>
      <c r="Q31" s="91"/>
    </row>
    <row r="32" spans="3:17" x14ac:dyDescent="0.25">
      <c r="E32" s="1" t="s">
        <v>79</v>
      </c>
      <c r="F32" s="2"/>
      <c r="G32" s="2"/>
      <c r="H32" s="110" t="s">
        <v>1</v>
      </c>
      <c r="I32" s="110"/>
      <c r="J32" s="110"/>
      <c r="K32" s="92"/>
      <c r="L32" s="2"/>
      <c r="M32" s="2"/>
      <c r="N32" s="65"/>
      <c r="O32" s="106" t="s">
        <v>2</v>
      </c>
      <c r="P32" s="106"/>
      <c r="Q32" s="107"/>
    </row>
    <row r="33" spans="3:17" ht="15.75" thickBot="1" x14ac:dyDescent="0.3">
      <c r="E33" s="5" t="s">
        <v>3</v>
      </c>
      <c r="F33" s="6"/>
      <c r="G33" s="6"/>
      <c r="H33" s="7" t="s">
        <v>4</v>
      </c>
      <c r="I33" s="8" t="s">
        <v>4</v>
      </c>
      <c r="J33" s="8" t="s">
        <v>5</v>
      </c>
      <c r="K33" s="9" t="s">
        <v>6</v>
      </c>
      <c r="L33" s="83"/>
      <c r="M33" s="6"/>
      <c r="N33" s="7" t="s">
        <v>4</v>
      </c>
      <c r="O33" s="8" t="s">
        <v>4</v>
      </c>
      <c r="P33" s="8" t="s">
        <v>7</v>
      </c>
      <c r="Q33" s="11" t="s">
        <v>6</v>
      </c>
    </row>
    <row r="34" spans="3:17" x14ac:dyDescent="0.25">
      <c r="C34">
        <v>20</v>
      </c>
      <c r="E34" s="12"/>
      <c r="F34" s="38" t="s">
        <v>9</v>
      </c>
      <c r="G34" s="38" t="s">
        <v>10</v>
      </c>
      <c r="H34" s="45">
        <v>200</v>
      </c>
      <c r="I34" s="36">
        <v>72871</v>
      </c>
      <c r="J34" s="42">
        <v>1.22949</v>
      </c>
      <c r="K34" s="36">
        <f>ROUND(I34*J34,0)</f>
        <v>89594</v>
      </c>
      <c r="L34" s="75"/>
      <c r="M34" s="38" t="s">
        <v>10</v>
      </c>
      <c r="N34" s="45">
        <v>10000</v>
      </c>
      <c r="O34" s="36">
        <v>3554211</v>
      </c>
      <c r="P34" s="42">
        <v>0.70338856776110847</v>
      </c>
      <c r="Q34" s="14">
        <f>ROUND(O34*P34,0)</f>
        <v>2499991</v>
      </c>
    </row>
    <row r="35" spans="3:17" x14ac:dyDescent="0.25">
      <c r="C35">
        <v>21</v>
      </c>
      <c r="E35" s="15"/>
      <c r="F35" s="38" t="s">
        <v>11</v>
      </c>
      <c r="G35" s="38" t="s">
        <v>41</v>
      </c>
      <c r="H35" s="45">
        <v>1800</v>
      </c>
      <c r="I35" s="36">
        <v>649302</v>
      </c>
      <c r="J35" s="42">
        <v>0.80371999999999999</v>
      </c>
      <c r="K35" s="36">
        <f t="shared" ref="K35:K37" si="7">ROUND(I35*J35,0)</f>
        <v>521857</v>
      </c>
      <c r="L35" s="75"/>
      <c r="M35" s="38" t="s">
        <v>41</v>
      </c>
      <c r="N35" s="45">
        <v>112500</v>
      </c>
      <c r="O35" s="36">
        <v>15031756</v>
      </c>
      <c r="P35" s="42">
        <v>0.66786856776110837</v>
      </c>
      <c r="Q35" s="14">
        <f t="shared" ref="Q35:Q37" si="8">ROUND(O35*P35,0)</f>
        <v>10039237</v>
      </c>
    </row>
    <row r="36" spans="3:17" x14ac:dyDescent="0.25">
      <c r="C36">
        <v>22</v>
      </c>
      <c r="E36" s="15"/>
      <c r="F36" s="38" t="s">
        <v>43</v>
      </c>
      <c r="G36" s="38" t="s">
        <v>41</v>
      </c>
      <c r="H36" s="45">
        <v>98000</v>
      </c>
      <c r="I36" s="36">
        <v>16582421</v>
      </c>
      <c r="J36" s="42">
        <v>0.32867000000000002</v>
      </c>
      <c r="K36" s="36">
        <f t="shared" si="7"/>
        <v>5450144</v>
      </c>
      <c r="L36" s="75"/>
      <c r="M36" s="38" t="s">
        <v>41</v>
      </c>
      <c r="N36" s="45">
        <v>477500</v>
      </c>
      <c r="O36" s="36">
        <v>6313489</v>
      </c>
      <c r="P36" s="42">
        <v>0.5098785677611084</v>
      </c>
      <c r="Q36" s="14">
        <f t="shared" si="8"/>
        <v>3219113</v>
      </c>
    </row>
    <row r="37" spans="3:17" x14ac:dyDescent="0.25">
      <c r="C37">
        <v>23</v>
      </c>
      <c r="E37" s="15"/>
      <c r="F37" s="99" t="s">
        <v>52</v>
      </c>
      <c r="G37" s="38" t="s">
        <v>12</v>
      </c>
      <c r="H37" s="45">
        <v>100000</v>
      </c>
      <c r="I37" s="36">
        <v>7594858</v>
      </c>
      <c r="J37" s="42">
        <v>0.12164999999999998</v>
      </c>
      <c r="K37" s="36">
        <f t="shared" si="7"/>
        <v>923914</v>
      </c>
      <c r="L37" s="75"/>
      <c r="M37" s="38" t="s">
        <v>12</v>
      </c>
      <c r="N37" s="45">
        <v>600000</v>
      </c>
      <c r="O37" s="36">
        <v>0</v>
      </c>
      <c r="P37" s="42">
        <v>0.2177485677611084</v>
      </c>
      <c r="Q37" s="14">
        <f t="shared" si="8"/>
        <v>0</v>
      </c>
    </row>
    <row r="38" spans="3:17" x14ac:dyDescent="0.25">
      <c r="E38" s="16" t="s">
        <v>14</v>
      </c>
      <c r="F38" s="37"/>
      <c r="G38" s="38"/>
      <c r="H38" s="41"/>
      <c r="I38" s="17">
        <f>SUM(I34:I37)</f>
        <v>24899452</v>
      </c>
      <c r="J38" s="68"/>
      <c r="K38" s="17">
        <f>SUM(K34:K37)</f>
        <v>6985509</v>
      </c>
      <c r="L38" s="44"/>
      <c r="M38" s="38"/>
      <c r="N38" s="41"/>
      <c r="O38" s="17">
        <f>SUM(O34:O37)</f>
        <v>24899456</v>
      </c>
      <c r="P38" s="68"/>
      <c r="Q38" s="18">
        <f>Q59-Q53-Q56-Q58</f>
        <v>15758341.464360736</v>
      </c>
    </row>
    <row r="39" spans="3:17" x14ac:dyDescent="0.25">
      <c r="E39" s="15"/>
      <c r="F39" s="38"/>
      <c r="G39" s="38"/>
      <c r="H39" s="41"/>
      <c r="I39" s="36"/>
      <c r="J39" s="43"/>
      <c r="K39" s="36"/>
      <c r="L39" s="44"/>
      <c r="M39" s="38"/>
      <c r="N39" s="41"/>
      <c r="O39" s="36"/>
      <c r="P39" s="43"/>
      <c r="Q39" s="14"/>
    </row>
    <row r="40" spans="3:17" ht="15.75" thickBot="1" x14ac:dyDescent="0.3">
      <c r="E40" s="19" t="s">
        <v>15</v>
      </c>
      <c r="F40" s="20"/>
      <c r="G40" s="20"/>
      <c r="H40" s="7"/>
      <c r="I40" s="8" t="s">
        <v>16</v>
      </c>
      <c r="J40" s="8" t="s">
        <v>5</v>
      </c>
      <c r="K40" s="9" t="s">
        <v>6</v>
      </c>
      <c r="L40" s="37"/>
      <c r="M40" s="20"/>
      <c r="N40" s="7"/>
      <c r="O40" s="8" t="s">
        <v>16</v>
      </c>
      <c r="P40" s="8" t="s">
        <v>7</v>
      </c>
      <c r="Q40" s="11" t="s">
        <v>6</v>
      </c>
    </row>
    <row r="41" spans="3:17" x14ac:dyDescent="0.25">
      <c r="C41">
        <v>24</v>
      </c>
      <c r="E41" s="34" t="s">
        <v>54</v>
      </c>
      <c r="F41" s="37"/>
      <c r="G41" s="38" t="s">
        <v>55</v>
      </c>
      <c r="H41" s="45">
        <v>1</v>
      </c>
      <c r="I41" s="36">
        <f>O41</f>
        <v>276</v>
      </c>
      <c r="J41" s="82">
        <v>250</v>
      </c>
      <c r="K41" s="36">
        <f t="shared" ref="K41:K42" si="9">I41*J41*H41</f>
        <v>69000</v>
      </c>
      <c r="L41" s="37"/>
      <c r="M41" s="38" t="s">
        <v>55</v>
      </c>
      <c r="N41" s="45">
        <v>1</v>
      </c>
      <c r="O41" s="36">
        <v>276</v>
      </c>
      <c r="P41" s="82">
        <v>200</v>
      </c>
      <c r="Q41" s="14">
        <f t="shared" ref="Q41:Q42" si="10">N41*O41*P41</f>
        <v>55200</v>
      </c>
    </row>
    <row r="42" spans="3:17" x14ac:dyDescent="0.25">
      <c r="C42">
        <v>25</v>
      </c>
      <c r="E42" s="69"/>
      <c r="F42" s="37"/>
      <c r="G42" s="38" t="s">
        <v>56</v>
      </c>
      <c r="H42" s="45">
        <v>1</v>
      </c>
      <c r="I42" s="36">
        <f>O42</f>
        <v>96</v>
      </c>
      <c r="J42" s="82">
        <v>125</v>
      </c>
      <c r="K42" s="36">
        <f t="shared" si="9"/>
        <v>12000</v>
      </c>
      <c r="L42" s="37"/>
      <c r="M42" s="38" t="s">
        <v>56</v>
      </c>
      <c r="N42" s="45">
        <v>1</v>
      </c>
      <c r="O42" s="36">
        <v>96</v>
      </c>
      <c r="P42" s="82">
        <v>100</v>
      </c>
      <c r="Q42" s="14">
        <f t="shared" si="10"/>
        <v>9600</v>
      </c>
    </row>
    <row r="43" spans="3:17" x14ac:dyDescent="0.25">
      <c r="C43">
        <v>26</v>
      </c>
      <c r="E43" s="69"/>
      <c r="F43" s="37"/>
      <c r="G43" s="38"/>
      <c r="H43" s="45"/>
      <c r="I43" s="17">
        <f>SUM(I41:I42)</f>
        <v>372</v>
      </c>
      <c r="J43" s="68"/>
      <c r="K43" s="17">
        <f>SUM(K41:K42)</f>
        <v>81000</v>
      </c>
      <c r="L43" s="44"/>
      <c r="M43" s="38"/>
      <c r="N43" s="45"/>
      <c r="O43" s="17">
        <f>SUM(O41:O42)</f>
        <v>372</v>
      </c>
      <c r="P43" s="68"/>
      <c r="Q43" s="18">
        <f>SUM(Q41:Q42)</f>
        <v>64800</v>
      </c>
    </row>
    <row r="44" spans="3:17" x14ac:dyDescent="0.25">
      <c r="E44" s="69"/>
      <c r="F44" s="37"/>
      <c r="G44" s="37"/>
      <c r="H44" s="45"/>
      <c r="I44" s="83"/>
      <c r="J44" s="84"/>
      <c r="K44" s="84"/>
      <c r="L44" s="37"/>
      <c r="M44" s="37"/>
      <c r="N44" s="45"/>
      <c r="O44" s="83"/>
      <c r="P44" s="84"/>
      <c r="Q44" s="72"/>
    </row>
    <row r="45" spans="3:17" x14ac:dyDescent="0.25">
      <c r="C45">
        <v>27</v>
      </c>
      <c r="E45" s="34" t="s">
        <v>45</v>
      </c>
      <c r="F45" s="38" t="s">
        <v>17</v>
      </c>
      <c r="G45" s="37"/>
      <c r="H45" s="45">
        <v>1</v>
      </c>
      <c r="I45" s="36">
        <f>O45</f>
        <v>12</v>
      </c>
      <c r="J45" s="82">
        <v>6.75</v>
      </c>
      <c r="K45" s="36">
        <f>I45*J45*H45</f>
        <v>81</v>
      </c>
      <c r="L45" s="37"/>
      <c r="M45" s="37"/>
      <c r="N45" s="45">
        <v>1</v>
      </c>
      <c r="O45" s="36">
        <v>12</v>
      </c>
      <c r="P45" s="82">
        <v>6.75</v>
      </c>
      <c r="Q45" s="14">
        <f t="shared" ref="Q45:Q47" si="11">N45*O45*P45</f>
        <v>81</v>
      </c>
    </row>
    <row r="46" spans="3:17" x14ac:dyDescent="0.25">
      <c r="C46">
        <v>28</v>
      </c>
      <c r="E46" s="34"/>
      <c r="F46" s="38" t="s">
        <v>18</v>
      </c>
      <c r="G46" s="37"/>
      <c r="H46" s="45">
        <v>1</v>
      </c>
      <c r="I46" s="36">
        <f t="shared" ref="I46:I48" si="12">O46</f>
        <v>0</v>
      </c>
      <c r="J46" s="82">
        <v>18.25</v>
      </c>
      <c r="K46" s="36">
        <f t="shared" ref="K46:K48" si="13">I46*J46*H46</f>
        <v>0</v>
      </c>
      <c r="L46" s="37"/>
      <c r="M46" s="37"/>
      <c r="N46" s="45">
        <v>1</v>
      </c>
      <c r="O46" s="36">
        <v>0</v>
      </c>
      <c r="P46" s="82">
        <v>18.25</v>
      </c>
      <c r="Q46" s="14">
        <f t="shared" si="11"/>
        <v>0</v>
      </c>
    </row>
    <row r="47" spans="3:17" x14ac:dyDescent="0.25">
      <c r="C47">
        <v>29</v>
      </c>
      <c r="E47" s="15"/>
      <c r="F47" s="38" t="s">
        <v>19</v>
      </c>
      <c r="G47" s="37"/>
      <c r="H47" s="45">
        <v>1</v>
      </c>
      <c r="I47" s="36">
        <f t="shared" si="12"/>
        <v>72</v>
      </c>
      <c r="J47" s="82">
        <v>63.5</v>
      </c>
      <c r="K47" s="36">
        <f t="shared" si="13"/>
        <v>4572</v>
      </c>
      <c r="L47" s="37"/>
      <c r="M47" s="37"/>
      <c r="N47" s="45">
        <v>1</v>
      </c>
      <c r="O47" s="36">
        <v>72</v>
      </c>
      <c r="P47" s="82">
        <v>63.5</v>
      </c>
      <c r="Q47" s="14">
        <f t="shared" si="11"/>
        <v>4572</v>
      </c>
    </row>
    <row r="48" spans="3:17" x14ac:dyDescent="0.25">
      <c r="C48">
        <v>30</v>
      </c>
      <c r="E48" s="15"/>
      <c r="F48" s="38" t="s">
        <v>20</v>
      </c>
      <c r="G48" s="37"/>
      <c r="H48" s="45">
        <v>1</v>
      </c>
      <c r="I48" s="36">
        <f t="shared" si="12"/>
        <v>492</v>
      </c>
      <c r="J48" s="82">
        <v>420.25</v>
      </c>
      <c r="K48" s="36">
        <f t="shared" si="13"/>
        <v>206763</v>
      </c>
      <c r="L48" s="37"/>
      <c r="M48" s="37"/>
      <c r="N48" s="45">
        <v>1</v>
      </c>
      <c r="O48" s="36">
        <v>492</v>
      </c>
      <c r="P48" s="82">
        <v>420.25</v>
      </c>
      <c r="Q48" s="14">
        <f>N48*O48*P48</f>
        <v>206763</v>
      </c>
    </row>
    <row r="49" spans="3:17" x14ac:dyDescent="0.25">
      <c r="C49">
        <v>31</v>
      </c>
      <c r="E49" s="15"/>
      <c r="F49" s="37"/>
      <c r="G49" s="37"/>
      <c r="H49" s="45"/>
      <c r="I49" s="17">
        <f>SUM(I45:I48)</f>
        <v>576</v>
      </c>
      <c r="J49" s="68"/>
      <c r="K49" s="17">
        <f>SUM(K45:K48)</f>
        <v>211416</v>
      </c>
      <c r="L49" s="44"/>
      <c r="M49" s="37"/>
      <c r="N49" s="45"/>
      <c r="O49" s="17">
        <f>SUM(O45:O48)</f>
        <v>576</v>
      </c>
      <c r="P49" s="77"/>
      <c r="Q49" s="18">
        <f>SUM(Q45:Q48)</f>
        <v>211416</v>
      </c>
    </row>
    <row r="50" spans="3:17" x14ac:dyDescent="0.25">
      <c r="E50" s="15"/>
      <c r="F50" s="37"/>
      <c r="G50" s="37"/>
      <c r="H50" s="45"/>
      <c r="I50" s="36"/>
      <c r="J50" s="43"/>
      <c r="K50" s="36"/>
      <c r="L50" s="44"/>
      <c r="M50" s="37"/>
      <c r="N50" s="45"/>
      <c r="O50" s="36"/>
      <c r="P50" s="43"/>
      <c r="Q50" s="14"/>
    </row>
    <row r="51" spans="3:17" ht="15.75" thickBot="1" x14ac:dyDescent="0.3">
      <c r="E51" s="34" t="s">
        <v>57</v>
      </c>
      <c r="F51" s="37"/>
      <c r="G51" s="37"/>
      <c r="H51" s="45"/>
      <c r="I51" s="8" t="s">
        <v>58</v>
      </c>
      <c r="J51" s="8" t="s">
        <v>59</v>
      </c>
      <c r="K51" s="9" t="s">
        <v>6</v>
      </c>
      <c r="L51" s="44"/>
      <c r="M51" s="37"/>
      <c r="N51" s="45"/>
      <c r="O51" s="8" t="s">
        <v>58</v>
      </c>
      <c r="P51" s="8" t="s">
        <v>59</v>
      </c>
      <c r="Q51" s="11" t="s">
        <v>6</v>
      </c>
    </row>
    <row r="52" spans="3:17" x14ac:dyDescent="0.25">
      <c r="C52">
        <v>32</v>
      </c>
      <c r="E52" s="34" t="s">
        <v>60</v>
      </c>
      <c r="F52" s="37"/>
      <c r="G52" s="37"/>
      <c r="H52" s="45"/>
      <c r="I52" s="36">
        <f>O52</f>
        <v>777684</v>
      </c>
      <c r="J52" s="98">
        <v>4.1648025000000004</v>
      </c>
      <c r="K52" s="36">
        <f>I52*J52</f>
        <v>3238900.2674100003</v>
      </c>
      <c r="L52" s="44"/>
      <c r="M52" s="37"/>
      <c r="N52" s="45"/>
      <c r="O52" s="36">
        <v>777684</v>
      </c>
      <c r="P52" s="98">
        <v>3.2315974081408299</v>
      </c>
      <c r="Q52" s="14">
        <f>O52*P52</f>
        <v>2513161.5987525932</v>
      </c>
    </row>
    <row r="53" spans="3:17" x14ac:dyDescent="0.25">
      <c r="C53">
        <v>33</v>
      </c>
      <c r="E53" s="26" t="s">
        <v>22</v>
      </c>
      <c r="F53" s="38"/>
      <c r="G53" s="37"/>
      <c r="H53" s="45"/>
      <c r="I53" s="17"/>
      <c r="J53" s="68"/>
      <c r="K53" s="17">
        <f>K52+K49+K43</f>
        <v>3531316.2674100003</v>
      </c>
      <c r="L53" s="44"/>
      <c r="M53" s="37"/>
      <c r="N53" s="45"/>
      <c r="O53" s="17"/>
      <c r="P53" s="68"/>
      <c r="Q53" s="18">
        <f>Q49+Q43+Q52</f>
        <v>2789377.5987525932</v>
      </c>
    </row>
    <row r="54" spans="3:17" ht="15.75" thickBot="1" x14ac:dyDescent="0.3">
      <c r="E54" s="15"/>
      <c r="F54" s="37"/>
      <c r="G54" s="37"/>
      <c r="H54" s="45"/>
      <c r="I54" s="47"/>
      <c r="J54" s="47"/>
      <c r="K54" s="27"/>
      <c r="L54" s="37"/>
      <c r="M54" s="37"/>
      <c r="N54" s="45"/>
      <c r="O54" s="47"/>
      <c r="P54" s="47"/>
      <c r="Q54" s="28"/>
    </row>
    <row r="55" spans="3:17" ht="15.75" thickTop="1" x14ac:dyDescent="0.25">
      <c r="C55">
        <v>34</v>
      </c>
      <c r="E55" s="16" t="s">
        <v>80</v>
      </c>
      <c r="F55" s="37"/>
      <c r="G55" s="37"/>
      <c r="H55" s="45"/>
      <c r="I55" s="36"/>
      <c r="J55" s="37"/>
      <c r="K55" s="36">
        <f>K53+K38</f>
        <v>10516825.267410001</v>
      </c>
      <c r="L55" s="36"/>
      <c r="M55" s="37"/>
      <c r="N55" s="45"/>
      <c r="O55" s="36"/>
      <c r="P55" s="37"/>
      <c r="Q55" s="14">
        <f>Q53+Q38</f>
        <v>18547719.063113328</v>
      </c>
    </row>
    <row r="56" spans="3:17" x14ac:dyDescent="0.25">
      <c r="C56">
        <v>35</v>
      </c>
      <c r="E56" s="69" t="s">
        <v>67</v>
      </c>
      <c r="F56" s="37"/>
      <c r="G56" s="36"/>
      <c r="H56" s="45"/>
      <c r="I56" s="36">
        <f>O56</f>
        <v>0</v>
      </c>
      <c r="J56" s="37"/>
      <c r="K56" s="36">
        <v>0</v>
      </c>
      <c r="L56" s="36"/>
      <c r="M56" s="36"/>
      <c r="N56" s="45"/>
      <c r="O56" s="36">
        <v>0</v>
      </c>
      <c r="P56" s="37"/>
      <c r="Q56" s="14">
        <v>0</v>
      </c>
    </row>
    <row r="57" spans="3:17" x14ac:dyDescent="0.25">
      <c r="C57">
        <v>36</v>
      </c>
      <c r="E57" s="69" t="s">
        <v>81</v>
      </c>
      <c r="F57" s="37"/>
      <c r="G57" s="37"/>
      <c r="H57" s="45"/>
      <c r="I57" s="36"/>
      <c r="J57" s="37"/>
      <c r="K57" s="78">
        <f>SUM(K55:K56)</f>
        <v>10516825.267410001</v>
      </c>
      <c r="L57" s="36"/>
      <c r="M57" s="37"/>
      <c r="N57" s="45"/>
      <c r="O57" s="36"/>
      <c r="P57" s="37"/>
      <c r="Q57" s="79">
        <f>SUM(Q55:Q56)</f>
        <v>18547719.063113328</v>
      </c>
    </row>
    <row r="58" spans="3:17" x14ac:dyDescent="0.25">
      <c r="C58">
        <v>37</v>
      </c>
      <c r="E58" s="15" t="s">
        <v>24</v>
      </c>
      <c r="F58" s="37"/>
      <c r="G58" s="37"/>
      <c r="H58" s="45"/>
      <c r="I58" s="36"/>
      <c r="J58" s="37"/>
      <c r="K58" s="80">
        <f>Q59</f>
        <v>18733464.10064679</v>
      </c>
      <c r="L58" s="36"/>
      <c r="M58" s="37"/>
      <c r="N58" s="45"/>
      <c r="O58" s="36"/>
      <c r="P58" s="37"/>
      <c r="Q58" s="101">
        <v>185745.03753345978</v>
      </c>
    </row>
    <row r="59" spans="3:17" ht="15.75" thickBot="1" x14ac:dyDescent="0.3">
      <c r="C59">
        <v>38</v>
      </c>
      <c r="E59" s="19" t="s">
        <v>84</v>
      </c>
      <c r="F59" s="20"/>
      <c r="G59" s="20"/>
      <c r="H59" s="32"/>
      <c r="I59" s="24"/>
      <c r="J59" s="20"/>
      <c r="K59" s="100">
        <f>SUM(K55:K56)</f>
        <v>10516825.267410001</v>
      </c>
      <c r="L59" s="24"/>
      <c r="M59" s="20"/>
      <c r="N59" s="32"/>
      <c r="O59" s="24"/>
      <c r="P59" s="20"/>
      <c r="Q59" s="102">
        <v>18733464.10064679</v>
      </c>
    </row>
  </sheetData>
  <mergeCells count="7">
    <mergeCell ref="E1:F1"/>
    <mergeCell ref="G1:H1"/>
    <mergeCell ref="M1:N1"/>
    <mergeCell ref="O3:Q3"/>
    <mergeCell ref="O32:Q32"/>
    <mergeCell ref="H32:J32"/>
    <mergeCell ref="H3:J3"/>
  </mergeCells>
  <pageMargins left="0.25" right="0.25" top="0.5" bottom="0.25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Ex4.17p1 (GS,NGV)</vt:lpstr>
      <vt:lpstr>Ex4.17p2 (FS,IS)</vt:lpstr>
      <vt:lpstr>Ex4.17p3 (TBF, MT)</vt:lpstr>
      <vt:lpstr>Ex4.17p4 (TS,TSS)</vt:lpstr>
      <vt:lpstr>Ex4.17p5 (TSM,TSL)</vt:lpstr>
      <vt:lpstr>'Ex4.17p1 (GS,NGV)'!Print_Area</vt:lpstr>
      <vt:lpstr>'Ex4.17p2 (FS,IS)'!Print_Area</vt:lpstr>
      <vt:lpstr>'Ex4.17p3 (TBF, MT)'!Print_Area</vt:lpstr>
      <vt:lpstr>'Ex4.17p4 (TS,TSS)'!Print_Area</vt:lpstr>
      <vt:lpstr>'Ex4.17p5 (TSM,TSL)'!Print_Area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aust082</dc:creator>
  <cp:lastModifiedBy>Fred Nass</cp:lastModifiedBy>
  <cp:lastPrinted>2022-04-27T16:06:32Z</cp:lastPrinted>
  <dcterms:created xsi:type="dcterms:W3CDTF">2022-04-20T14:54:46Z</dcterms:created>
  <dcterms:modified xsi:type="dcterms:W3CDTF">2022-05-02T21:56:14Z</dcterms:modified>
</cp:coreProperties>
</file>