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02\"/>
    </mc:Choice>
  </mc:AlternateContent>
  <xr:revisionPtr revIDLastSave="0" documentId="8_{A4D8F1E1-DDE3-4A8D-85F3-386C84E80DDA}" xr6:coauthVersionLast="47" xr6:coauthVersionMax="47" xr10:uidLastSave="{00000000-0000-0000-0000-000000000000}"/>
  <bookViews>
    <workbookView xWindow="630" yWindow="660" windowWidth="25020" windowHeight="19845" xr2:uid="{9805728E-CFB3-43BA-BE94-342D47AA87CB}"/>
  </bookViews>
  <sheets>
    <sheet name="Co Prod" sheetId="1" r:id="rId1"/>
    <sheet name="Purch Gas" sheetId="2" r:id="rId2"/>
    <sheet name="Summary" sheetId="3" r:id="rId3"/>
    <sheet name="Ex 10.1 pg1" sheetId="4" r:id="rId4"/>
    <sheet name="Ex 10.1 pg2" sheetId="5" r:id="rId5"/>
    <sheet name="Sheet1" sheetId="6" state="hidden" r:id="rId6"/>
  </sheets>
  <definedNames>
    <definedName name="_xlnm.Print_Area" localSheetId="0">'Co Prod'!$A$1:$J$36</definedName>
    <definedName name="_xlnm.Print_Area" localSheetId="3">'Ex 10.1 pg1'!$A$1:$AJ$55</definedName>
    <definedName name="_xlnm.Print_Area" localSheetId="4">'Ex 10.1 pg2'!$A$1:$AJ$54</definedName>
    <definedName name="_xlnm.Print_Area" localSheetId="1">'Purch Gas'!$A$1:$F$36</definedName>
    <definedName name="_xlnm.Print_Area" localSheetId="2">Summary!#REF!</definedName>
    <definedName name="_xlnm.Print_Titles" localSheetId="0">'Co Prod'!$1:$5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9" i="3" l="1"/>
  <c r="D240" i="3"/>
  <c r="D241" i="3"/>
  <c r="B50" i="2"/>
  <c r="D50" i="2"/>
  <c r="I50" i="2"/>
  <c r="F193" i="2"/>
  <c r="F194" i="2"/>
  <c r="F195" i="2"/>
  <c r="C50" i="1" l="1"/>
  <c r="E194" i="1"/>
  <c r="E195" i="1"/>
  <c r="E196" i="1"/>
  <c r="D236" i="3"/>
  <c r="F189" i="2"/>
  <c r="F190" i="2"/>
  <c r="F191" i="2"/>
  <c r="F192" i="2"/>
  <c r="D237" i="3"/>
  <c r="D238" i="3"/>
  <c r="D233" i="3" l="1"/>
  <c r="D235" i="3"/>
  <c r="F187" i="2"/>
  <c r="F188" i="2"/>
  <c r="D234" i="3"/>
  <c r="E188" i="1" l="1"/>
  <c r="E189" i="1"/>
  <c r="B49" i="2"/>
  <c r="D49" i="2"/>
  <c r="D230" i="3"/>
  <c r="D232" i="3"/>
  <c r="F184" i="2"/>
  <c r="F185" i="2"/>
  <c r="F186" i="2"/>
  <c r="B95" i="3"/>
  <c r="D231" i="3" l="1"/>
  <c r="F50" i="2"/>
  <c r="C95" i="3" s="1"/>
  <c r="E191" i="1" l="1"/>
  <c r="E192" i="1"/>
  <c r="E193" i="1"/>
  <c r="E197" i="1"/>
  <c r="K50" i="1" l="1"/>
  <c r="E95" i="3" s="1"/>
  <c r="G95" i="3"/>
  <c r="D227" i="3"/>
  <c r="D228" i="3"/>
  <c r="D229" i="3"/>
  <c r="D226" i="3" l="1"/>
  <c r="E182" i="1" l="1"/>
  <c r="E183" i="1"/>
  <c r="E184" i="1"/>
  <c r="E185" i="1"/>
  <c r="E186" i="1"/>
  <c r="E187" i="1"/>
  <c r="E190" i="1"/>
  <c r="F179" i="2"/>
  <c r="F180" i="2"/>
  <c r="F181" i="2"/>
  <c r="F182" i="2"/>
  <c r="F183" i="2"/>
  <c r="F178" i="2" l="1"/>
  <c r="D224" i="3"/>
  <c r="D225" i="3"/>
  <c r="E179" i="1"/>
  <c r="E180" i="1"/>
  <c r="E181" i="1"/>
  <c r="F49" i="2" l="1"/>
  <c r="E178" i="1"/>
  <c r="E176" i="1"/>
  <c r="E177" i="1" l="1"/>
  <c r="D223" i="3" l="1"/>
  <c r="F177" i="2"/>
  <c r="C94" i="3"/>
  <c r="D48" i="2"/>
  <c r="B48" i="2"/>
  <c r="B94" i="3"/>
  <c r="E175" i="1"/>
  <c r="E174" i="1"/>
  <c r="E173" i="1"/>
  <c r="D221" i="3"/>
  <c r="D222" i="3"/>
  <c r="F175" i="2"/>
  <c r="F176" i="2"/>
  <c r="D218" i="3"/>
  <c r="D220" i="3"/>
  <c r="F172" i="2"/>
  <c r="F173" i="2"/>
  <c r="F174" i="2"/>
  <c r="C49" i="1" l="1"/>
  <c r="K49" i="1" s="1"/>
  <c r="I49" i="2"/>
  <c r="G94" i="3" s="1"/>
  <c r="E94" i="3"/>
  <c r="D219" i="3"/>
  <c r="E171" i="1" l="1"/>
  <c r="E172" i="1"/>
  <c r="F48" i="2"/>
  <c r="D215" i="3"/>
  <c r="D216" i="3"/>
  <c r="D217" i="3"/>
  <c r="F169" i="2"/>
  <c r="F170" i="2"/>
  <c r="F171" i="2"/>
  <c r="E170" i="1"/>
  <c r="F166" i="2" l="1"/>
  <c r="F167" i="2"/>
  <c r="F168" i="2"/>
  <c r="E169" i="1"/>
  <c r="E167" i="1"/>
  <c r="E168" i="1"/>
  <c r="D212" i="3"/>
  <c r="D213" i="3"/>
  <c r="D214" i="3"/>
  <c r="F163" i="2" l="1"/>
  <c r="F164" i="2"/>
  <c r="F165" i="2"/>
  <c r="D209" i="3"/>
  <c r="D210" i="3"/>
  <c r="D211" i="3"/>
  <c r="C93" i="3" l="1"/>
  <c r="E164" i="1" l="1"/>
  <c r="E165" i="1"/>
  <c r="E166" i="1"/>
  <c r="D47" i="2"/>
  <c r="D206" i="3"/>
  <c r="D208" i="3"/>
  <c r="F160" i="2"/>
  <c r="F161" i="2"/>
  <c r="F162" i="2"/>
  <c r="B47" i="2"/>
  <c r="B93" i="3"/>
  <c r="I48" i="2" l="1"/>
  <c r="D207" i="3"/>
  <c r="E161" i="1"/>
  <c r="E162" i="1"/>
  <c r="E163" i="1"/>
  <c r="C48" i="1" l="1"/>
  <c r="K48" i="1" s="1"/>
  <c r="E93" i="3" s="1"/>
  <c r="G93" i="3"/>
  <c r="F47" i="2"/>
  <c r="D205" i="3" l="1"/>
  <c r="F159" i="2"/>
  <c r="E159" i="1"/>
  <c r="E160" i="1"/>
  <c r="E155" i="1" l="1"/>
  <c r="E156" i="1"/>
  <c r="E157" i="1"/>
  <c r="E158" i="1"/>
  <c r="D203" i="3"/>
  <c r="D204" i="3"/>
  <c r="F157" i="2"/>
  <c r="F158" i="2"/>
  <c r="F154" i="2"/>
  <c r="F155" i="2"/>
  <c r="F156" i="2"/>
  <c r="D200" i="3"/>
  <c r="D201" i="3"/>
  <c r="D202" i="3"/>
  <c r="E154" i="1"/>
  <c r="E153" i="1"/>
  <c r="E152" i="1"/>
  <c r="D197" i="3"/>
  <c r="D198" i="3"/>
  <c r="D199" i="3"/>
  <c r="F151" i="2"/>
  <c r="F152" i="2"/>
  <c r="F153" i="2"/>
  <c r="B92" i="3" l="1"/>
  <c r="C46" i="1"/>
  <c r="E149" i="1"/>
  <c r="E148" i="1"/>
  <c r="E147" i="1"/>
  <c r="B91" i="3"/>
  <c r="E151" i="1"/>
  <c r="E150" i="1"/>
  <c r="C92" i="3"/>
  <c r="D46" i="2"/>
  <c r="B46" i="2"/>
  <c r="D196" i="3"/>
  <c r="D194" i="3"/>
  <c r="D193" i="3"/>
  <c r="D192" i="3"/>
  <c r="F147" i="2"/>
  <c r="F150" i="2"/>
  <c r="F149" i="2"/>
  <c r="F148" i="2"/>
  <c r="F146" i="2"/>
  <c r="B40" i="1"/>
  <c r="J40" i="1" s="1"/>
  <c r="C40" i="1"/>
  <c r="K40" i="1" s="1"/>
  <c r="C42" i="1"/>
  <c r="K42" i="1" s="1"/>
  <c r="C43" i="1"/>
  <c r="K43" i="1" s="1"/>
  <c r="C44" i="1"/>
  <c r="K44" i="1" s="1"/>
  <c r="E89" i="3" s="1"/>
  <c r="C45" i="1"/>
  <c r="K45" i="1" s="1"/>
  <c r="E90" i="3" s="1"/>
  <c r="F46" i="2" l="1"/>
  <c r="C91" i="3" s="1"/>
  <c r="C47" i="1"/>
  <c r="K46" i="1"/>
  <c r="E91" i="3" s="1"/>
  <c r="I47" i="2"/>
  <c r="G92" i="3" s="1"/>
  <c r="D195" i="3"/>
  <c r="D191" i="3"/>
  <c r="F145" i="2"/>
  <c r="E146" i="1"/>
  <c r="D189" i="3"/>
  <c r="D190" i="3"/>
  <c r="E145" i="1"/>
  <c r="E144" i="1"/>
  <c r="K47" i="1" l="1"/>
  <c r="E92" i="3" s="1"/>
  <c r="F144" i="2"/>
  <c r="F142" i="2" l="1"/>
  <c r="D188" i="3"/>
  <c r="F139" i="2" l="1"/>
  <c r="F140" i="2"/>
  <c r="F141" i="2"/>
  <c r="D185" i="3"/>
  <c r="D186" i="3"/>
  <c r="D187" i="3"/>
  <c r="E140" i="1" l="1"/>
  <c r="E141" i="1"/>
  <c r="E142" i="1"/>
  <c r="E138" i="1" l="1"/>
  <c r="E139" i="1"/>
  <c r="D45" i="2"/>
  <c r="B45" i="2"/>
  <c r="F45" i="2" l="1"/>
  <c r="D184" i="3"/>
  <c r="F137" i="2"/>
  <c r="F138" i="2"/>
  <c r="I46" i="2" l="1"/>
  <c r="G91" i="3" s="1"/>
  <c r="D183" i="3"/>
  <c r="D44" i="2"/>
  <c r="B44" i="2"/>
  <c r="D182" i="3"/>
  <c r="F136" i="2"/>
  <c r="E137" i="1"/>
  <c r="D179" i="3" l="1"/>
  <c r="D180" i="3"/>
  <c r="D181" i="3"/>
  <c r="F133" i="2"/>
  <c r="F134" i="2"/>
  <c r="F135" i="2"/>
  <c r="E136" i="1"/>
  <c r="E135" i="1"/>
  <c r="E134" i="1"/>
  <c r="E133" i="1" l="1"/>
  <c r="E132" i="1"/>
  <c r="E131" i="1"/>
  <c r="D176" i="3"/>
  <c r="D177" i="3"/>
  <c r="D178" i="3"/>
  <c r="F130" i="2"/>
  <c r="F131" i="2"/>
  <c r="D173" i="3" l="1"/>
  <c r="D174" i="3"/>
  <c r="D175" i="3"/>
  <c r="F127" i="2"/>
  <c r="F128" i="2"/>
  <c r="F129" i="2"/>
  <c r="E130" i="1"/>
  <c r="E129" i="1"/>
  <c r="E128" i="1"/>
  <c r="C90" i="3" l="1"/>
  <c r="B90" i="3"/>
  <c r="E127" i="1" l="1"/>
  <c r="E126" i="1"/>
  <c r="D172" i="3"/>
  <c r="F125" i="2"/>
  <c r="F126" i="2"/>
  <c r="I45" i="2" l="1"/>
  <c r="G90" i="3" s="1"/>
  <c r="D171" i="3"/>
  <c r="F124" i="2"/>
  <c r="E125" i="1"/>
  <c r="D170" i="3"/>
  <c r="F44" i="2" l="1"/>
  <c r="F123" i="2" l="1"/>
  <c r="F117" i="2"/>
  <c r="F118" i="2"/>
  <c r="F121" i="2"/>
  <c r="F122" i="2"/>
  <c r="E123" i="1" l="1"/>
  <c r="E124" i="1"/>
  <c r="D167" i="3"/>
  <c r="D168" i="3"/>
  <c r="D169" i="3"/>
  <c r="E122" i="1"/>
  <c r="C43" i="3" l="1"/>
  <c r="C42" i="3"/>
  <c r="C41" i="3"/>
  <c r="E121" i="1" l="1"/>
  <c r="E120" i="1"/>
  <c r="E119" i="1"/>
  <c r="D164" i="3"/>
  <c r="D165" i="3"/>
  <c r="D166" i="3"/>
  <c r="E118" i="1" l="1"/>
  <c r="E117" i="1"/>
  <c r="E116" i="1"/>
  <c r="D163" i="3"/>
  <c r="B89" i="3" l="1"/>
  <c r="E115" i="1" l="1"/>
  <c r="E114" i="1"/>
  <c r="C89" i="3"/>
  <c r="D43" i="2"/>
  <c r="B43" i="2"/>
  <c r="D161" i="3" l="1"/>
  <c r="D162" i="3"/>
  <c r="F115" i="2"/>
  <c r="F116" i="2"/>
  <c r="D160" i="3" l="1"/>
  <c r="F114" i="2"/>
  <c r="F113" i="2"/>
  <c r="I44" i="2" l="1"/>
  <c r="G89" i="3" s="1"/>
  <c r="D159" i="3"/>
  <c r="F43" i="2"/>
  <c r="E113" i="1"/>
  <c r="E110" i="1" l="1"/>
  <c r="E111" i="1"/>
  <c r="E112" i="1"/>
  <c r="D155" i="3" l="1"/>
  <c r="D156" i="3"/>
  <c r="D157" i="3"/>
  <c r="D158" i="3"/>
  <c r="F109" i="2"/>
  <c r="F110" i="2"/>
  <c r="F111" i="2"/>
  <c r="F112" i="2"/>
  <c r="E109" i="1" l="1"/>
  <c r="E108" i="1"/>
  <c r="D153" i="3" l="1"/>
  <c r="D154" i="3"/>
  <c r="F107" i="2"/>
  <c r="D152" i="3" l="1"/>
  <c r="E107" i="1"/>
  <c r="C88" i="3" l="1"/>
  <c r="D149" i="3" l="1"/>
  <c r="D150" i="3"/>
  <c r="D151" i="3"/>
  <c r="F103" i="2"/>
  <c r="F104" i="2"/>
  <c r="E104" i="1" l="1"/>
  <c r="E105" i="1"/>
  <c r="E106" i="1"/>
  <c r="E103" i="1" l="1"/>
  <c r="E102" i="1"/>
  <c r="B88" i="3"/>
  <c r="D42" i="2"/>
  <c r="B42" i="2"/>
  <c r="D148" i="3"/>
  <c r="F101" i="2"/>
  <c r="F102" i="2"/>
  <c r="F42" i="2" l="1"/>
  <c r="I43" i="2"/>
  <c r="G88" i="3" s="1"/>
  <c r="D147" i="3"/>
  <c r="E88" i="3" l="1"/>
  <c r="D146" i="3"/>
  <c r="F100" i="2"/>
  <c r="E101" i="1"/>
  <c r="E100" i="1" l="1"/>
  <c r="D145" i="3"/>
  <c r="F99" i="2"/>
  <c r="E99" i="1"/>
  <c r="D144" i="3"/>
  <c r="F98" i="2"/>
  <c r="F97" i="2" l="1"/>
  <c r="E98" i="1"/>
  <c r="D143" i="3"/>
  <c r="D98" i="1"/>
  <c r="E87" i="3" l="1"/>
  <c r="D97" i="1"/>
  <c r="E97" i="1"/>
  <c r="D95" i="1" l="1"/>
  <c r="D96" i="1"/>
  <c r="E96" i="1"/>
  <c r="E95" i="1"/>
  <c r="D140" i="3" l="1"/>
  <c r="D141" i="3"/>
  <c r="D142" i="3"/>
  <c r="F94" i="2"/>
  <c r="D92" i="1" l="1"/>
  <c r="D93" i="1"/>
  <c r="D94" i="1"/>
  <c r="E94" i="1" l="1"/>
  <c r="E93" i="1"/>
  <c r="E92" i="1"/>
  <c r="F93" i="2"/>
  <c r="D137" i="3"/>
  <c r="D138" i="3"/>
  <c r="D139" i="3"/>
  <c r="F91" i="2"/>
  <c r="F92" i="2"/>
  <c r="B87" i="3" l="1"/>
  <c r="C87" i="3"/>
  <c r="F90" i="2"/>
  <c r="F89" i="2"/>
  <c r="D41" i="2"/>
  <c r="B41" i="2"/>
  <c r="F41" i="2" l="1"/>
  <c r="D90" i="1"/>
  <c r="D91" i="1"/>
  <c r="E91" i="1" l="1"/>
  <c r="I42" i="2" l="1"/>
  <c r="G87" i="3" s="1"/>
  <c r="D136" i="3" l="1"/>
  <c r="D135" i="3"/>
  <c r="E90" i="1" l="1"/>
  <c r="E89" i="1"/>
  <c r="D89" i="1"/>
  <c r="D134" i="3"/>
  <c r="F88" i="2"/>
  <c r="F87" i="2"/>
  <c r="D133" i="3"/>
  <c r="E88" i="1"/>
  <c r="D88" i="1"/>
  <c r="E87" i="1"/>
  <c r="D87" i="1"/>
  <c r="D132" i="3"/>
  <c r="F84" i="2"/>
  <c r="F85" i="2"/>
  <c r="F86" i="2"/>
  <c r="E86" i="1"/>
  <c r="D86" i="1"/>
  <c r="F83" i="2"/>
  <c r="E85" i="1"/>
  <c r="D85" i="1"/>
  <c r="D131" i="3"/>
  <c r="E84" i="1"/>
  <c r="D84" i="1"/>
  <c r="C81" i="1"/>
  <c r="C80" i="1"/>
  <c r="C79" i="1"/>
  <c r="E83" i="1"/>
  <c r="D83" i="1"/>
  <c r="F80" i="2"/>
  <c r="F81" i="2"/>
  <c r="F82" i="2"/>
  <c r="D128" i="3"/>
  <c r="D129" i="3"/>
  <c r="D130" i="3"/>
  <c r="D127" i="3"/>
  <c r="D126" i="3"/>
  <c r="E82" i="1"/>
  <c r="D82" i="1"/>
  <c r="E81" i="1"/>
  <c r="D81" i="1"/>
  <c r="E80" i="1"/>
  <c r="D80" i="1"/>
  <c r="E77" i="1"/>
  <c r="D124" i="3"/>
  <c r="F79" i="2"/>
  <c r="D77" i="1"/>
  <c r="D40" i="2"/>
  <c r="B40" i="2"/>
  <c r="F76" i="2"/>
  <c r="C122" i="3" s="1"/>
  <c r="F77" i="2"/>
  <c r="F78" i="2"/>
  <c r="K36" i="1"/>
  <c r="E81" i="3" s="1"/>
  <c r="E75" i="1"/>
  <c r="E74" i="1"/>
  <c r="E73" i="1"/>
  <c r="E72" i="1"/>
  <c r="E71" i="1"/>
  <c r="E70" i="1"/>
  <c r="E69" i="1"/>
  <c r="E68" i="1"/>
  <c r="E67" i="1"/>
  <c r="E66" i="1"/>
  <c r="D76" i="1"/>
  <c r="D75" i="1"/>
  <c r="D74" i="1"/>
  <c r="D73" i="1"/>
  <c r="D72" i="1"/>
  <c r="D71" i="1"/>
  <c r="D70" i="1"/>
  <c r="D69" i="1"/>
  <c r="D68" i="1"/>
  <c r="D67" i="1"/>
  <c r="D66" i="1"/>
  <c r="F75" i="2"/>
  <c r="C121" i="3" s="1"/>
  <c r="E76" i="1"/>
  <c r="F74" i="2"/>
  <c r="C120" i="3" s="1"/>
  <c r="F73" i="2"/>
  <c r="C119" i="3" s="1"/>
  <c r="F72" i="2"/>
  <c r="C118" i="3" s="1"/>
  <c r="F70" i="2"/>
  <c r="C116" i="3" s="1"/>
  <c r="F71" i="2"/>
  <c r="C117" i="3" s="1"/>
  <c r="F39" i="2"/>
  <c r="C84" i="3" s="1"/>
  <c r="E55" i="1"/>
  <c r="E58" i="1"/>
  <c r="E57" i="1"/>
  <c r="E56" i="1"/>
  <c r="E54" i="1"/>
  <c r="D54" i="1"/>
  <c r="C7" i="1"/>
  <c r="K7" i="1" s="1"/>
  <c r="E52" i="3" s="1"/>
  <c r="C8" i="1"/>
  <c r="C9" i="1"/>
  <c r="C10" i="1"/>
  <c r="C11" i="1"/>
  <c r="C12" i="1"/>
  <c r="K12" i="1" s="1"/>
  <c r="E57" i="3" s="1"/>
  <c r="C13" i="1"/>
  <c r="K13" i="1" s="1"/>
  <c r="E58" i="3" s="1"/>
  <c r="C14" i="1"/>
  <c r="K14" i="1" s="1"/>
  <c r="E59" i="3" s="1"/>
  <c r="C15" i="1"/>
  <c r="K15" i="1" s="1"/>
  <c r="E60" i="3" s="1"/>
  <c r="C16" i="1"/>
  <c r="K16" i="1" s="1"/>
  <c r="E61" i="3" s="1"/>
  <c r="C17" i="1"/>
  <c r="K17" i="1" s="1"/>
  <c r="E62" i="3" s="1"/>
  <c r="C18" i="1"/>
  <c r="K18" i="1" s="1"/>
  <c r="E63" i="3" s="1"/>
  <c r="C19" i="1"/>
  <c r="K19" i="1" s="1"/>
  <c r="E64" i="3" s="1"/>
  <c r="C20" i="1"/>
  <c r="K20" i="1" s="1"/>
  <c r="E65" i="3" s="1"/>
  <c r="C21" i="1"/>
  <c r="K21" i="1" s="1"/>
  <c r="E66" i="3" s="1"/>
  <c r="C22" i="1"/>
  <c r="K22" i="1" s="1"/>
  <c r="E67" i="3" s="1"/>
  <c r="C23" i="1"/>
  <c r="K23" i="1" s="1"/>
  <c r="E68" i="3" s="1"/>
  <c r="C24" i="1"/>
  <c r="K24" i="1" s="1"/>
  <c r="E69" i="3" s="1"/>
  <c r="C25" i="1"/>
  <c r="K25" i="1" s="1"/>
  <c r="E70" i="3" s="1"/>
  <c r="C26" i="1"/>
  <c r="K26" i="1" s="1"/>
  <c r="E71" i="3" s="1"/>
  <c r="C27" i="1"/>
  <c r="K27" i="1" s="1"/>
  <c r="E72" i="3" s="1"/>
  <c r="C28" i="1"/>
  <c r="K28" i="1" s="1"/>
  <c r="E73" i="3" s="1"/>
  <c r="C29" i="1"/>
  <c r="K29" i="1" s="1"/>
  <c r="E74" i="3" s="1"/>
  <c r="C30" i="1"/>
  <c r="K30" i="1" s="1"/>
  <c r="E75" i="3" s="1"/>
  <c r="C31" i="1"/>
  <c r="K31" i="1" s="1"/>
  <c r="E76" i="3" s="1"/>
  <c r="C32" i="1"/>
  <c r="K32" i="1" s="1"/>
  <c r="E77" i="3" s="1"/>
  <c r="C33" i="1"/>
  <c r="K33" i="1" s="1"/>
  <c r="E78" i="3" s="1"/>
  <c r="C34" i="1"/>
  <c r="K34" i="1" s="1"/>
  <c r="E79" i="3" s="1"/>
  <c r="C35" i="1"/>
  <c r="K35" i="1" s="1"/>
  <c r="E80" i="3" s="1"/>
  <c r="C6" i="1"/>
  <c r="K6" i="1" s="1"/>
  <c r="E51" i="3" s="1"/>
  <c r="F53" i="2"/>
  <c r="C99" i="3" s="1"/>
  <c r="E65" i="1"/>
  <c r="E64" i="1"/>
  <c r="E63" i="1"/>
  <c r="E62" i="1"/>
  <c r="E61" i="1"/>
  <c r="E60" i="1"/>
  <c r="E59" i="1"/>
  <c r="D55" i="1"/>
  <c r="D56" i="1"/>
  <c r="D57" i="1"/>
  <c r="D58" i="1"/>
  <c r="D59" i="1"/>
  <c r="D60" i="1"/>
  <c r="D61" i="1"/>
  <c r="D62" i="1"/>
  <c r="D63" i="1"/>
  <c r="D64" i="1"/>
  <c r="D65" i="1"/>
  <c r="F39" i="1"/>
  <c r="E39" i="1" s="1"/>
  <c r="J39" i="1" s="1"/>
  <c r="B84" i="3" s="1"/>
  <c r="F60" i="2"/>
  <c r="C106" i="3" s="1"/>
  <c r="F61" i="2"/>
  <c r="C107" i="3" s="1"/>
  <c r="F62" i="2"/>
  <c r="C108" i="3" s="1"/>
  <c r="F63" i="2"/>
  <c r="C109" i="3" s="1"/>
  <c r="F64" i="2"/>
  <c r="C110" i="3" s="1"/>
  <c r="F65" i="2"/>
  <c r="C111" i="3" s="1"/>
  <c r="F66" i="2"/>
  <c r="C112" i="3" s="1"/>
  <c r="F67" i="2"/>
  <c r="C113" i="3" s="1"/>
  <c r="F68" i="2"/>
  <c r="C114" i="3" s="1"/>
  <c r="F69" i="2"/>
  <c r="C115" i="3" s="1"/>
  <c r="F58" i="2"/>
  <c r="C104" i="3" s="1"/>
  <c r="F59" i="2"/>
  <c r="C105" i="3" s="1"/>
  <c r="F57" i="2"/>
  <c r="C103" i="3" s="1"/>
  <c r="F56" i="2"/>
  <c r="C102" i="3" s="1"/>
  <c r="F55" i="2"/>
  <c r="C101" i="3" s="1"/>
  <c r="F54" i="2"/>
  <c r="C100" i="3" s="1"/>
  <c r="B6" i="3"/>
  <c r="C6" i="3" s="1"/>
  <c r="B7" i="3"/>
  <c r="C7" i="3" s="1"/>
  <c r="B8" i="3"/>
  <c r="C8" i="3" s="1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C40" i="3"/>
  <c r="C39" i="3"/>
  <c r="C38" i="3"/>
  <c r="C37" i="3"/>
  <c r="C36" i="3"/>
  <c r="F9" i="2"/>
  <c r="C54" i="3" s="1"/>
  <c r="F10" i="2"/>
  <c r="C55" i="3" s="1"/>
  <c r="F11" i="2"/>
  <c r="C56" i="3" s="1"/>
  <c r="F12" i="2"/>
  <c r="C57" i="3" s="1"/>
  <c r="F13" i="2"/>
  <c r="C58" i="3" s="1"/>
  <c r="F14" i="2"/>
  <c r="C59" i="3" s="1"/>
  <c r="F15" i="2"/>
  <c r="C60" i="3" s="1"/>
  <c r="F16" i="2"/>
  <c r="C61" i="3" s="1"/>
  <c r="F17" i="2"/>
  <c r="C62" i="3" s="1"/>
  <c r="F18" i="2"/>
  <c r="C63" i="3" s="1"/>
  <c r="F19" i="2"/>
  <c r="C64" i="3" s="1"/>
  <c r="F20" i="2"/>
  <c r="C65" i="3" s="1"/>
  <c r="F21" i="2"/>
  <c r="C66" i="3" s="1"/>
  <c r="F22" i="2"/>
  <c r="C67" i="3" s="1"/>
  <c r="F23" i="2"/>
  <c r="C68" i="3" s="1"/>
  <c r="F24" i="2"/>
  <c r="C69" i="3" s="1"/>
  <c r="F25" i="2"/>
  <c r="C70" i="3" s="1"/>
  <c r="F26" i="2"/>
  <c r="C71" i="3" s="1"/>
  <c r="F27" i="2"/>
  <c r="C72" i="3" s="1"/>
  <c r="F28" i="2"/>
  <c r="C73" i="3" s="1"/>
  <c r="F29" i="2"/>
  <c r="C74" i="3" s="1"/>
  <c r="F30" i="2"/>
  <c r="C75" i="3" s="1"/>
  <c r="F31" i="2"/>
  <c r="C76" i="3" s="1"/>
  <c r="F32" i="2"/>
  <c r="C77" i="3" s="1"/>
  <c r="F33" i="2"/>
  <c r="C78" i="3" s="1"/>
  <c r="F34" i="2"/>
  <c r="C79" i="3" s="1"/>
  <c r="F35" i="2"/>
  <c r="C80" i="3" s="1"/>
  <c r="F36" i="2"/>
  <c r="C81" i="3" s="1"/>
  <c r="F37" i="2"/>
  <c r="C82" i="3" s="1"/>
  <c r="F38" i="2"/>
  <c r="C83" i="3" s="1"/>
  <c r="F38" i="1"/>
  <c r="K38" i="1" s="1"/>
  <c r="E83" i="3" s="1"/>
  <c r="F37" i="1"/>
  <c r="J37" i="1" s="1"/>
  <c r="B82" i="3" s="1"/>
  <c r="J36" i="1"/>
  <c r="B81" i="3" s="1"/>
  <c r="J35" i="1"/>
  <c r="B80" i="3" s="1"/>
  <c r="J34" i="1"/>
  <c r="B79" i="3" s="1"/>
  <c r="J33" i="1"/>
  <c r="B78" i="3" s="1"/>
  <c r="J32" i="1"/>
  <c r="B77" i="3" s="1"/>
  <c r="J31" i="1"/>
  <c r="B76" i="3" s="1"/>
  <c r="J30" i="1"/>
  <c r="B75" i="3" s="1"/>
  <c r="J29" i="1"/>
  <c r="B74" i="3" s="1"/>
  <c r="J28" i="1"/>
  <c r="B73" i="3" s="1"/>
  <c r="J27" i="1"/>
  <c r="B72" i="3" s="1"/>
  <c r="J26" i="1"/>
  <c r="B71" i="3" s="1"/>
  <c r="J25" i="1"/>
  <c r="B70" i="3" s="1"/>
  <c r="J24" i="1"/>
  <c r="B69" i="3" s="1"/>
  <c r="J23" i="1"/>
  <c r="B68" i="3" s="1"/>
  <c r="J22" i="1"/>
  <c r="B67" i="3" s="1"/>
  <c r="J21" i="1"/>
  <c r="B66" i="3" s="1"/>
  <c r="J20" i="1"/>
  <c r="B65" i="3" s="1"/>
  <c r="J19" i="1"/>
  <c r="B64" i="3" s="1"/>
  <c r="J18" i="1"/>
  <c r="B63" i="3" s="1"/>
  <c r="J17" i="1"/>
  <c r="B62" i="3" s="1"/>
  <c r="J16" i="1"/>
  <c r="B61" i="3" s="1"/>
  <c r="J15" i="1"/>
  <c r="B60" i="3" s="1"/>
  <c r="J14" i="1"/>
  <c r="B59" i="3" s="1"/>
  <c r="J13" i="1"/>
  <c r="B58" i="3" s="1"/>
  <c r="J12" i="1"/>
  <c r="B57" i="3" s="1"/>
  <c r="F11" i="1"/>
  <c r="F10" i="1"/>
  <c r="J10" i="1" s="1"/>
  <c r="B55" i="3" s="1"/>
  <c r="F9" i="1"/>
  <c r="J9" i="1" s="1"/>
  <c r="B54" i="3" s="1"/>
  <c r="F8" i="1"/>
  <c r="J8" i="1" s="1"/>
  <c r="B53" i="3" s="1"/>
  <c r="E79" i="1"/>
  <c r="D79" i="1"/>
  <c r="D78" i="1"/>
  <c r="C41" i="1" l="1"/>
  <c r="K41" i="1" s="1"/>
  <c r="E86" i="3" s="1"/>
  <c r="D123" i="3"/>
  <c r="I41" i="2"/>
  <c r="G86" i="3" s="1"/>
  <c r="E78" i="1"/>
  <c r="J38" i="1"/>
  <c r="B83" i="3" s="1"/>
  <c r="K11" i="1"/>
  <c r="E56" i="3" s="1"/>
  <c r="K37" i="1"/>
  <c r="E82" i="3" s="1"/>
  <c r="K8" i="1"/>
  <c r="E53" i="3" s="1"/>
  <c r="C86" i="3"/>
  <c r="F40" i="2"/>
  <c r="C85" i="3" s="1"/>
  <c r="K9" i="1"/>
  <c r="E54" i="3" s="1"/>
  <c r="K10" i="1"/>
  <c r="E55" i="3" s="1"/>
  <c r="K39" i="1"/>
  <c r="E84" i="3" s="1"/>
  <c r="J11" i="1"/>
  <c r="B56" i="3" s="1"/>
  <c r="D125" i="3"/>
  <c r="E85" i="3" l="1"/>
  <c r="B86" i="3"/>
  <c r="B85" i="3"/>
  <c r="E143" i="1" l="1"/>
</calcChain>
</file>

<file path=xl/sharedStrings.xml><?xml version="1.0" encoding="utf-8"?>
<sst xmlns="http://schemas.openxmlformats.org/spreadsheetml/2006/main" count="271" uniqueCount="219">
  <si>
    <t>Questar Gas Company Production Costs</t>
  </si>
  <si>
    <t>Distr. Non-Gas</t>
  </si>
  <si>
    <t>Pass-Thru</t>
  </si>
  <si>
    <t>Property Tax</t>
  </si>
  <si>
    <t>Gathering</t>
  </si>
  <si>
    <t>Brady's</t>
  </si>
  <si>
    <t>Chuck H.'s</t>
  </si>
  <si>
    <t>Financial</t>
  </si>
  <si>
    <t>Ut &amp; Wy</t>
  </si>
  <si>
    <t>Return &amp;</t>
  </si>
  <si>
    <t>exchange</t>
  </si>
  <si>
    <t>Other Gas</t>
  </si>
  <si>
    <t>History - Dth</t>
  </si>
  <si>
    <t>$ - Costs</t>
  </si>
  <si>
    <t>Depreciation</t>
  </si>
  <si>
    <t>gas</t>
  </si>
  <si>
    <t>Supply Expense</t>
  </si>
  <si>
    <t>$ / Dth</t>
  </si>
  <si>
    <t>Costs</t>
  </si>
  <si>
    <t>SYSTEM</t>
  </si>
  <si>
    <t>Questar Gas Purchased Gas Costs</t>
  </si>
  <si>
    <t>Dth</t>
  </si>
  <si>
    <t xml:space="preserve">        Questar Gas Company</t>
  </si>
  <si>
    <t>Co. Produced Gas</t>
  </si>
  <si>
    <t>Purchased Gas</t>
  </si>
  <si>
    <t>Fin. Rpt.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</si>
  <si>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</si>
  <si>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</si>
  <si>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</si>
  <si>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</si>
  <si>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</si>
  <si>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</si>
  <si>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</si>
  <si>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</si>
  <si>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</si>
  <si>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</si>
  <si>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</si>
  <si>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</si>
  <si>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</si>
  <si>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</t>
  </si>
  <si>
    <t>13</t>
  </si>
  <si>
    <t>14</t>
  </si>
  <si>
    <t>IRP</t>
  </si>
  <si>
    <t>15</t>
  </si>
  <si>
    <t>16</t>
  </si>
  <si>
    <t>Difference</t>
  </si>
  <si>
    <t>Purch Dth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</si>
  <si>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</si>
  <si>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</si>
  <si>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</si>
  <si>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</si>
  <si>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</si>
  <si>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</si>
  <si>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</si>
  <si>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</si>
  <si>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</si>
  <si>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</si>
  <si>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</si>
  <si>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</si>
  <si>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Wex Month DTH</t>
  </si>
  <si>
    <t>Wellhead</t>
  </si>
  <si>
    <t>Into Pipe</t>
  </si>
  <si>
    <t>TTM Wellhead</t>
  </si>
  <si>
    <t>Purchase</t>
  </si>
  <si>
    <t>Into-Pipe</t>
  </si>
  <si>
    <t>Cost-of Service Gas Wexpro I - Wellhead</t>
  </si>
  <si>
    <t>Cost-of-Service Gas Wexpro II - Wellhead</t>
  </si>
  <si>
    <t>Cost-of-Service Gas - Wellhead</t>
  </si>
  <si>
    <t>Prior 2015</t>
  </si>
  <si>
    <t xml:space="preserve">QPC </t>
  </si>
  <si>
    <t>QPC Into Pipe</t>
  </si>
  <si>
    <t xml:space="preserve">FEB </t>
  </si>
  <si>
    <t>Northwest Pipeline (NPC)</t>
  </si>
  <si>
    <t>Actual FOM</t>
  </si>
  <si>
    <t>Northwest Pipeline First-of-Month</t>
  </si>
  <si>
    <t>Average Market Price*</t>
  </si>
  <si>
    <t>Cost-of-Service Gas - Into-Pipe**</t>
  </si>
  <si>
    <t>MAR15</t>
  </si>
  <si>
    <t>MAY15</t>
  </si>
  <si>
    <t>JUN15</t>
  </si>
  <si>
    <t>JUL15</t>
  </si>
  <si>
    <t>AUG15</t>
  </si>
  <si>
    <t>SEP15</t>
  </si>
  <si>
    <t>OCT15</t>
  </si>
  <si>
    <t>NOV15</t>
  </si>
  <si>
    <t>DEC15</t>
  </si>
  <si>
    <t>JAN16</t>
  </si>
  <si>
    <t>FEB16</t>
  </si>
  <si>
    <t>*1981-2015: purchased gas average price;  2016 YTD: Northwest Pipeline first-of-month average price</t>
  </si>
  <si>
    <t>APR15</t>
  </si>
  <si>
    <t>MAR16</t>
  </si>
  <si>
    <t>APR16</t>
  </si>
  <si>
    <t>MAY16</t>
  </si>
  <si>
    <t>JUN16</t>
  </si>
  <si>
    <t>JUL16</t>
  </si>
  <si>
    <t>AUG16</t>
  </si>
  <si>
    <t>SEP16</t>
  </si>
  <si>
    <t>OCT16</t>
  </si>
  <si>
    <t>NOV16</t>
  </si>
  <si>
    <t>DEC16</t>
  </si>
  <si>
    <t>JAN17</t>
  </si>
  <si>
    <t>FEB17</t>
  </si>
  <si>
    <t>MAR17</t>
  </si>
  <si>
    <t>APR17</t>
  </si>
  <si>
    <t>MAY17</t>
  </si>
  <si>
    <t>JUN17</t>
  </si>
  <si>
    <t>JUL17</t>
  </si>
  <si>
    <t>AUG17</t>
  </si>
  <si>
    <t>SEP17</t>
  </si>
  <si>
    <t>OCT17</t>
  </si>
  <si>
    <t>NOV17</t>
  </si>
  <si>
    <t>DEC17</t>
  </si>
  <si>
    <t>17</t>
  </si>
  <si>
    <t>JAN18</t>
  </si>
  <si>
    <t>FEB18</t>
  </si>
  <si>
    <t>MAR18</t>
  </si>
  <si>
    <t>APR18</t>
  </si>
  <si>
    <t>MAY18</t>
  </si>
  <si>
    <t>JUN18</t>
  </si>
  <si>
    <t>JUL18</t>
  </si>
  <si>
    <t>AUG18</t>
  </si>
  <si>
    <t>SEP18</t>
  </si>
  <si>
    <t>OCT18</t>
  </si>
  <si>
    <t>NOV18</t>
  </si>
  <si>
    <t>DEC18</t>
  </si>
  <si>
    <t>JAN19</t>
  </si>
  <si>
    <t>FEB19</t>
  </si>
  <si>
    <t>18</t>
  </si>
  <si>
    <t>MAR19</t>
  </si>
  <si>
    <t>APR19</t>
  </si>
  <si>
    <t>MAY19</t>
  </si>
  <si>
    <t>JUN19</t>
  </si>
  <si>
    <t>JUL19</t>
  </si>
  <si>
    <t>AUG19</t>
  </si>
  <si>
    <t>SEP19</t>
  </si>
  <si>
    <t>OCT19</t>
  </si>
  <si>
    <t>NOV19</t>
  </si>
  <si>
    <t>DEC19</t>
  </si>
  <si>
    <t>JAN20</t>
  </si>
  <si>
    <t>FEB20</t>
  </si>
  <si>
    <t>19</t>
  </si>
  <si>
    <t>MAR20</t>
  </si>
  <si>
    <t>APR20</t>
  </si>
  <si>
    <t>MAY20</t>
  </si>
  <si>
    <t>JUN20</t>
  </si>
  <si>
    <t>JUL20</t>
  </si>
  <si>
    <t>AUG20</t>
  </si>
  <si>
    <t>SEP20</t>
  </si>
  <si>
    <t>OCT20</t>
  </si>
  <si>
    <t>NOV20</t>
  </si>
  <si>
    <t>DEC20</t>
  </si>
  <si>
    <t>FEB21</t>
  </si>
  <si>
    <t>JAN21</t>
  </si>
  <si>
    <t>MAR21</t>
  </si>
  <si>
    <t>APR21</t>
  </si>
  <si>
    <t>MAY21</t>
  </si>
  <si>
    <t>JUN21</t>
  </si>
  <si>
    <t>JUL21</t>
  </si>
  <si>
    <t>AUG21</t>
  </si>
  <si>
    <t>SEP21</t>
  </si>
  <si>
    <t>OCT21</t>
  </si>
  <si>
    <t>NOV21</t>
  </si>
  <si>
    <t>DEC21</t>
  </si>
  <si>
    <t>JAN22</t>
  </si>
  <si>
    <t>21</t>
  </si>
  <si>
    <t>FEB22</t>
  </si>
  <si>
    <t>MAR22</t>
  </si>
  <si>
    <t>APR22</t>
  </si>
  <si>
    <t>MAY22</t>
  </si>
  <si>
    <t>JUN22</t>
  </si>
  <si>
    <t>JUL22</t>
  </si>
  <si>
    <t>AUG22</t>
  </si>
  <si>
    <t>SEP22</t>
  </si>
  <si>
    <t>OCT22</t>
  </si>
  <si>
    <t>NOV22</t>
  </si>
  <si>
    <t>22</t>
  </si>
  <si>
    <t>DEC22</t>
  </si>
  <si>
    <t>JAN23</t>
  </si>
  <si>
    <t>FEB23</t>
  </si>
  <si>
    <t>MAR23</t>
  </si>
  <si>
    <t>APR23</t>
  </si>
  <si>
    <t>MAY23</t>
  </si>
  <si>
    <t>JUN23</t>
  </si>
  <si>
    <t>JUL23</t>
  </si>
  <si>
    <t>AUG23</t>
  </si>
  <si>
    <t>SEP23</t>
  </si>
  <si>
    <t>OCT23</t>
  </si>
  <si>
    <t>NOV23</t>
  </si>
  <si>
    <t>DEC23</t>
  </si>
  <si>
    <t>JAN24</t>
  </si>
  <si>
    <t>23</t>
  </si>
  <si>
    <t>FEB24</t>
  </si>
  <si>
    <t>MAR24</t>
  </si>
  <si>
    <t>APR24</t>
  </si>
  <si>
    <t>MAY24</t>
  </si>
  <si>
    <t>JUN24</t>
  </si>
  <si>
    <t>JUL24</t>
  </si>
  <si>
    <t>AUG24</t>
  </si>
  <si>
    <t>SEP24</t>
  </si>
  <si>
    <t>OCT24</t>
  </si>
  <si>
    <t>NOV24</t>
  </si>
  <si>
    <t>DEC24</t>
  </si>
  <si>
    <t>JAN25</t>
  </si>
  <si>
    <t>FEB25</t>
  </si>
  <si>
    <t>MAR25</t>
  </si>
  <si>
    <t>APR25</t>
  </si>
  <si>
    <t>MAY25</t>
  </si>
  <si>
    <t>Cost-of Service Gas Wexpro I - TTM Into-Pipe</t>
  </si>
  <si>
    <t>Cost-of-Service Gas Wexpro II - TTM Into-Pipe</t>
  </si>
  <si>
    <t xml:space="preserve">**The into-pipe volumes used to calculate the cost-of-service gas price prior to 2011 is an estimated 3.8% less than the wellhead volume.  The 3.8% was discussed in the May 18th 2015 IRP workshop.  The volume used for 2011 - current comes from the Mountain West invoice.  </t>
  </si>
  <si>
    <t>24</t>
  </si>
  <si>
    <t>25 YTD</t>
  </si>
  <si>
    <t>Total Wexpro</t>
  </si>
  <si>
    <t>JUN25</t>
  </si>
  <si>
    <t>JUL25</t>
  </si>
  <si>
    <t>AUG25</t>
  </si>
  <si>
    <t>NOV25</t>
  </si>
  <si>
    <t>SEP25</t>
  </si>
  <si>
    <t>OCT25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</si>
</sst>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_);\(#,##0.00000\)"/>
    <numFmt numFmtId="165" formatCode="_(* #,##0_);_(* \(#,##0\);_(* &quot;-&quot;??_);_(@_)"/>
    <numFmt numFmtId="166" formatCode="&quot;$&quot;#,##0.00"/>
    <numFmt numFmtId="167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1">
      <alignment horizontal="center"/>
    </xf>
    <xf numFmtId="3" fontId="7" fillId="0" borderId="0" applyFont="0" applyFill="0" applyBorder="0" applyAlignment="0" applyProtection="0"/>
    <xf numFmtId="0" fontId="7" fillId="2" borderId="0" applyNumberFormat="0" applyFon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" fontId="0" fillId="0" borderId="0" xfId="0" applyNumberFormat="1"/>
    <xf numFmtId="165" fontId="0" fillId="0" borderId="0" xfId="1" applyNumberFormat="1" applyFont="1" applyFill="1"/>
    <xf numFmtId="5" fontId="0" fillId="0" borderId="0" xfId="1" applyNumberFormat="1" applyFont="1" applyFill="1"/>
    <xf numFmtId="166" fontId="0" fillId="0" borderId="0" xfId="0" applyNumberFormat="1"/>
    <xf numFmtId="165" fontId="0" fillId="0" borderId="0" xfId="1" applyNumberFormat="1" applyFont="1" applyFill="1" applyBorder="1"/>
    <xf numFmtId="164" fontId="0" fillId="0" borderId="0" xfId="1" applyNumberFormat="1" applyFont="1" applyFill="1"/>
    <xf numFmtId="5" fontId="0" fillId="0" borderId="0" xfId="0" applyNumberFormat="1"/>
    <xf numFmtId="7" fontId="0" fillId="0" borderId="0" xfId="0" applyNumberFormat="1"/>
    <xf numFmtId="0" fontId="0" fillId="0" borderId="0" xfId="0" applyAlignment="1">
      <alignment horizontal="center"/>
    </xf>
    <xf numFmtId="7" fontId="6" fillId="0" borderId="0" xfId="0" applyNumberFormat="1" applyFont="1"/>
    <xf numFmtId="7" fontId="2" fillId="0" borderId="0" xfId="0" applyNumberFormat="1" applyFont="1"/>
    <xf numFmtId="165" fontId="0" fillId="0" borderId="0" xfId="0" applyNumberFormat="1"/>
    <xf numFmtId="14" fontId="0" fillId="0" borderId="0" xfId="0" applyNumberFormat="1"/>
    <xf numFmtId="43" fontId="0" fillId="0" borderId="0" xfId="0" applyNumberFormat="1"/>
    <xf numFmtId="43" fontId="0" fillId="0" borderId="0" xfId="1" applyFont="1" applyFill="1"/>
    <xf numFmtId="38" fontId="0" fillId="0" borderId="0" xfId="0" applyNumberFormat="1"/>
    <xf numFmtId="0" fontId="0" fillId="0" borderId="0" xfId="0" quotePrefix="1"/>
    <xf numFmtId="16" fontId="0" fillId="0" borderId="0" xfId="0" quotePrefix="1" applyNumberFormat="1"/>
    <xf numFmtId="43" fontId="9" fillId="0" borderId="0" xfId="0" applyNumberFormat="1" applyFont="1"/>
    <xf numFmtId="43" fontId="7" fillId="0" borderId="0" xfId="10" applyNumberFormat="1" applyFont="1" applyFill="1" applyAlignment="1"/>
    <xf numFmtId="0" fontId="7" fillId="0" borderId="0" xfId="10" applyFont="1" applyFill="1" applyAlignment="1"/>
    <xf numFmtId="167" fontId="0" fillId="0" borderId="0" xfId="0" applyNumberFormat="1"/>
    <xf numFmtId="9" fontId="0" fillId="0" borderId="0" xfId="17" applyFont="1" applyFill="1"/>
    <xf numFmtId="0" fontId="0" fillId="0" borderId="0" xfId="0" applyAlignment="1">
      <alignment horizontal="right"/>
    </xf>
    <xf numFmtId="10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43" fontId="0" fillId="0" borderId="0" xfId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44" fontId="0" fillId="0" borderId="0" xfId="16" applyFont="1" applyFill="1"/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43" fontId="0" fillId="0" borderId="2" xfId="1" applyFont="1" applyFill="1" applyBorder="1"/>
    <xf numFmtId="43" fontId="0" fillId="0" borderId="0" xfId="0" applyNumberFormat="1" applyAlignment="1">
      <alignment wrapText="1"/>
    </xf>
    <xf numFmtId="165" fontId="0" fillId="0" borderId="0" xfId="1" applyNumberFormat="1" applyFont="1"/>
    <xf numFmtId="14" fontId="0" fillId="0" borderId="0" xfId="0" quotePrefix="1" applyNumberFormat="1"/>
    <xf numFmtId="10" fontId="0" fillId="0" borderId="0" xfId="17" applyNumberFormat="1" applyFont="1" applyFill="1"/>
    <xf numFmtId="43" fontId="0" fillId="0" borderId="0" xfId="1" applyFont="1"/>
    <xf numFmtId="0" fontId="0" fillId="0" borderId="0" xfId="0" quotePrefix="1" applyAlignment="1">
      <alignment horizontal="left"/>
    </xf>
    <xf numFmtId="165" fontId="0" fillId="0" borderId="0" xfId="0" applyNumberFormat="1" applyAlignment="1">
      <alignment vertical="top"/>
    </xf>
    <xf numFmtId="0" fontId="0" fillId="0" borderId="0" xfId="0" applyAlignment="1">
      <alignment horizontal="left" wrapText="1"/>
    </xf>
  </cellXfs>
  <cellStyles count="18">
    <cellStyle name="Comma" xfId="1" builtinId="3"/>
    <cellStyle name="Currency" xfId="16" builtinId="4"/>
    <cellStyle name="Normal" xfId="0" builtinId="0"/>
    <cellStyle name="Normal 2" xfId="2" xr:uid="{00000000-0005-0000-0000-000003000000}"/>
    <cellStyle name="Normal 3" xfId="9" xr:uid="{00000000-0005-0000-0000-000004000000}"/>
    <cellStyle name="Percent" xfId="17" builtinId="5"/>
    <cellStyle name="PSChar" xfId="3" xr:uid="{00000000-0005-0000-0000-000006000000}"/>
    <cellStyle name="PSChar 2" xfId="10" xr:uid="{00000000-0005-0000-0000-000007000000}"/>
    <cellStyle name="PSDate" xfId="4" xr:uid="{00000000-0005-0000-0000-000008000000}"/>
    <cellStyle name="PSDate 2" xfId="11" xr:uid="{00000000-0005-0000-0000-000009000000}"/>
    <cellStyle name="PSDec" xfId="5" xr:uid="{00000000-0005-0000-0000-00000A000000}"/>
    <cellStyle name="PSDec 2" xfId="12" xr:uid="{00000000-0005-0000-0000-00000B000000}"/>
    <cellStyle name="PSHeading" xfId="6" xr:uid="{00000000-0005-0000-0000-00000C000000}"/>
    <cellStyle name="PSHeading 2" xfId="13" xr:uid="{00000000-0005-0000-0000-00000D000000}"/>
    <cellStyle name="PSInt" xfId="7" xr:uid="{00000000-0005-0000-0000-00000E000000}"/>
    <cellStyle name="PSInt 2" xfId="14" xr:uid="{00000000-0005-0000-0000-00000F000000}"/>
    <cellStyle name="PSSpacer" xfId="8" xr:uid="{00000000-0005-0000-0000-000010000000}"/>
    <cellStyle name="PSSpacer 2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sz="1200" baseline="0"/>
              <a:t>Purchased Gas vs Company Production</a:t>
            </a:r>
          </a:p>
        </c:rich>
      </c:tx>
      <c:layout>
        <c:manualLayout>
          <c:xMode val="edge"/>
          <c:yMode val="edge"/>
          <c:x val="0.31081687604583585"/>
          <c:y val="2.68456375838927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0775003007116"/>
          <c:y val="0.12998326551462946"/>
          <c:w val="0.88078779796538353"/>
          <c:h val="0.76235093096584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Summary!$B$5</c:f>
              <c:strCache>
                <c:ptCount val="1"/>
                <c:pt idx="0">
                  <c:v>Co. Produced Gas</c:v>
                </c:pt>
              </c:strCache>
            </c:strRef>
          </c:tx>
          <c:invertIfNegative val="0"/>
          <c:cat>
            <c:strRef>
              <c:f>Summary!$A$6:$A$43</c:f>
              <c:strCache>
                <c:ptCount val="38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00</c:v>
                </c:pt>
                <c:pt idx="20">
                  <c:v>01</c:v>
                </c:pt>
                <c:pt idx="21">
                  <c:v>02</c:v>
                </c:pt>
                <c:pt idx="22">
                  <c:v>03</c:v>
                </c:pt>
                <c:pt idx="23">
                  <c:v>04</c:v>
                </c:pt>
                <c:pt idx="24">
                  <c:v>05</c:v>
                </c:pt>
                <c:pt idx="25">
                  <c:v>06</c:v>
                </c:pt>
                <c:pt idx="26">
                  <c:v>07</c:v>
                </c:pt>
                <c:pt idx="27">
                  <c:v>08</c:v>
                </c:pt>
                <c:pt idx="28">
                  <c:v>09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</c:strCache>
            </c:strRef>
          </c:cat>
          <c:val>
            <c:numRef>
              <c:f>Summary!$B$6:$B$43</c:f>
              <c:numCache>
                <c:formatCode>_(* #,##0_);_(* \(#,##0\);_(* "-"??_);_(@_)</c:formatCode>
                <c:ptCount val="38"/>
                <c:pt idx="0">
                  <c:v>19314840</c:v>
                </c:pt>
                <c:pt idx="1">
                  <c:v>43246998.149999999</c:v>
                </c:pt>
                <c:pt idx="2">
                  <c:v>34826991</c:v>
                </c:pt>
                <c:pt idx="3">
                  <c:v>37820993.549999997</c:v>
                </c:pt>
                <c:pt idx="4">
                  <c:v>34069999.649999999</c:v>
                </c:pt>
                <c:pt idx="5">
                  <c:v>27368998.349999998</c:v>
                </c:pt>
                <c:pt idx="6">
                  <c:v>23591997.149999999</c:v>
                </c:pt>
                <c:pt idx="7">
                  <c:v>26008993.350000001</c:v>
                </c:pt>
                <c:pt idx="8">
                  <c:v>24293001.449999999</c:v>
                </c:pt>
                <c:pt idx="9">
                  <c:v>26213995.200000003</c:v>
                </c:pt>
                <c:pt idx="10">
                  <c:v>34580997.299999997</c:v>
                </c:pt>
                <c:pt idx="11">
                  <c:v>33882996.299999997</c:v>
                </c:pt>
                <c:pt idx="12">
                  <c:v>47120999.549999997</c:v>
                </c:pt>
                <c:pt idx="13">
                  <c:v>47276415</c:v>
                </c:pt>
                <c:pt idx="14">
                  <c:v>49990034.999999993</c:v>
                </c:pt>
                <c:pt idx="15">
                  <c:v>47625735</c:v>
                </c:pt>
                <c:pt idx="16">
                  <c:v>46503000</c:v>
                </c:pt>
                <c:pt idx="17">
                  <c:v>47764000</c:v>
                </c:pt>
                <c:pt idx="18">
                  <c:v>48895000</c:v>
                </c:pt>
                <c:pt idx="19">
                  <c:v>52781000</c:v>
                </c:pt>
                <c:pt idx="20">
                  <c:v>48475000</c:v>
                </c:pt>
                <c:pt idx="21">
                  <c:v>52970000</c:v>
                </c:pt>
                <c:pt idx="22">
                  <c:v>51885000</c:v>
                </c:pt>
                <c:pt idx="23">
                  <c:v>49694000</c:v>
                </c:pt>
                <c:pt idx="24">
                  <c:v>49481000</c:v>
                </c:pt>
                <c:pt idx="25">
                  <c:v>48701000</c:v>
                </c:pt>
                <c:pt idx="26">
                  <c:v>39670000</c:v>
                </c:pt>
                <c:pt idx="27">
                  <c:v>55576000</c:v>
                </c:pt>
                <c:pt idx="28">
                  <c:v>58432000</c:v>
                </c:pt>
                <c:pt idx="29">
                  <c:v>60422000</c:v>
                </c:pt>
                <c:pt idx="30">
                  <c:v>61306000</c:v>
                </c:pt>
                <c:pt idx="31">
                  <c:v>70015000</c:v>
                </c:pt>
                <c:pt idx="32">
                  <c:v>71916000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D-430F-9197-3950DBCB1F83}"/>
            </c:ext>
          </c:extLst>
        </c:ser>
        <c:ser>
          <c:idx val="1"/>
          <c:order val="1"/>
          <c:tx>
            <c:strRef>
              <c:f>Summary!$C$5</c:f>
              <c:strCache>
                <c:ptCount val="1"/>
                <c:pt idx="0">
                  <c:v>Purchased Gas</c:v>
                </c:pt>
              </c:strCache>
            </c:strRef>
          </c:tx>
          <c:invertIfNegative val="0"/>
          <c:cat>
            <c:strRef>
              <c:f>Summary!$A$6:$A$43</c:f>
              <c:strCache>
                <c:ptCount val="38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00</c:v>
                </c:pt>
                <c:pt idx="20">
                  <c:v>01</c:v>
                </c:pt>
                <c:pt idx="21">
                  <c:v>02</c:v>
                </c:pt>
                <c:pt idx="22">
                  <c:v>03</c:v>
                </c:pt>
                <c:pt idx="23">
                  <c:v>04</c:v>
                </c:pt>
                <c:pt idx="24">
                  <c:v>05</c:v>
                </c:pt>
                <c:pt idx="25">
                  <c:v>06</c:v>
                </c:pt>
                <c:pt idx="26">
                  <c:v>07</c:v>
                </c:pt>
                <c:pt idx="27">
                  <c:v>08</c:v>
                </c:pt>
                <c:pt idx="28">
                  <c:v>09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</c:strCache>
            </c:strRef>
          </c:cat>
          <c:val>
            <c:numRef>
              <c:f>Summary!$C$6:$C$43</c:f>
              <c:numCache>
                <c:formatCode>_(* #,##0_);_(* \(#,##0\);_(* "-"??_);_(@_)</c:formatCode>
                <c:ptCount val="38"/>
                <c:pt idx="0">
                  <c:v>99923224.285714284</c:v>
                </c:pt>
                <c:pt idx="1">
                  <c:v>83355155.931632668</c:v>
                </c:pt>
                <c:pt idx="2">
                  <c:v>86058364.102040812</c:v>
                </c:pt>
                <c:pt idx="3">
                  <c:v>81135632.299999997</c:v>
                </c:pt>
                <c:pt idx="4">
                  <c:v>79338914.219999999</c:v>
                </c:pt>
                <c:pt idx="5">
                  <c:v>74494419</c:v>
                </c:pt>
                <c:pt idx="6">
                  <c:v>66421173</c:v>
                </c:pt>
                <c:pt idx="7">
                  <c:v>64729329</c:v>
                </c:pt>
                <c:pt idx="8">
                  <c:v>56923090</c:v>
                </c:pt>
                <c:pt idx="9">
                  <c:v>51484195</c:v>
                </c:pt>
                <c:pt idx="10">
                  <c:v>47885156</c:v>
                </c:pt>
                <c:pt idx="11">
                  <c:v>65203726.939999998</c:v>
                </c:pt>
                <c:pt idx="12">
                  <c:v>45285386</c:v>
                </c:pt>
                <c:pt idx="13">
                  <c:v>39990856</c:v>
                </c:pt>
                <c:pt idx="14">
                  <c:v>30336637</c:v>
                </c:pt>
                <c:pt idx="15">
                  <c:v>37575715</c:v>
                </c:pt>
                <c:pt idx="16">
                  <c:v>53734600</c:v>
                </c:pt>
                <c:pt idx="17">
                  <c:v>52313902</c:v>
                </c:pt>
                <c:pt idx="18">
                  <c:v>46249773</c:v>
                </c:pt>
                <c:pt idx="19">
                  <c:v>46425578</c:v>
                </c:pt>
                <c:pt idx="20">
                  <c:v>52979036</c:v>
                </c:pt>
                <c:pt idx="21">
                  <c:v>56912695</c:v>
                </c:pt>
                <c:pt idx="22">
                  <c:v>45115003</c:v>
                </c:pt>
                <c:pt idx="23">
                  <c:v>63287064</c:v>
                </c:pt>
                <c:pt idx="24">
                  <c:v>61950995</c:v>
                </c:pt>
                <c:pt idx="25">
                  <c:v>63003039</c:v>
                </c:pt>
                <c:pt idx="26">
                  <c:v>74222918</c:v>
                </c:pt>
                <c:pt idx="27">
                  <c:v>62828533</c:v>
                </c:pt>
                <c:pt idx="28">
                  <c:v>57448633</c:v>
                </c:pt>
                <c:pt idx="29">
                  <c:v>56643058</c:v>
                </c:pt>
                <c:pt idx="30">
                  <c:v>57100064</c:v>
                </c:pt>
                <c:pt idx="31">
                  <c:v>33372542</c:v>
                </c:pt>
                <c:pt idx="32">
                  <c:v>50085436</c:v>
                </c:pt>
                <c:pt idx="33">
                  <c:v>113265306.12244898</c:v>
                </c:pt>
                <c:pt idx="34">
                  <c:v>113265306.12244898</c:v>
                </c:pt>
                <c:pt idx="35">
                  <c:v>111635701</c:v>
                </c:pt>
                <c:pt idx="36">
                  <c:v>111883575</c:v>
                </c:pt>
                <c:pt idx="37">
                  <c:v>113298526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D-430F-9197-3950DBCB1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379456"/>
        <c:axId val="287381376"/>
      </c:barChart>
      <c:catAx>
        <c:axId val="28737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7381376"/>
        <c:crosses val="autoZero"/>
        <c:auto val="1"/>
        <c:lblAlgn val="ctr"/>
        <c:lblOffset val="100"/>
        <c:noMultiLvlLbl val="0"/>
      </c:catAx>
      <c:valAx>
        <c:axId val="287381376"/>
        <c:scaling>
          <c:orientation val="minMax"/>
          <c:max val="125000000"/>
          <c:min val="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Millions of Decatherms</a:t>
                </a:r>
              </a:p>
            </c:rich>
          </c:tx>
          <c:layout>
            <c:manualLayout>
              <c:xMode val="edge"/>
              <c:yMode val="edge"/>
              <c:x val="3.2015989197210916E-2"/>
              <c:y val="0.13822244534869391"/>
            </c:manualLayout>
          </c:layout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287379456"/>
        <c:crosses val="autoZero"/>
        <c:crossBetween val="between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34275383861806913"/>
          <c:y val="0.16424404164244633"/>
          <c:w val="0.19322698096270194"/>
          <c:h val="8.090788986947102E-2"/>
        </c:manualLayout>
      </c:layout>
      <c:overlay val="0"/>
    </c:legend>
    <c:plotVisOnly val="1"/>
    <c:dispBlanksAs val="gap"/>
    <c:showDLblsOverMax val="0"/>
  </c:chart>
  <c:printSettings>
    <c:headerFooter/>
    <c:pageMargins b="0" l="0" r="0" t="0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aseline="0"/>
            </a:pPr>
            <a:r>
              <a:rPr lang="en-US" sz="2600" baseline="0"/>
              <a:t>Average Market Price vs. Cost-of-Service Gas</a:t>
            </a:r>
          </a:p>
          <a:p>
            <a:pPr>
              <a:defRPr sz="2000" baseline="0"/>
            </a:pPr>
            <a:r>
              <a:rPr lang="en-US" sz="2600" baseline="0"/>
              <a:t>Historical</a:t>
            </a:r>
            <a:r>
              <a:rPr lang="en-US" sz="2000" baseline="0"/>
              <a:t>         </a:t>
            </a:r>
          </a:p>
        </c:rich>
      </c:tx>
      <c:layout>
        <c:manualLayout>
          <c:xMode val="edge"/>
          <c:yMode val="edge"/>
          <c:x val="0.30321143680661605"/>
          <c:y val="4.41592949029520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334337705899346E-2"/>
          <c:y val="8.9284250931148196E-2"/>
          <c:w val="0.82951632176710999"/>
          <c:h val="0.79829189826200608"/>
        </c:manualLayout>
      </c:layout>
      <c:lineChart>
        <c:grouping val="standard"/>
        <c:varyColors val="0"/>
        <c:ser>
          <c:idx val="1"/>
          <c:order val="0"/>
          <c:tx>
            <c:strRef>
              <c:f>Summary!$C$50</c:f>
              <c:strCache>
                <c:ptCount val="1"/>
                <c:pt idx="0">
                  <c:v>Average Market Price*</c:v>
                </c:pt>
              </c:strCache>
            </c:strRef>
          </c:tx>
          <c:marker>
            <c:symbol val="none"/>
          </c:marker>
          <c:cat>
            <c:strRef>
              <c:f>Summary!$A$51:$A$95</c:f>
              <c:strCache>
                <c:ptCount val="45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00</c:v>
                </c:pt>
                <c:pt idx="20">
                  <c:v>01</c:v>
                </c:pt>
                <c:pt idx="21">
                  <c:v>02</c:v>
                </c:pt>
                <c:pt idx="22">
                  <c:v>03</c:v>
                </c:pt>
                <c:pt idx="23">
                  <c:v>04</c:v>
                </c:pt>
                <c:pt idx="24">
                  <c:v>05</c:v>
                </c:pt>
                <c:pt idx="25">
                  <c:v>06</c:v>
                </c:pt>
                <c:pt idx="26">
                  <c:v>07</c:v>
                </c:pt>
                <c:pt idx="27">
                  <c:v>08</c:v>
                </c:pt>
                <c:pt idx="28">
                  <c:v>09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 YTD</c:v>
                </c:pt>
              </c:strCache>
            </c:strRef>
          </c:cat>
          <c:val>
            <c:numRef>
              <c:f>(Summary!$C$51:$C$85,Summary!$G$86:$G$95)</c:f>
              <c:numCache>
                <c:formatCode>"$"#,##0.00_);\("$"#,##0.00\)</c:formatCode>
                <c:ptCount val="45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3.41</c:v>
                </c:pt>
                <c:pt idx="4">
                  <c:v>3.66</c:v>
                </c:pt>
                <c:pt idx="5">
                  <c:v>3.36</c:v>
                </c:pt>
                <c:pt idx="6">
                  <c:v>2.92</c:v>
                </c:pt>
                <c:pt idx="7">
                  <c:v>2.69</c:v>
                </c:pt>
                <c:pt idx="8">
                  <c:v>3.22</c:v>
                </c:pt>
                <c:pt idx="9">
                  <c:v>3.61</c:v>
                </c:pt>
                <c:pt idx="10">
                  <c:v>3.72</c:v>
                </c:pt>
                <c:pt idx="11">
                  <c:v>2.31</c:v>
                </c:pt>
                <c:pt idx="12">
                  <c:v>2.8</c:v>
                </c:pt>
                <c:pt idx="13">
                  <c:v>1.84</c:v>
                </c:pt>
                <c:pt idx="14">
                  <c:v>1.48</c:v>
                </c:pt>
                <c:pt idx="15">
                  <c:v>1.79</c:v>
                </c:pt>
                <c:pt idx="16">
                  <c:v>2.27</c:v>
                </c:pt>
                <c:pt idx="17">
                  <c:v>1.91</c:v>
                </c:pt>
                <c:pt idx="18">
                  <c:v>2.0099999999999998</c:v>
                </c:pt>
                <c:pt idx="19">
                  <c:v>3.96</c:v>
                </c:pt>
                <c:pt idx="20">
                  <c:v>4.9000000000000004</c:v>
                </c:pt>
                <c:pt idx="21">
                  <c:v>2.5299999999999998</c:v>
                </c:pt>
                <c:pt idx="22">
                  <c:v>3.94</c:v>
                </c:pt>
                <c:pt idx="23">
                  <c:v>5.31</c:v>
                </c:pt>
                <c:pt idx="24">
                  <c:v>7.23</c:v>
                </c:pt>
                <c:pt idx="25">
                  <c:v>6.82</c:v>
                </c:pt>
                <c:pt idx="26">
                  <c:v>5.05</c:v>
                </c:pt>
                <c:pt idx="27">
                  <c:v>6.31</c:v>
                </c:pt>
                <c:pt idx="28">
                  <c:v>3.92</c:v>
                </c:pt>
                <c:pt idx="29">
                  <c:v>4.33</c:v>
                </c:pt>
                <c:pt idx="30">
                  <c:v>3.87</c:v>
                </c:pt>
                <c:pt idx="31">
                  <c:v>3.12</c:v>
                </c:pt>
                <c:pt idx="32">
                  <c:v>3.73</c:v>
                </c:pt>
                <c:pt idx="33">
                  <c:v>4.7699999999999996</c:v>
                </c:pt>
                <c:pt idx="34">
                  <c:v>2.5099999999999998</c:v>
                </c:pt>
                <c:pt idx="35">
                  <c:v>2.2326087316655929</c:v>
                </c:pt>
                <c:pt idx="36">
                  <c:v>2.7251760473211455</c:v>
                </c:pt>
                <c:pt idx="37">
                  <c:v>2.6386401272066737</c:v>
                </c:pt>
                <c:pt idx="38">
                  <c:v>2.5990924886696782</c:v>
                </c:pt>
                <c:pt idx="39">
                  <c:v>2.0673717239634941</c:v>
                </c:pt>
                <c:pt idx="40">
                  <c:v>3.8797869891546291</c:v>
                </c:pt>
                <c:pt idx="41">
                  <c:v>6.9121437827683829</c:v>
                </c:pt>
                <c:pt idx="42">
                  <c:v>8.5392530692588782</c:v>
                </c:pt>
                <c:pt idx="43">
                  <c:v>2.4612110246847201</c:v>
                </c:pt>
                <c:pt idx="44">
                  <c:v>2.8768903093440423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E-4805-A08C-77EA9782EB19}"/>
            </c:ext>
          </c:extLst>
        </c:ser>
        <c:ser>
          <c:idx val="0"/>
          <c:order val="1"/>
          <c:tx>
            <c:strRef>
              <c:f>Summary!$E$50</c:f>
              <c:strCache>
                <c:ptCount val="1"/>
                <c:pt idx="0">
                  <c:v>Cost-of-Service Gas - Into-Pipe**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Summary!$A$51:$A$95</c:f>
              <c:strCache>
                <c:ptCount val="45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00</c:v>
                </c:pt>
                <c:pt idx="20">
                  <c:v>01</c:v>
                </c:pt>
                <c:pt idx="21">
                  <c:v>02</c:v>
                </c:pt>
                <c:pt idx="22">
                  <c:v>03</c:v>
                </c:pt>
                <c:pt idx="23">
                  <c:v>04</c:v>
                </c:pt>
                <c:pt idx="24">
                  <c:v>05</c:v>
                </c:pt>
                <c:pt idx="25">
                  <c:v>06</c:v>
                </c:pt>
                <c:pt idx="26">
                  <c:v>07</c:v>
                </c:pt>
                <c:pt idx="27">
                  <c:v>08</c:v>
                </c:pt>
                <c:pt idx="28">
                  <c:v>09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 YTD</c:v>
                </c:pt>
              </c:strCache>
            </c:strRef>
          </c:cat>
          <c:val>
            <c:numRef>
              <c:f>Summary!$E$51:$E$95</c:f>
              <c:numCache>
                <c:formatCode>"$"#,##0.00_);\("$"#,##0.00\)</c:formatCode>
                <c:ptCount val="45"/>
                <c:pt idx="0">
                  <c:v>0.50230020790020791</c:v>
                </c:pt>
                <c:pt idx="1">
                  <c:v>0.59585530145530141</c:v>
                </c:pt>
                <c:pt idx="2">
                  <c:v>1.665106626331208</c:v>
                </c:pt>
                <c:pt idx="3">
                  <c:v>1.6425008055406285</c:v>
                </c:pt>
                <c:pt idx="4">
                  <c:v>1.5432919386922774</c:v>
                </c:pt>
                <c:pt idx="5">
                  <c:v>2.058911696222069</c:v>
                </c:pt>
                <c:pt idx="6">
                  <c:v>2.0906357281447261</c:v>
                </c:pt>
                <c:pt idx="7">
                  <c:v>1.7642077932747395</c:v>
                </c:pt>
                <c:pt idx="8">
                  <c:v>1.6443986028404507</c:v>
                </c:pt>
                <c:pt idx="9">
                  <c:v>1.6417932217956843</c:v>
                </c:pt>
                <c:pt idx="10">
                  <c:v>1.6853432832949524</c:v>
                </c:pt>
                <c:pt idx="11">
                  <c:v>2.005496590072569</c:v>
                </c:pt>
                <c:pt idx="12">
                  <c:v>1.6226050480247503</c:v>
                </c:pt>
                <c:pt idx="13">
                  <c:v>1.92559037103468</c:v>
                </c:pt>
                <c:pt idx="14">
                  <c:v>1.8037232722768546</c:v>
                </c:pt>
                <c:pt idx="15">
                  <c:v>2.0515040516646796</c:v>
                </c:pt>
                <c:pt idx="16">
                  <c:v>1.787189195045785</c:v>
                </c:pt>
                <c:pt idx="17">
                  <c:v>1.7946958227658125</c:v>
                </c:pt>
                <c:pt idx="18">
                  <c:v>1.7252489055953626</c:v>
                </c:pt>
                <c:pt idx="19">
                  <c:v>1.8334627429836885</c:v>
                </c:pt>
                <c:pt idx="20">
                  <c:v>2.4483275239932283</c:v>
                </c:pt>
                <c:pt idx="21">
                  <c:v>2.2039468453292321</c:v>
                </c:pt>
                <c:pt idx="22">
                  <c:v>2.6438777956687751</c:v>
                </c:pt>
                <c:pt idx="23">
                  <c:v>2.8913080026895579</c:v>
                </c:pt>
                <c:pt idx="24">
                  <c:v>3.2513512475714124</c:v>
                </c:pt>
                <c:pt idx="25">
                  <c:v>3.7915196134450362</c:v>
                </c:pt>
                <c:pt idx="26">
                  <c:v>4.5510160893378684</c:v>
                </c:pt>
                <c:pt idx="27">
                  <c:v>4.6316103912845303</c:v>
                </c:pt>
                <c:pt idx="28">
                  <c:v>4.5921954682863957</c:v>
                </c:pt>
                <c:pt idx="29">
                  <c:v>4.7395489831360056</c:v>
                </c:pt>
                <c:pt idx="30">
                  <c:v>4.6582413226111985</c:v>
                </c:pt>
                <c:pt idx="31">
                  <c:v>4.2530192932048845</c:v>
                </c:pt>
                <c:pt idx="32">
                  <c:v>4.6411103901724013</c:v>
                </c:pt>
                <c:pt idx="33">
                  <c:v>5.1841745280774658</c:v>
                </c:pt>
                <c:pt idx="34">
                  <c:v>5.1507389472245348</c:v>
                </c:pt>
                <c:pt idx="35">
                  <c:v>4.923098884523661</c:v>
                </c:pt>
                <c:pt idx="36">
                  <c:v>4.8935051740123443</c:v>
                </c:pt>
                <c:pt idx="37">
                  <c:v>3.9401245416090624</c:v>
                </c:pt>
                <c:pt idx="38">
                  <c:v>3.8767868119999509</c:v>
                </c:pt>
                <c:pt idx="39">
                  <c:v>3.9810974207431293</c:v>
                </c:pt>
                <c:pt idx="40">
                  <c:v>4.0274168127973047</c:v>
                </c:pt>
                <c:pt idx="41">
                  <c:v>4.7770404727085198</c:v>
                </c:pt>
                <c:pt idx="42">
                  <c:v>4.949581481962392</c:v>
                </c:pt>
                <c:pt idx="43">
                  <c:v>3.8368206826165934</c:v>
                </c:pt>
                <c:pt idx="44">
                  <c:v>4.3844653991789624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E-4805-A08C-77EA9782E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412224"/>
        <c:axId val="287413760"/>
      </c:lineChart>
      <c:catAx>
        <c:axId val="2874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7413760"/>
        <c:crosses val="autoZero"/>
        <c:auto val="1"/>
        <c:lblAlgn val="ctr"/>
        <c:lblOffset val="100"/>
        <c:noMultiLvlLbl val="0"/>
      </c:catAx>
      <c:valAx>
        <c:axId val="287413760"/>
        <c:scaling>
          <c:orientation val="minMax"/>
        </c:scaling>
        <c:delete val="0"/>
        <c:axPos val="l"/>
        <c:majorGridlines/>
        <c:title>
          <c:tx>
            <c:rich>
              <a:bodyPr rot="0" vert="horz" anchor="t" anchorCtr="0"/>
              <a:lstStyle/>
              <a:p>
                <a:pPr>
                  <a:defRPr/>
                </a:pPr>
                <a:r>
                  <a:rPr lang="en-US"/>
                  <a:t>$/Dth</a:t>
                </a:r>
              </a:p>
            </c:rich>
          </c:tx>
          <c:layout>
            <c:manualLayout>
              <c:xMode val="edge"/>
              <c:yMode val="edge"/>
              <c:x val="1.3465134990434705E-2"/>
              <c:y val="0.52343680597617559"/>
            </c:manualLayout>
          </c:layout>
          <c:overlay val="0"/>
        </c:title>
        <c:numFmt formatCode="&quot;$&quot;#,##0_);\(&quot;$&quot;#,##0\)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874122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" l="0" r="0" t="0" header="0.30000000000000032" footer="0.3000000000000003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aseline="0"/>
            </a:pPr>
            <a:r>
              <a:rPr lang="en-US" sz="2600" baseline="0"/>
              <a:t>Actual Market Price vs. TTM Cost-of-Service Gas</a:t>
            </a:r>
          </a:p>
          <a:p>
            <a:pPr>
              <a:defRPr sz="2000" baseline="0"/>
            </a:pPr>
            <a:r>
              <a:rPr lang="en-US" sz="2600" baseline="0"/>
              <a:t>IRP Year 2025 - 2026</a:t>
            </a:r>
            <a:r>
              <a:rPr lang="en-US" sz="2000" baseline="0"/>
              <a:t>       </a:t>
            </a:r>
          </a:p>
        </c:rich>
      </c:tx>
      <c:layout>
        <c:manualLayout>
          <c:xMode val="edge"/>
          <c:yMode val="edge"/>
          <c:x val="0.30795840946520608"/>
          <c:y val="6.59424257996390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450928406449218"/>
          <c:y val="8.1690988945668078E-2"/>
          <c:w val="0.75744323216736154"/>
          <c:h val="0.81000507662613097"/>
        </c:manualLayout>
      </c:layout>
      <c:lineChart>
        <c:grouping val="standard"/>
        <c:varyColors val="0"/>
        <c:ser>
          <c:idx val="1"/>
          <c:order val="0"/>
          <c:tx>
            <c:v>Actual Market Price</c:v>
          </c:tx>
          <c:marker>
            <c:symbol val="none"/>
          </c:marker>
          <c:cat>
            <c:strRef>
              <c:f>Summary!$A$236:$A$241</c:f>
              <c:strCache>
                <c:ptCount val="6"/>
                <c:pt idx="0">
                  <c:v>JUN25</c:v>
                </c:pt>
                <c:pt idx="1">
                  <c:v>JUL25</c:v>
                </c:pt>
                <c:pt idx="2">
                  <c:v>AUG25</c:v>
                </c:pt>
                <c:pt idx="3">
                  <c:v>SEP25</c:v>
                </c:pt>
                <c:pt idx="4">
                  <c:v>OCT25</c:v>
                </c:pt>
                <c:pt idx="5">
                  <c:v>NOV25</c:v>
                </c:pt>
              </c:strCache>
            </c:strRef>
          </c:cat>
          <c:val>
            <c:numRef>
              <c:f>'Purch Gas'!$I$190:$I$195</c:f>
              <c:numCache>
                <c:formatCode>_(* #,##0.00_);_(* \(#,##0.00\);_(* "-"??_);_(@_)</c:formatCode>
                <c:ptCount val="6"/>
                <c:pt idx="0">
                  <c:v>2.52</c:v>
                </c:pt>
                <c:pt idx="1">
                  <c:v>2.71</c:v>
                </c:pt>
                <c:pt idx="2">
                  <c:v>2.66</c:v>
                </c:pt>
                <c:pt idx="3">
                  <c:v>2.33</c:v>
                </c:pt>
                <c:pt idx="4">
                  <c:v>2.4900000000000002</c:v>
                </c:pt>
                <c:pt idx="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8-4590-AEFC-97F60A5F3D2A}"/>
            </c:ext>
          </c:extLst>
        </c:ser>
        <c:ser>
          <c:idx val="4"/>
          <c:order val="1"/>
          <c:tx>
            <c:strRef>
              <c:f>Summary!$H$98</c:f>
              <c:strCache>
                <c:ptCount val="1"/>
                <c:pt idx="0">
                  <c:v>Cost-of Service Gas Wexpro I - TTM Into-Pipe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Summary!$A$236:$A$241</c:f>
              <c:strCache>
                <c:ptCount val="6"/>
                <c:pt idx="0">
                  <c:v>JUN25</c:v>
                </c:pt>
                <c:pt idx="1">
                  <c:v>JUL25</c:v>
                </c:pt>
                <c:pt idx="2">
                  <c:v>AUG25</c:v>
                </c:pt>
                <c:pt idx="3">
                  <c:v>SEP25</c:v>
                </c:pt>
                <c:pt idx="4">
                  <c:v>OCT25</c:v>
                </c:pt>
                <c:pt idx="5">
                  <c:v>NOV25</c:v>
                </c:pt>
              </c:strCache>
            </c:strRef>
          </c:cat>
          <c:val>
            <c:numRef>
              <c:f>Summary!$H$236:$H$241</c:f>
              <c:numCache>
                <c:formatCode>_(* #,##0.00_);_(* \(#,##0.00\);_(* "-"??_);_(@_)</c:formatCode>
                <c:ptCount val="6"/>
                <c:pt idx="0">
                  <c:v>4.4309978676465773</c:v>
                </c:pt>
                <c:pt idx="1">
                  <c:v>4.3357164763442677</c:v>
                </c:pt>
                <c:pt idx="2">
                  <c:v>4.4580940218592593</c:v>
                </c:pt>
                <c:pt idx="3">
                  <c:v>4.6338795182134689</c:v>
                </c:pt>
                <c:pt idx="4">
                  <c:v>4.6763591076739415</c:v>
                </c:pt>
                <c:pt idx="5">
                  <c:v>4.6378030359970399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8-4590-AEFC-97F60A5F3D2A}"/>
            </c:ext>
          </c:extLst>
        </c:ser>
        <c:ser>
          <c:idx val="2"/>
          <c:order val="2"/>
          <c:tx>
            <c:strRef>
              <c:f>Summary!$J$98</c:f>
              <c:strCache>
                <c:ptCount val="1"/>
                <c:pt idx="0">
                  <c:v>Cost-of-Service Gas Wexpro II - TTM Into-Pipe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Summary!$A$236:$A$241</c:f>
              <c:strCache>
                <c:ptCount val="6"/>
                <c:pt idx="0">
                  <c:v>JUN25</c:v>
                </c:pt>
                <c:pt idx="1">
                  <c:v>JUL25</c:v>
                </c:pt>
                <c:pt idx="2">
                  <c:v>AUG25</c:v>
                </c:pt>
                <c:pt idx="3">
                  <c:v>SEP25</c:v>
                </c:pt>
                <c:pt idx="4">
                  <c:v>OCT25</c:v>
                </c:pt>
                <c:pt idx="5">
                  <c:v>NOV25</c:v>
                </c:pt>
              </c:strCache>
            </c:strRef>
          </c:cat>
          <c:val>
            <c:numRef>
              <c:f>Summary!$J$236:$J$241</c:f>
              <c:numCache>
                <c:formatCode>_(* #,##0.00_);_(* \(#,##0.00\);_(* "-"??_);_(@_)</c:formatCode>
                <c:ptCount val="6"/>
                <c:pt idx="0">
                  <c:v>3.8438587064154812</c:v>
                </c:pt>
                <c:pt idx="1">
                  <c:v>3.8787033555956203</c:v>
                </c:pt>
                <c:pt idx="2">
                  <c:v>3.8879054889793228</c:v>
                </c:pt>
                <c:pt idx="3">
                  <c:v>3.9919729257652365</c:v>
                </c:pt>
                <c:pt idx="4">
                  <c:v>3.8935322890778497</c:v>
                </c:pt>
                <c:pt idx="5">
                  <c:v>3.9189286271809674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88-4590-AEFC-97F60A5F3D2A}"/>
            </c:ext>
          </c:extLst>
        </c:ser>
        <c:ser>
          <c:idx val="0"/>
          <c:order val="3"/>
          <c:tx>
            <c:strRef>
              <c:f>Summary!$E$98</c:f>
              <c:strCache>
                <c:ptCount val="1"/>
                <c:pt idx="0">
                  <c:v>Total Wexpro</c:v>
                </c:pt>
              </c:strCache>
            </c:strRef>
          </c:tx>
          <c:marker>
            <c:symbol val="none"/>
          </c:marker>
          <c:cat>
            <c:strRef>
              <c:f>Summary!$A$236:$A$241</c:f>
              <c:strCache>
                <c:ptCount val="6"/>
                <c:pt idx="0">
                  <c:v>JUN25</c:v>
                </c:pt>
                <c:pt idx="1">
                  <c:v>JUL25</c:v>
                </c:pt>
                <c:pt idx="2">
                  <c:v>AUG25</c:v>
                </c:pt>
                <c:pt idx="3">
                  <c:v>SEP25</c:v>
                </c:pt>
                <c:pt idx="4">
                  <c:v>OCT25</c:v>
                </c:pt>
                <c:pt idx="5">
                  <c:v>NOV25</c:v>
                </c:pt>
              </c:strCache>
            </c:strRef>
          </c:cat>
          <c:val>
            <c:numRef>
              <c:f>Summary!$E$236:$E$241</c:f>
              <c:numCache>
                <c:formatCode>_(* #,##0.00_);_(* \(#,##0.00\);_(* "-"??_);_(@_)</c:formatCode>
                <c:ptCount val="6"/>
                <c:pt idx="0">
                  <c:v>4.2206719169006783</c:v>
                </c:pt>
                <c:pt idx="1">
                  <c:v>4.1742880685134063</c:v>
                </c:pt>
                <c:pt idx="2">
                  <c:v>4.2532651366622662</c:v>
                </c:pt>
                <c:pt idx="3">
                  <c:v>4.3986722215681491</c:v>
                </c:pt>
                <c:pt idx="4">
                  <c:v>4.3847744913248459</c:v>
                </c:pt>
                <c:pt idx="5">
                  <c:v>4.37188889030526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1-4B33-B25C-4F5B1A6FA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438720"/>
        <c:axId val="287440256"/>
      </c:lineChart>
      <c:catAx>
        <c:axId val="28743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7440256"/>
        <c:crosses val="autoZero"/>
        <c:auto val="1"/>
        <c:lblAlgn val="ctr"/>
        <c:lblOffset val="100"/>
        <c:noMultiLvlLbl val="0"/>
      </c:catAx>
      <c:valAx>
        <c:axId val="287440256"/>
        <c:scaling>
          <c:orientation val="minMax"/>
          <c:min val="1"/>
        </c:scaling>
        <c:delete val="0"/>
        <c:axPos val="l"/>
        <c:majorGridlines/>
        <c:title>
          <c:tx>
            <c:rich>
              <a:bodyPr rot="0" vert="horz" anchor="t" anchorCtr="0"/>
              <a:lstStyle/>
              <a:p>
                <a:pPr>
                  <a:defRPr/>
                </a:pPr>
                <a:r>
                  <a:rPr lang="en-US"/>
                  <a:t>$/Dth</a:t>
                </a:r>
              </a:p>
            </c:rich>
          </c:tx>
          <c:layout>
            <c:manualLayout>
              <c:xMode val="edge"/>
              <c:yMode val="edge"/>
              <c:x val="1.3465134990434705E-2"/>
              <c:y val="0.52343680597617559"/>
            </c:manualLayout>
          </c:layout>
          <c:overlay val="0"/>
        </c:title>
        <c:numFmt formatCode="&quot;$&quot;#,##0_);\(&quot;$&quot;#,##0\)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87438720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" l="0" r="0" t="0" header="0.30000000000000032" footer="0.30000000000000032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aseline="0"/>
            </a:pPr>
            <a:r>
              <a:rPr lang="en-US" sz="1900" baseline="0"/>
              <a:t>TTM Cost-of-Service Gas</a:t>
            </a:r>
          </a:p>
        </c:rich>
      </c:tx>
      <c:layout>
        <c:manualLayout>
          <c:xMode val="edge"/>
          <c:yMode val="edge"/>
          <c:x val="0.49285821200345603"/>
          <c:y val="3.71441134291203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509332061368234"/>
          <c:y val="9.1870958140541692E-2"/>
          <c:w val="0.76595130752219087"/>
          <c:h val="0.75365641150526286"/>
        </c:manualLayout>
      </c:layout>
      <c:lineChart>
        <c:grouping val="standard"/>
        <c:varyColors val="0"/>
        <c:ser>
          <c:idx val="4"/>
          <c:order val="0"/>
          <c:tx>
            <c:v>COS Wex I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5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Summary!$A$160:$A$171</c:f>
              <c:strCache>
                <c:ptCount val="12"/>
                <c:pt idx="0">
                  <c:v>FEB19</c:v>
                </c:pt>
                <c:pt idx="1">
                  <c:v>MAR19</c:v>
                </c:pt>
                <c:pt idx="2">
                  <c:v>APR19</c:v>
                </c:pt>
                <c:pt idx="3">
                  <c:v>MAY19</c:v>
                </c:pt>
                <c:pt idx="4">
                  <c:v>JUN19</c:v>
                </c:pt>
                <c:pt idx="5">
                  <c:v>JUL19</c:v>
                </c:pt>
                <c:pt idx="6">
                  <c:v>AUG19</c:v>
                </c:pt>
                <c:pt idx="7">
                  <c:v>SEP19</c:v>
                </c:pt>
                <c:pt idx="8">
                  <c:v>OCT19</c:v>
                </c:pt>
                <c:pt idx="9">
                  <c:v>NOV19</c:v>
                </c:pt>
                <c:pt idx="10">
                  <c:v>DEC19</c:v>
                </c:pt>
                <c:pt idx="11">
                  <c:v>JAN20</c:v>
                </c:pt>
              </c:strCache>
            </c:strRef>
          </c:cat>
          <c:val>
            <c:numRef>
              <c:f>Summary!$H$160:$H$171</c:f>
              <c:numCache>
                <c:formatCode>_(* #,##0.00_);_(* \(#,##0.00\);_(* "-"??_);_(@_)</c:formatCode>
                <c:ptCount val="12"/>
                <c:pt idx="0">
                  <c:v>4.2111002173785526</c:v>
                </c:pt>
                <c:pt idx="1">
                  <c:v>4.1789390467954979</c:v>
                </c:pt>
                <c:pt idx="2">
                  <c:v>4.1882885951702047</c:v>
                </c:pt>
                <c:pt idx="3">
                  <c:v>4.1172870080658512</c:v>
                </c:pt>
                <c:pt idx="4">
                  <c:v>4.1028359678496029</c:v>
                </c:pt>
                <c:pt idx="5">
                  <c:v>4.0955920844402627</c:v>
                </c:pt>
                <c:pt idx="6">
                  <c:v>4.0331346496888045</c:v>
                </c:pt>
                <c:pt idx="7">
                  <c:v>3.9951341302271715</c:v>
                </c:pt>
                <c:pt idx="8">
                  <c:v>3.9582165098114244</c:v>
                </c:pt>
                <c:pt idx="9">
                  <c:v>3.9566574923919093</c:v>
                </c:pt>
                <c:pt idx="10">
                  <c:v>4.0568725878690204</c:v>
                </c:pt>
                <c:pt idx="11">
                  <c:v>4.003195689090858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7-4C5A-A670-E7AED53980C6}"/>
            </c:ext>
          </c:extLst>
        </c:ser>
        <c:ser>
          <c:idx val="2"/>
          <c:order val="1"/>
          <c:tx>
            <c:v>COS Wex II</c:v>
          </c:tx>
          <c:spPr>
            <a:ln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Summary!$A$160:$A$171</c:f>
              <c:strCache>
                <c:ptCount val="12"/>
                <c:pt idx="0">
                  <c:v>FEB19</c:v>
                </c:pt>
                <c:pt idx="1">
                  <c:v>MAR19</c:v>
                </c:pt>
                <c:pt idx="2">
                  <c:v>APR19</c:v>
                </c:pt>
                <c:pt idx="3">
                  <c:v>MAY19</c:v>
                </c:pt>
                <c:pt idx="4">
                  <c:v>JUN19</c:v>
                </c:pt>
                <c:pt idx="5">
                  <c:v>JUL19</c:v>
                </c:pt>
                <c:pt idx="6">
                  <c:v>AUG19</c:v>
                </c:pt>
                <c:pt idx="7">
                  <c:v>SEP19</c:v>
                </c:pt>
                <c:pt idx="8">
                  <c:v>OCT19</c:v>
                </c:pt>
                <c:pt idx="9">
                  <c:v>NOV19</c:v>
                </c:pt>
                <c:pt idx="10">
                  <c:v>DEC19</c:v>
                </c:pt>
                <c:pt idx="11">
                  <c:v>JAN20</c:v>
                </c:pt>
              </c:strCache>
            </c:strRef>
          </c:cat>
          <c:val>
            <c:numRef>
              <c:f>Summary!$J$160:$J$171</c:f>
              <c:numCache>
                <c:formatCode>_(* #,##0.00_);_(* \(#,##0.00\);_(* "-"??_);_(@_)</c:formatCode>
                <c:ptCount val="12"/>
                <c:pt idx="0">
                  <c:v>3.1797246340449803</c:v>
                </c:pt>
                <c:pt idx="1">
                  <c:v>3.1909558344032134</c:v>
                </c:pt>
                <c:pt idx="2">
                  <c:v>3.1828521461463386</c:v>
                </c:pt>
                <c:pt idx="3">
                  <c:v>3.1610554940743603</c:v>
                </c:pt>
                <c:pt idx="4">
                  <c:v>3.2009472084596728</c:v>
                </c:pt>
                <c:pt idx="5">
                  <c:v>3.1867012734081839</c:v>
                </c:pt>
                <c:pt idx="6">
                  <c:v>3.1939829929313035</c:v>
                </c:pt>
                <c:pt idx="7">
                  <c:v>3.1842623316224641</c:v>
                </c:pt>
                <c:pt idx="8">
                  <c:v>3.197492070735604</c:v>
                </c:pt>
                <c:pt idx="9">
                  <c:v>3.1950272015168193</c:v>
                </c:pt>
                <c:pt idx="10">
                  <c:v>3.2407144577593483</c:v>
                </c:pt>
                <c:pt idx="11">
                  <c:v>3.2270057450163763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7-4C5A-A670-E7AED53980C6}"/>
            </c:ext>
          </c:extLst>
        </c:ser>
        <c:ser>
          <c:idx val="0"/>
          <c:order val="2"/>
          <c:tx>
            <c:v>COS Wex Consolidated</c:v>
          </c:tx>
          <c:spPr>
            <a:ln>
              <a:solidFill>
                <a:srgbClr val="7030A0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Summary!$A$160:$A$171</c:f>
              <c:strCache>
                <c:ptCount val="12"/>
                <c:pt idx="0">
                  <c:v>FEB19</c:v>
                </c:pt>
                <c:pt idx="1">
                  <c:v>MAR19</c:v>
                </c:pt>
                <c:pt idx="2">
                  <c:v>APR19</c:v>
                </c:pt>
                <c:pt idx="3">
                  <c:v>MAY19</c:v>
                </c:pt>
                <c:pt idx="4">
                  <c:v>JUN19</c:v>
                </c:pt>
                <c:pt idx="5">
                  <c:v>JUL19</c:v>
                </c:pt>
                <c:pt idx="6">
                  <c:v>AUG19</c:v>
                </c:pt>
                <c:pt idx="7">
                  <c:v>SEP19</c:v>
                </c:pt>
                <c:pt idx="8">
                  <c:v>OCT19</c:v>
                </c:pt>
                <c:pt idx="9">
                  <c:v>NOV19</c:v>
                </c:pt>
                <c:pt idx="10">
                  <c:v>DEC19</c:v>
                </c:pt>
                <c:pt idx="11">
                  <c:v>JAN20</c:v>
                </c:pt>
              </c:strCache>
            </c:strRef>
          </c:cat>
          <c:val>
            <c:numRef>
              <c:f>Summary!$E$160:$E$171</c:f>
              <c:numCache>
                <c:formatCode>_(* #,##0.00_);_(* \(#,##0.00\);_(* "-"??_);_(@_)</c:formatCode>
                <c:ptCount val="12"/>
                <c:pt idx="0">
                  <c:v>3.9727825161595378</c:v>
                </c:pt>
                <c:pt idx="1">
                  <c:v>3.9511191894171054</c:v>
                </c:pt>
                <c:pt idx="2">
                  <c:v>3.9571121398602624</c:v>
                </c:pt>
                <c:pt idx="3">
                  <c:v>3.8980127953085666</c:v>
                </c:pt>
                <c:pt idx="4">
                  <c:v>3.8964293167649036</c:v>
                </c:pt>
                <c:pt idx="5">
                  <c:v>3.8868251164491552</c:v>
                </c:pt>
                <c:pt idx="6">
                  <c:v>3.8440504169623875</c:v>
                </c:pt>
                <c:pt idx="7">
                  <c:v>3.8135060725915033</c:v>
                </c:pt>
                <c:pt idx="8">
                  <c:v>3.7887514708638497</c:v>
                </c:pt>
                <c:pt idx="9">
                  <c:v>3.7871815632564543</c:v>
                </c:pt>
                <c:pt idx="10">
                  <c:v>3.87678681199995</c:v>
                </c:pt>
                <c:pt idx="11">
                  <c:v>3.8331541829303317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7-4C5A-A670-E7AED53980C6}"/>
            </c:ext>
          </c:extLst>
        </c:ser>
        <c:ser>
          <c:idx val="1"/>
          <c:order val="3"/>
          <c:tx>
            <c:v>Market Average</c:v>
          </c:tx>
          <c:cat>
            <c:strRef>
              <c:f>Summary!$A$160:$A$171</c:f>
              <c:strCache>
                <c:ptCount val="12"/>
                <c:pt idx="0">
                  <c:v>FEB19</c:v>
                </c:pt>
                <c:pt idx="1">
                  <c:v>MAR19</c:v>
                </c:pt>
                <c:pt idx="2">
                  <c:v>APR19</c:v>
                </c:pt>
                <c:pt idx="3">
                  <c:v>MAY19</c:v>
                </c:pt>
                <c:pt idx="4">
                  <c:v>JUN19</c:v>
                </c:pt>
                <c:pt idx="5">
                  <c:v>JUL19</c:v>
                </c:pt>
                <c:pt idx="6">
                  <c:v>AUG19</c:v>
                </c:pt>
                <c:pt idx="7">
                  <c:v>SEP19</c:v>
                </c:pt>
                <c:pt idx="8">
                  <c:v>OCT19</c:v>
                </c:pt>
                <c:pt idx="9">
                  <c:v>NOV19</c:v>
                </c:pt>
                <c:pt idx="10">
                  <c:v>DEC19</c:v>
                </c:pt>
                <c:pt idx="11">
                  <c:v>JAN20</c:v>
                </c:pt>
              </c:strCache>
            </c:strRef>
          </c:cat>
          <c:val>
            <c:numRef>
              <c:f>'Purch Gas'!$I$114:$I$125</c:f>
              <c:numCache>
                <c:formatCode>_(* #,##0.00_);_(* \(#,##0.00\);_(* "-"??_);_(@_)</c:formatCode>
                <c:ptCount val="12"/>
                <c:pt idx="0">
                  <c:v>3.38</c:v>
                </c:pt>
                <c:pt idx="1">
                  <c:v>3.77</c:v>
                </c:pt>
                <c:pt idx="2">
                  <c:v>2.48</c:v>
                </c:pt>
                <c:pt idx="3">
                  <c:v>1.88</c:v>
                </c:pt>
                <c:pt idx="4">
                  <c:v>1.89</c:v>
                </c:pt>
                <c:pt idx="5">
                  <c:v>1.92</c:v>
                </c:pt>
                <c:pt idx="6">
                  <c:v>2.0099999999999998</c:v>
                </c:pt>
                <c:pt idx="7">
                  <c:v>1.81</c:v>
                </c:pt>
                <c:pt idx="8">
                  <c:v>2.0099999999999998</c:v>
                </c:pt>
                <c:pt idx="9">
                  <c:v>2.3199999999999998</c:v>
                </c:pt>
                <c:pt idx="10">
                  <c:v>3.44</c:v>
                </c:pt>
                <c:pt idx="11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E7-4C5A-A670-E7AED539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732480"/>
        <c:axId val="287734016"/>
      </c:lineChart>
      <c:catAx>
        <c:axId val="28773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7734016"/>
        <c:crosses val="autoZero"/>
        <c:auto val="1"/>
        <c:lblAlgn val="ctr"/>
        <c:lblOffset val="100"/>
        <c:noMultiLvlLbl val="0"/>
      </c:catAx>
      <c:valAx>
        <c:axId val="287734016"/>
        <c:scaling>
          <c:orientation val="minMax"/>
        </c:scaling>
        <c:delete val="0"/>
        <c:axPos val="l"/>
        <c:majorGridlines/>
        <c:title>
          <c:tx>
            <c:rich>
              <a:bodyPr rot="0" vert="horz" anchor="t" anchorCtr="0"/>
              <a:lstStyle/>
              <a:p>
                <a:pPr>
                  <a:defRPr/>
                </a:pPr>
                <a:r>
                  <a:rPr lang="en-US"/>
                  <a:t>$/Dth</a:t>
                </a:r>
              </a:p>
            </c:rich>
          </c:tx>
          <c:layout>
            <c:manualLayout>
              <c:xMode val="edge"/>
              <c:yMode val="edge"/>
              <c:x val="1.3465134990434705E-2"/>
              <c:y val="0.52343680597617559"/>
            </c:manualLayout>
          </c:layout>
          <c:overlay val="0"/>
        </c:title>
        <c:numFmt formatCode="&quot;$&quot;#,##0_);\(&quot;$&quot;#,##0\)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87732480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</c:spPr>
    </c:plotArea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printSettings>
    <c:headerFooter/>
    <c:pageMargins b="0" l="0" r="0" t="0" header="0.30000000000000032" footer="0.30000000000000032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aseline="0"/>
            </a:pPr>
            <a:r>
              <a:rPr lang="en-US" sz="1900" baseline="0"/>
              <a:t>TTM Cost-of-Service Gas</a:t>
            </a:r>
          </a:p>
        </c:rich>
      </c:tx>
      <c:layout>
        <c:manualLayout>
          <c:xMode val="edge"/>
          <c:yMode val="edge"/>
          <c:x val="0.49285821200345603"/>
          <c:y val="3.71441134291203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509332061368234"/>
          <c:y val="9.1870958140541692E-2"/>
          <c:w val="0.76595130752219087"/>
          <c:h val="0.75365641150526286"/>
        </c:manualLayout>
      </c:layout>
      <c:lineChart>
        <c:grouping val="standard"/>
        <c:varyColors val="0"/>
        <c:ser>
          <c:idx val="4"/>
          <c:order val="0"/>
          <c:tx>
            <c:v>COS Wex I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5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Summary!$A$176:$A$178</c:f>
              <c:strCache>
                <c:ptCount val="3"/>
                <c:pt idx="0">
                  <c:v>JUN20</c:v>
                </c:pt>
                <c:pt idx="1">
                  <c:v>JUL20</c:v>
                </c:pt>
                <c:pt idx="2">
                  <c:v>AUG20</c:v>
                </c:pt>
              </c:strCache>
            </c:strRef>
          </c:cat>
          <c:val>
            <c:numRef>
              <c:f>Summary!$H$176:$H$178</c:f>
              <c:numCache>
                <c:formatCode>_(* #,##0.00_);_(* \(#,##0.00\);_(* "-"??_);_(@_)</c:formatCode>
                <c:ptCount val="3"/>
                <c:pt idx="0">
                  <c:v>4.0279541839325406</c:v>
                </c:pt>
                <c:pt idx="1">
                  <c:v>4.0042235835332178</c:v>
                </c:pt>
                <c:pt idx="2">
                  <c:v>4.0664499172780806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7-4C5A-A670-E7AED53980C6}"/>
            </c:ext>
          </c:extLst>
        </c:ser>
        <c:ser>
          <c:idx val="2"/>
          <c:order val="1"/>
          <c:tx>
            <c:v>COS Wex II</c:v>
          </c:tx>
          <c:spPr>
            <a:ln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Summary!$A$176:$A$178</c:f>
              <c:strCache>
                <c:ptCount val="3"/>
                <c:pt idx="0">
                  <c:v>JUN20</c:v>
                </c:pt>
                <c:pt idx="1">
                  <c:v>JUL20</c:v>
                </c:pt>
                <c:pt idx="2">
                  <c:v>AUG20</c:v>
                </c:pt>
              </c:strCache>
            </c:strRef>
          </c:cat>
          <c:val>
            <c:numRef>
              <c:f>Summary!$J$176:$J$178</c:f>
              <c:numCache>
                <c:formatCode>_(* #,##0.00_);_(* \(#,##0.00\);_(* "-"??_);_(@_)</c:formatCode>
                <c:ptCount val="3"/>
                <c:pt idx="0">
                  <c:v>3.1805199818969077</c:v>
                </c:pt>
                <c:pt idx="1">
                  <c:v>3.249205472719082</c:v>
                </c:pt>
                <c:pt idx="2">
                  <c:v>3.2897178008210433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7-4C5A-A670-E7AED53980C6}"/>
            </c:ext>
          </c:extLst>
        </c:ser>
        <c:ser>
          <c:idx val="0"/>
          <c:order val="2"/>
          <c:tx>
            <c:v>COS Wex Consolidated</c:v>
          </c:tx>
          <c:spPr>
            <a:ln>
              <a:solidFill>
                <a:srgbClr val="7030A0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Summary!$A$176:$A$178</c:f>
              <c:strCache>
                <c:ptCount val="3"/>
                <c:pt idx="0">
                  <c:v>JUN20</c:v>
                </c:pt>
                <c:pt idx="1">
                  <c:v>JUL20</c:v>
                </c:pt>
                <c:pt idx="2">
                  <c:v>AUG20</c:v>
                </c:pt>
              </c:strCache>
            </c:strRef>
          </c:cat>
          <c:val>
            <c:numRef>
              <c:f>Summary!$E$176:$E$178</c:f>
              <c:numCache>
                <c:formatCode>_(* #,##0.00_);_(* \(#,##0.00\);_(* "-"??_);_(@_)</c:formatCode>
                <c:ptCount val="3"/>
                <c:pt idx="0">
                  <c:v>3.8501090676017569</c:v>
                </c:pt>
                <c:pt idx="1">
                  <c:v>3.8488996958640813</c:v>
                </c:pt>
                <c:pt idx="2">
                  <c:v>3.9086695028876282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7-4C5A-A670-E7AED53980C6}"/>
            </c:ext>
          </c:extLst>
        </c:ser>
        <c:ser>
          <c:idx val="1"/>
          <c:order val="3"/>
          <c:tx>
            <c:v>Market Average</c:v>
          </c:tx>
          <c:cat>
            <c:strRef>
              <c:f>Summary!$A$176:$A$178</c:f>
              <c:strCache>
                <c:ptCount val="3"/>
                <c:pt idx="0">
                  <c:v>JUN20</c:v>
                </c:pt>
                <c:pt idx="1">
                  <c:v>JUL20</c:v>
                </c:pt>
                <c:pt idx="2">
                  <c:v>AUG20</c:v>
                </c:pt>
              </c:strCache>
            </c:strRef>
          </c:cat>
          <c:val>
            <c:numRef>
              <c:f>'Purch Gas'!$I$130:$I$132</c:f>
              <c:numCache>
                <c:formatCode>_(* #,##0.00_);_(* \(#,##0.00\);_(* "-"??_);_(@_)</c:formatCode>
                <c:ptCount val="3"/>
                <c:pt idx="0">
                  <c:v>1.54</c:v>
                </c:pt>
                <c:pt idx="1">
                  <c:v>1.53</c:v>
                </c:pt>
                <c:pt idx="2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E7-4C5A-A670-E7AED539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732480"/>
        <c:axId val="287734016"/>
      </c:lineChart>
      <c:catAx>
        <c:axId val="28773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7734016"/>
        <c:crosses val="autoZero"/>
        <c:auto val="1"/>
        <c:lblAlgn val="ctr"/>
        <c:lblOffset val="100"/>
        <c:noMultiLvlLbl val="0"/>
      </c:catAx>
      <c:valAx>
        <c:axId val="287734016"/>
        <c:scaling>
          <c:orientation val="minMax"/>
        </c:scaling>
        <c:delete val="0"/>
        <c:axPos val="l"/>
        <c:majorGridlines/>
        <c:title>
          <c:tx>
            <c:rich>
              <a:bodyPr rot="0" vert="horz" anchor="t" anchorCtr="0"/>
              <a:lstStyle/>
              <a:p>
                <a:pPr>
                  <a:defRPr/>
                </a:pPr>
                <a:r>
                  <a:rPr lang="en-US"/>
                  <a:t>$/Dth</a:t>
                </a:r>
              </a:p>
            </c:rich>
          </c:tx>
          <c:layout>
            <c:manualLayout>
              <c:xMode val="edge"/>
              <c:yMode val="edge"/>
              <c:x val="1.3465134990434705E-2"/>
              <c:y val="0.52343680597617559"/>
            </c:manualLayout>
          </c:layout>
          <c:overlay val="0"/>
        </c:title>
        <c:numFmt formatCode="&quot;$&quot;#,##0.00_);\(&quot;$&quot;#,##0.00\)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87732480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</c:spPr>
    </c:plotArea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printSettings>
    <c:headerFooter/>
    <c:pageMargins b="0" l="0" r="0" t="0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5</xdr:row>
      <xdr:rowOff>95250</xdr:rowOff>
    </xdr:from>
    <xdr:to>
      <xdr:col>19</xdr:col>
      <xdr:colOff>552450</xdr:colOff>
      <xdr:row>35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9525</xdr:rowOff>
    </xdr:from>
    <xdr:to>
      <xdr:col>35</xdr:col>
      <xdr:colOff>539749</xdr:colOff>
      <xdr:row>51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173594</xdr:colOff>
      <xdr:row>38</xdr:row>
      <xdr:rowOff>28043</xdr:rowOff>
    </xdr:from>
    <xdr:to>
      <xdr:col>35</xdr:col>
      <xdr:colOff>610054</xdr:colOff>
      <xdr:row>51</xdr:row>
      <xdr:rowOff>82478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rot="5400000">
          <a:off x="12874106" y="8758781"/>
          <a:ext cx="4023185" cy="1039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000"/>
            <a:t>Enbridge Gas Utah</a:t>
          </a:r>
        </a:p>
        <a:p>
          <a:pPr algn="r"/>
          <a:r>
            <a:rPr lang="en-US" sz="2000"/>
            <a:t>Docket No.</a:t>
          </a:r>
          <a:r>
            <a:rPr lang="en-US" sz="2000" baseline="0"/>
            <a:t> 25-057-02</a:t>
          </a:r>
        </a:p>
        <a:p>
          <a:pPr algn="r"/>
          <a:r>
            <a:rPr lang="en-US" sz="2000" baseline="0"/>
            <a:t>EGU Variance Exhibit 10.1 </a:t>
          </a:r>
          <a:endParaRPr lang="en-US" sz="20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0.8198</cdr:x>
      <cdr:y>0.63431</cdr:y>
    </cdr:from>
    <cdr:to>
      <cdr:x>0.90544</cdr:x>
      <cdr:y>0.76197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53476" y="4543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0.21053</cdr:x>
      <cdr:y>0.35638</cdr:y>
    </cdr:from>
    <cdr:to>
      <cdr:x>0.42641</cdr:x>
      <cdr:y>0.48404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47901" y="2552700"/>
          <a:ext cx="23050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0</xdr:rowOff>
    </xdr:from>
    <xdr:to>
      <xdr:col>35</xdr:col>
      <xdr:colOff>603251</xdr:colOff>
      <xdr:row>52</xdr:row>
      <xdr:rowOff>301625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158750</xdr:colOff>
      <xdr:row>37</xdr:row>
      <xdr:rowOff>65774</xdr:rowOff>
    </xdr:from>
    <xdr:to>
      <xdr:col>35</xdr:col>
      <xdr:colOff>610054</xdr:colOff>
      <xdr:row>51</xdr:row>
      <xdr:rowOff>138913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rot="5400000">
          <a:off x="12762082" y="8703192"/>
          <a:ext cx="4232389" cy="1054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000"/>
            <a:t>Enbridge</a:t>
          </a:r>
          <a:r>
            <a:rPr lang="en-US" sz="2000" baseline="0"/>
            <a:t> Gas</a:t>
          </a:r>
          <a:r>
            <a:rPr lang="en-US" sz="2000"/>
            <a:t> Utah</a:t>
          </a:r>
        </a:p>
        <a:p>
          <a:pPr algn="r"/>
          <a:r>
            <a:rPr lang="en-US" sz="2000"/>
            <a:t>Docket No.</a:t>
          </a:r>
          <a:r>
            <a:rPr lang="en-US" sz="2000" baseline="0"/>
            <a:t> 25-057-02</a:t>
          </a:r>
        </a:p>
        <a:p>
          <a:pPr algn="r"/>
          <a:r>
            <a:rPr lang="en-US" sz="2000" baseline="0"/>
            <a:t>EGU Variance Exhibit 10.2</a:t>
          </a:r>
          <a:endParaRPr lang="en-US" sz="20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0.8198</cdr:x>
      <cdr:y>0.63431</cdr:y>
    </cdr:from>
    <cdr:to>
      <cdr:x>0.90544</cdr:x>
      <cdr:y>0.76197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53476" y="4543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85724</xdr:colOff>
      <xdr:row>38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238124</xdr:colOff>
      <xdr:row>39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A604CE-064C-4F5A-9D57-CB4848282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0.8198</cdr:x>
      <cdr:y>0.63431</cdr:y>
    </cdr:from>
    <cdr:to>
      <cdr:x>0.90544</cdr:x>
      <cdr:y>0.76197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53476" y="4543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0.8198</cdr:x>
      <cdr:y>0.63431</cdr:y>
    </cdr:from>
    <cdr:to>
      <cdr:x>0.90544</cdr:x>
      <cdr:y>0.76197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53476" y="4543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7"/>
  <sheetViews>
    <sheetView tabSelected="1" topLeftCell="A188" workbookViewId="0">
      <selection activeCell="C196" sqref="C196"/>
    </sheetView>
  </sheetViews>
  <sheetFormatPr defaultColWidth="9.140625" defaultRowHeight="15" x14ac:dyDescent="0.25"/>
  <cols>
    <col min="1" max="1" width="11.85546875" customWidth="1"/>
    <col min="2" max="3" width="13.42578125" customWidth="1"/>
    <col min="4" max="5" width="14.140625" customWidth="1"/>
    <col min="6" max="6" width="15.85546875" customWidth="1"/>
    <col min="7" max="7" width="13.42578125" customWidth="1"/>
    <col min="8" max="9" width="15.85546875" customWidth="1"/>
    <col min="10" max="10" width="11.140625" customWidth="1"/>
    <col min="11" max="11" width="11.5703125" bestFit="1" customWidth="1"/>
    <col min="12" max="12" width="15" bestFit="1" customWidth="1"/>
    <col min="13" max="13" width="7.5703125" bestFit="1" customWidth="1"/>
    <col min="18" max="18" width="11.140625" bestFit="1" customWidth="1"/>
    <col min="20" max="20" width="11.140625" bestFit="1" customWidth="1"/>
  </cols>
  <sheetData>
    <row r="1" spans="1:14" x14ac:dyDescent="0.25">
      <c r="A1" t="s">
        <v>0</v>
      </c>
      <c r="F1" s="24" t="s">
        <v>1</v>
      </c>
      <c r="L1" t="s">
        <v>68</v>
      </c>
      <c r="M1">
        <v>2015</v>
      </c>
    </row>
    <row r="2" spans="1:14" x14ac:dyDescent="0.25">
      <c r="B2" s="24" t="s">
        <v>7</v>
      </c>
      <c r="E2" s="24" t="s">
        <v>2</v>
      </c>
      <c r="F2" s="24" t="s">
        <v>3</v>
      </c>
      <c r="G2" s="24">
        <v>806000</v>
      </c>
      <c r="H2" s="24">
        <v>813000</v>
      </c>
      <c r="L2" s="25">
        <v>3.7999999999999999E-2</v>
      </c>
      <c r="M2" s="25">
        <v>3.6700000000000003E-2</v>
      </c>
    </row>
    <row r="3" spans="1:14" hidden="1" x14ac:dyDescent="0.25">
      <c r="B3" s="24" t="s">
        <v>5</v>
      </c>
      <c r="C3" s="24"/>
      <c r="D3" s="24"/>
      <c r="E3" s="24" t="s">
        <v>6</v>
      </c>
      <c r="F3" s="24" t="s">
        <v>5</v>
      </c>
      <c r="G3" s="24"/>
      <c r="H3" s="24"/>
      <c r="I3" s="24"/>
    </row>
    <row r="4" spans="1:14" x14ac:dyDescent="0.25">
      <c r="B4" t="s">
        <v>60</v>
      </c>
      <c r="C4" t="s">
        <v>61</v>
      </c>
      <c r="D4" s="24" t="s">
        <v>69</v>
      </c>
      <c r="E4" s="24" t="s">
        <v>8</v>
      </c>
      <c r="F4" s="24" t="s">
        <v>9</v>
      </c>
      <c r="G4" s="24" t="s">
        <v>10</v>
      </c>
      <c r="H4" s="24" t="s">
        <v>11</v>
      </c>
      <c r="I4" s="6"/>
      <c r="J4" s="24" t="s">
        <v>60</v>
      </c>
      <c r="K4" s="24" t="s">
        <v>61</v>
      </c>
      <c r="M4" s="24" t="s">
        <v>70</v>
      </c>
    </row>
    <row r="5" spans="1:14" x14ac:dyDescent="0.25">
      <c r="B5" s="26" t="s">
        <v>12</v>
      </c>
      <c r="C5" s="26" t="s">
        <v>21</v>
      </c>
      <c r="D5" s="26" t="s">
        <v>61</v>
      </c>
      <c r="E5" s="24" t="s">
        <v>13</v>
      </c>
      <c r="F5" s="24" t="s">
        <v>14</v>
      </c>
      <c r="G5" s="24" t="s">
        <v>15</v>
      </c>
      <c r="H5" s="24" t="s">
        <v>16</v>
      </c>
      <c r="I5" s="24" t="s">
        <v>4</v>
      </c>
      <c r="J5" s="27" t="s">
        <v>17</v>
      </c>
      <c r="K5" s="24" t="s">
        <v>17</v>
      </c>
      <c r="M5" s="24" t="s">
        <v>17</v>
      </c>
      <c r="N5" s="28" t="s">
        <v>45</v>
      </c>
    </row>
    <row r="6" spans="1:14" x14ac:dyDescent="0.25">
      <c r="A6" s="1">
        <v>1981</v>
      </c>
      <c r="B6" s="2">
        <v>19314840</v>
      </c>
      <c r="C6" s="2">
        <f t="shared" ref="C6:C35" si="0">B6*(1-$L$2)</f>
        <v>18580876.079999998</v>
      </c>
      <c r="F6" s="3">
        <v>9730000</v>
      </c>
      <c r="G6" s="3"/>
      <c r="H6" s="3"/>
      <c r="I6" s="6">
        <v>0.2944</v>
      </c>
      <c r="J6" s="4">
        <v>0.49440000000000001</v>
      </c>
      <c r="K6" s="4">
        <f>B6*(J6-I6)/C6+I6</f>
        <v>0.50230020790020791</v>
      </c>
    </row>
    <row r="7" spans="1:14" x14ac:dyDescent="0.25">
      <c r="A7" s="1">
        <v>1982</v>
      </c>
      <c r="B7" s="2">
        <v>43246998.149999999</v>
      </c>
      <c r="C7" s="2">
        <f t="shared" si="0"/>
        <v>41603612.220299996</v>
      </c>
      <c r="F7" s="3">
        <v>23387000</v>
      </c>
      <c r="G7" s="3"/>
      <c r="H7" s="3"/>
      <c r="I7" s="6">
        <v>0.2944</v>
      </c>
      <c r="J7" s="4">
        <v>0.58440000000000003</v>
      </c>
      <c r="K7" s="4">
        <f>B7*(J7-I7)/C7+I7</f>
        <v>0.59585530145530141</v>
      </c>
    </row>
    <row r="8" spans="1:14" x14ac:dyDescent="0.25">
      <c r="A8" s="1">
        <v>1983</v>
      </c>
      <c r="B8" s="2">
        <v>34826991</v>
      </c>
      <c r="C8" s="2">
        <f t="shared" si="0"/>
        <v>33503565.342</v>
      </c>
      <c r="E8" s="3">
        <v>17398559.020000003</v>
      </c>
      <c r="F8" s="3">
        <f>21870000+6655000</f>
        <v>28525000</v>
      </c>
      <c r="G8" s="3">
        <v>0</v>
      </c>
      <c r="H8" s="3">
        <v>0</v>
      </c>
      <c r="I8" s="6">
        <v>0.2944</v>
      </c>
      <c r="J8" s="4">
        <f>(E8+F8+G8+H8)/B8+I8</f>
        <v>1.6130197745306221</v>
      </c>
      <c r="K8" s="4">
        <f>(E8+F8+G8+H8)/C8+I8</f>
        <v>1.665106626331208</v>
      </c>
    </row>
    <row r="9" spans="1:14" x14ac:dyDescent="0.25">
      <c r="A9" s="1">
        <v>1984</v>
      </c>
      <c r="B9" s="2">
        <v>37820993.549999997</v>
      </c>
      <c r="C9" s="2">
        <f t="shared" si="0"/>
        <v>36383795.795099996</v>
      </c>
      <c r="E9" s="3">
        <v>17554914.23</v>
      </c>
      <c r="F9" s="3">
        <f>20360000+5566000</f>
        <v>25926000</v>
      </c>
      <c r="G9" s="3">
        <v>5568110.190000033</v>
      </c>
      <c r="H9" s="3">
        <v>0</v>
      </c>
      <c r="I9" s="6">
        <v>0.2944</v>
      </c>
      <c r="J9" s="4">
        <f t="shared" ref="J9:J35" si="1">(E9+F9+G9+H9)/B9+I9</f>
        <v>1.5912729749300847</v>
      </c>
      <c r="K9" s="4">
        <f t="shared" ref="K9:K35" si="2">(E9+F9+G9+H9)/C9+I9</f>
        <v>1.6425008055406285</v>
      </c>
    </row>
    <row r="10" spans="1:14" x14ac:dyDescent="0.25">
      <c r="A10" s="1">
        <v>1985</v>
      </c>
      <c r="B10" s="2">
        <v>34069999.649999999</v>
      </c>
      <c r="C10" s="2">
        <f t="shared" si="0"/>
        <v>32775339.663299996</v>
      </c>
      <c r="E10" s="3">
        <v>18937529.739999995</v>
      </c>
      <c r="F10" s="3">
        <f>18076000+3919000</f>
        <v>21995000</v>
      </c>
      <c r="G10" s="3">
        <v>0</v>
      </c>
      <c r="H10" s="3">
        <v>0</v>
      </c>
      <c r="I10" s="6">
        <v>0.29441000000000001</v>
      </c>
      <c r="J10" s="4">
        <f t="shared" si="1"/>
        <v>1.4958344250219708</v>
      </c>
      <c r="K10" s="4">
        <f t="shared" si="2"/>
        <v>1.5432919386922774</v>
      </c>
    </row>
    <row r="11" spans="1:14" x14ac:dyDescent="0.25">
      <c r="A11" s="1">
        <v>1986</v>
      </c>
      <c r="B11" s="2">
        <v>27368998.349999998</v>
      </c>
      <c r="C11" s="2">
        <f t="shared" si="0"/>
        <v>26328976.412699997</v>
      </c>
      <c r="E11" s="3">
        <v>30283523.539999999</v>
      </c>
      <c r="F11" s="3">
        <f>16236000-62000</f>
        <v>16174000</v>
      </c>
      <c r="G11" s="3">
        <v>0</v>
      </c>
      <c r="H11" s="3">
        <v>0</v>
      </c>
      <c r="I11" s="6">
        <v>0.29441000000000001</v>
      </c>
      <c r="J11" s="4">
        <f t="shared" si="1"/>
        <v>1.9918606317656307</v>
      </c>
      <c r="K11" s="4">
        <f t="shared" si="2"/>
        <v>2.058911696222069</v>
      </c>
    </row>
    <row r="12" spans="1:14" x14ac:dyDescent="0.25">
      <c r="A12" s="1">
        <v>1987</v>
      </c>
      <c r="B12" s="2">
        <v>23591997.149999999</v>
      </c>
      <c r="C12" s="2">
        <f t="shared" si="0"/>
        <v>22695501.258299999</v>
      </c>
      <c r="E12" s="3">
        <v>25225801.090000004</v>
      </c>
      <c r="F12" s="3">
        <v>14038000</v>
      </c>
      <c r="G12" s="3">
        <v>0</v>
      </c>
      <c r="H12" s="3">
        <v>0</v>
      </c>
      <c r="I12" s="6">
        <v>0.36060999999999999</v>
      </c>
      <c r="J12" s="4">
        <f t="shared" si="1"/>
        <v>2.0248947504752266</v>
      </c>
      <c r="K12" s="4">
        <f t="shared" si="2"/>
        <v>2.0906357281447261</v>
      </c>
    </row>
    <row r="13" spans="1:14" x14ac:dyDescent="0.25">
      <c r="A13" s="1">
        <v>1988</v>
      </c>
      <c r="B13" s="2">
        <v>26008993.350000001</v>
      </c>
      <c r="C13" s="2">
        <f t="shared" si="0"/>
        <v>25020651.602699999</v>
      </c>
      <c r="E13" s="3">
        <v>23700697.41</v>
      </c>
      <c r="F13" s="3">
        <v>13255000</v>
      </c>
      <c r="G13" s="3">
        <v>0</v>
      </c>
      <c r="H13" s="3">
        <v>0</v>
      </c>
      <c r="I13" s="6">
        <v>0.28720000000000001</v>
      </c>
      <c r="J13" s="4">
        <f t="shared" si="1"/>
        <v>1.7080814971302991</v>
      </c>
      <c r="K13" s="4">
        <f t="shared" si="2"/>
        <v>1.7642077932747395</v>
      </c>
    </row>
    <row r="14" spans="1:14" x14ac:dyDescent="0.25">
      <c r="A14" s="1">
        <v>1989</v>
      </c>
      <c r="B14" s="2">
        <v>24293001.449999999</v>
      </c>
      <c r="C14" s="2">
        <f t="shared" si="0"/>
        <v>23369867.394899998</v>
      </c>
      <c r="E14" s="3">
        <v>20284206.210000001</v>
      </c>
      <c r="F14" s="3">
        <v>11639000</v>
      </c>
      <c r="G14" s="3">
        <v>0</v>
      </c>
      <c r="H14" s="3">
        <v>0</v>
      </c>
      <c r="I14" s="6">
        <v>0.27839999999999998</v>
      </c>
      <c r="J14" s="4">
        <f t="shared" si="1"/>
        <v>1.5924906559325136</v>
      </c>
      <c r="K14" s="4">
        <f t="shared" si="2"/>
        <v>1.6443986028404507</v>
      </c>
    </row>
    <row r="15" spans="1:14" x14ac:dyDescent="0.25">
      <c r="A15" s="1">
        <v>1990</v>
      </c>
      <c r="B15" s="2">
        <v>26213995.200000003</v>
      </c>
      <c r="C15" s="2">
        <f t="shared" si="0"/>
        <v>25217863.382400002</v>
      </c>
      <c r="E15" s="3">
        <v>24541966.349999998</v>
      </c>
      <c r="F15" s="3">
        <v>10662000</v>
      </c>
      <c r="G15" s="3">
        <v>0</v>
      </c>
      <c r="H15" s="3">
        <v>0</v>
      </c>
      <c r="I15" s="6">
        <v>0.24579999999999999</v>
      </c>
      <c r="J15" s="4">
        <f t="shared" si="1"/>
        <v>1.5887454793674485</v>
      </c>
      <c r="K15" s="4">
        <f t="shared" si="2"/>
        <v>1.6417932217956843</v>
      </c>
    </row>
    <row r="16" spans="1:14" x14ac:dyDescent="0.25">
      <c r="A16" s="1">
        <v>1991</v>
      </c>
      <c r="B16" s="5">
        <v>34580997.299999997</v>
      </c>
      <c r="C16" s="2">
        <f t="shared" si="0"/>
        <v>33266919.402599998</v>
      </c>
      <c r="E16" s="3">
        <v>34313401.889999993</v>
      </c>
      <c r="F16" s="3">
        <v>12458000</v>
      </c>
      <c r="G16" s="3">
        <v>0</v>
      </c>
      <c r="H16" s="3">
        <v>0</v>
      </c>
      <c r="I16" s="6">
        <v>0.27939999999999998</v>
      </c>
      <c r="J16" s="4">
        <f t="shared" si="1"/>
        <v>1.6319174385297441</v>
      </c>
      <c r="K16" s="4">
        <f t="shared" si="2"/>
        <v>1.6853432832949524</v>
      </c>
    </row>
    <row r="17" spans="1:11" x14ac:dyDescent="0.25">
      <c r="A17" s="1">
        <v>1992</v>
      </c>
      <c r="B17" s="5">
        <v>33882996.299999997</v>
      </c>
      <c r="C17" s="2">
        <f t="shared" si="0"/>
        <v>32595442.440599997</v>
      </c>
      <c r="E17" s="3">
        <v>46558463.700000003</v>
      </c>
      <c r="F17" s="3">
        <v>9664000</v>
      </c>
      <c r="G17" s="3">
        <v>0</v>
      </c>
      <c r="H17" s="3">
        <v>0</v>
      </c>
      <c r="I17" s="6">
        <v>0.28064</v>
      </c>
      <c r="J17" s="4">
        <f t="shared" si="1"/>
        <v>1.9399520396498113</v>
      </c>
      <c r="K17" s="4">
        <f t="shared" si="2"/>
        <v>2.005496590072569</v>
      </c>
    </row>
    <row r="18" spans="1:11" x14ac:dyDescent="0.25">
      <c r="A18" s="1">
        <v>1993</v>
      </c>
      <c r="B18" s="5">
        <v>47120999.549999997</v>
      </c>
      <c r="C18" s="2">
        <f t="shared" si="0"/>
        <v>45330401.567099996</v>
      </c>
      <c r="E18" s="3">
        <v>63808650.210000001</v>
      </c>
      <c r="F18" s="3">
        <v>9656000</v>
      </c>
      <c r="G18" s="3">
        <v>-12689952</v>
      </c>
      <c r="H18" s="3">
        <v>0</v>
      </c>
      <c r="I18" s="6">
        <v>0.28189999999999998</v>
      </c>
      <c r="J18" s="4">
        <f t="shared" si="1"/>
        <v>1.5716582561998096</v>
      </c>
      <c r="K18" s="4">
        <f t="shared" si="2"/>
        <v>1.6226050480247503</v>
      </c>
    </row>
    <row r="19" spans="1:11" x14ac:dyDescent="0.25">
      <c r="A19" s="1">
        <v>1994</v>
      </c>
      <c r="B19" s="5">
        <v>47276415</v>
      </c>
      <c r="C19" s="2">
        <f t="shared" si="0"/>
        <v>45479911.229999997</v>
      </c>
      <c r="E19" s="3">
        <v>80264547.260000005</v>
      </c>
      <c r="F19" s="3">
        <v>7722000</v>
      </c>
      <c r="G19" s="3">
        <v>-410868.12</v>
      </c>
      <c r="H19" s="3">
        <v>0</v>
      </c>
      <c r="I19" s="6"/>
      <c r="J19" s="4">
        <f t="shared" si="1"/>
        <v>1.8524179369353619</v>
      </c>
      <c r="K19" s="4">
        <f t="shared" si="2"/>
        <v>1.92559037103468</v>
      </c>
    </row>
    <row r="20" spans="1:11" x14ac:dyDescent="0.25">
      <c r="A20" s="1">
        <v>1995</v>
      </c>
      <c r="B20" s="5">
        <v>49990034.999999993</v>
      </c>
      <c r="C20" s="2">
        <f t="shared" si="0"/>
        <v>48090413.669999994</v>
      </c>
      <c r="E20" s="3">
        <v>76643528.299999982</v>
      </c>
      <c r="F20" s="3">
        <v>8122000</v>
      </c>
      <c r="G20" s="3">
        <v>768735.12999999989</v>
      </c>
      <c r="H20" s="3">
        <v>1207534.8800000001</v>
      </c>
      <c r="I20" s="6"/>
      <c r="J20" s="4">
        <f t="shared" si="1"/>
        <v>1.7351817879303342</v>
      </c>
      <c r="K20" s="4">
        <f t="shared" si="2"/>
        <v>1.8037232722768546</v>
      </c>
    </row>
    <row r="21" spans="1:11" x14ac:dyDescent="0.25">
      <c r="A21" s="1">
        <v>1996</v>
      </c>
      <c r="B21" s="5">
        <v>47625735</v>
      </c>
      <c r="C21" s="2">
        <f t="shared" si="0"/>
        <v>45815957.07</v>
      </c>
      <c r="E21" s="3">
        <v>72572208.350000009</v>
      </c>
      <c r="F21" s="3">
        <v>7957000</v>
      </c>
      <c r="G21" s="3">
        <v>12376672.57</v>
      </c>
      <c r="H21" s="3">
        <v>1085740.6399999999</v>
      </c>
      <c r="I21" s="6"/>
      <c r="J21" s="4">
        <f t="shared" si="1"/>
        <v>1.9735468977014217</v>
      </c>
      <c r="K21" s="4">
        <f t="shared" si="2"/>
        <v>2.0515040516646796</v>
      </c>
    </row>
    <row r="22" spans="1:11" x14ac:dyDescent="0.25">
      <c r="A22" s="1">
        <v>1997</v>
      </c>
      <c r="B22" s="5">
        <v>46503000</v>
      </c>
      <c r="C22" s="2">
        <f t="shared" si="0"/>
        <v>44735886</v>
      </c>
      <c r="E22" s="3">
        <v>71108278.930000007</v>
      </c>
      <c r="F22" s="3">
        <v>7920000</v>
      </c>
      <c r="G22" s="3">
        <v>-47951.399999999965</v>
      </c>
      <c r="H22" s="3">
        <v>971164.55999999994</v>
      </c>
      <c r="I22" s="6"/>
      <c r="J22" s="4">
        <f t="shared" si="1"/>
        <v>1.7192760056340453</v>
      </c>
      <c r="K22" s="4">
        <f t="shared" si="2"/>
        <v>1.787189195045785</v>
      </c>
    </row>
    <row r="23" spans="1:11" x14ac:dyDescent="0.25">
      <c r="A23" s="1">
        <v>1998</v>
      </c>
      <c r="B23" s="5">
        <v>47764000</v>
      </c>
      <c r="C23" s="2">
        <f t="shared" si="0"/>
        <v>45948968</v>
      </c>
      <c r="E23" s="3">
        <v>75377463.309999987</v>
      </c>
      <c r="F23" s="3">
        <v>6641000</v>
      </c>
      <c r="G23" s="3">
        <v>0</v>
      </c>
      <c r="H23" s="3">
        <v>445957.62</v>
      </c>
      <c r="I23" s="6"/>
      <c r="J23" s="4">
        <f t="shared" si="1"/>
        <v>1.7264973815007116</v>
      </c>
      <c r="K23" s="4">
        <f t="shared" si="2"/>
        <v>1.7946958227658125</v>
      </c>
    </row>
    <row r="24" spans="1:11" x14ac:dyDescent="0.25">
      <c r="A24" s="1">
        <v>1999</v>
      </c>
      <c r="B24" s="5">
        <v>48895000</v>
      </c>
      <c r="C24" s="2">
        <f t="shared" si="0"/>
        <v>47036990</v>
      </c>
      <c r="E24" s="3">
        <v>75321893.430000007</v>
      </c>
      <c r="F24" s="3">
        <v>4673000</v>
      </c>
      <c r="G24" s="3">
        <v>0</v>
      </c>
      <c r="H24" s="3">
        <v>1155622.0900000001</v>
      </c>
      <c r="I24" s="6"/>
      <c r="J24" s="4">
        <f t="shared" si="1"/>
        <v>1.6596894471827388</v>
      </c>
      <c r="K24" s="4">
        <f t="shared" si="2"/>
        <v>1.7252489055953626</v>
      </c>
    </row>
    <row r="25" spans="1:11" x14ac:dyDescent="0.25">
      <c r="A25" s="1">
        <v>2000</v>
      </c>
      <c r="B25" s="5">
        <v>52781000</v>
      </c>
      <c r="C25" s="2">
        <f t="shared" si="0"/>
        <v>50775322</v>
      </c>
      <c r="E25" s="3">
        <v>86683811.890000015</v>
      </c>
      <c r="F25" s="3">
        <v>5453000</v>
      </c>
      <c r="G25" s="3">
        <v>0</v>
      </c>
      <c r="H25" s="3">
        <v>957849.26</v>
      </c>
      <c r="I25" s="6"/>
      <c r="J25" s="4">
        <f t="shared" si="1"/>
        <v>1.7637911587503083</v>
      </c>
      <c r="K25" s="4">
        <f t="shared" si="2"/>
        <v>1.8334627429836885</v>
      </c>
    </row>
    <row r="26" spans="1:11" x14ac:dyDescent="0.25">
      <c r="A26" s="1">
        <v>2001</v>
      </c>
      <c r="B26" s="5">
        <v>48475000</v>
      </c>
      <c r="C26" s="2">
        <f t="shared" si="0"/>
        <v>46632950</v>
      </c>
      <c r="E26" s="3">
        <v>109131445.65000001</v>
      </c>
      <c r="F26" s="3">
        <v>4275000</v>
      </c>
      <c r="G26" s="3">
        <v>0</v>
      </c>
      <c r="H26" s="3">
        <v>766289.3600000001</v>
      </c>
      <c r="I26" s="6"/>
      <c r="J26" s="4">
        <f t="shared" si="1"/>
        <v>2.3552910780814855</v>
      </c>
      <c r="K26" s="4">
        <f t="shared" si="2"/>
        <v>2.4483275239932283</v>
      </c>
    </row>
    <row r="27" spans="1:11" x14ac:dyDescent="0.25">
      <c r="A27" s="1">
        <v>2002</v>
      </c>
      <c r="B27" s="5">
        <v>52970000</v>
      </c>
      <c r="C27" s="2">
        <f t="shared" si="0"/>
        <v>50957140</v>
      </c>
      <c r="E27" s="3">
        <v>107377187.77000001</v>
      </c>
      <c r="F27" s="3">
        <v>4094000</v>
      </c>
      <c r="G27" s="3">
        <v>0</v>
      </c>
      <c r="H27" s="3">
        <v>835640.17999999993</v>
      </c>
      <c r="I27" s="6"/>
      <c r="J27" s="4">
        <f t="shared" si="1"/>
        <v>2.1201968652067209</v>
      </c>
      <c r="K27" s="4">
        <f t="shared" si="2"/>
        <v>2.2039468453292321</v>
      </c>
    </row>
    <row r="28" spans="1:11" x14ac:dyDescent="0.25">
      <c r="A28" s="1">
        <v>2003</v>
      </c>
      <c r="B28" s="5">
        <v>51885000</v>
      </c>
      <c r="C28" s="2">
        <f t="shared" si="0"/>
        <v>49913370</v>
      </c>
      <c r="E28" s="3">
        <v>126100720.93999998</v>
      </c>
      <c r="F28" s="3">
        <v>4414000</v>
      </c>
      <c r="G28" s="3">
        <v>0</v>
      </c>
      <c r="H28" s="3">
        <v>1450129.7100000004</v>
      </c>
      <c r="I28" s="6"/>
      <c r="J28" s="4">
        <f t="shared" si="1"/>
        <v>2.5434104394333619</v>
      </c>
      <c r="K28" s="4">
        <f t="shared" si="2"/>
        <v>2.6438777956687751</v>
      </c>
    </row>
    <row r="29" spans="1:11" x14ac:dyDescent="0.25">
      <c r="A29" s="1">
        <v>2004</v>
      </c>
      <c r="B29" s="5">
        <v>49694000</v>
      </c>
      <c r="C29" s="2">
        <f t="shared" si="0"/>
        <v>47805628</v>
      </c>
      <c r="E29" s="3">
        <v>134316468.56</v>
      </c>
      <c r="F29" s="3">
        <v>3090000</v>
      </c>
      <c r="G29" s="3">
        <v>0</v>
      </c>
      <c r="H29" s="3">
        <v>814326.25</v>
      </c>
      <c r="I29" s="6"/>
      <c r="J29" s="4">
        <f t="shared" si="1"/>
        <v>2.7814382985873545</v>
      </c>
      <c r="K29" s="4">
        <f t="shared" si="2"/>
        <v>2.8913080026895579</v>
      </c>
    </row>
    <row r="30" spans="1:11" x14ac:dyDescent="0.25">
      <c r="A30" s="1">
        <v>2005</v>
      </c>
      <c r="B30" s="5">
        <v>49481000</v>
      </c>
      <c r="C30" s="2">
        <f t="shared" si="0"/>
        <v>47600722</v>
      </c>
      <c r="E30" s="3">
        <v>151192986.81999999</v>
      </c>
      <c r="F30" s="3">
        <v>2758000</v>
      </c>
      <c r="G30" s="3">
        <v>0</v>
      </c>
      <c r="H30" s="3">
        <v>815680.04</v>
      </c>
      <c r="I30" s="6"/>
      <c r="J30" s="4">
        <f t="shared" si="1"/>
        <v>3.1277999001636987</v>
      </c>
      <c r="K30" s="4">
        <f t="shared" si="2"/>
        <v>3.2513512475714124</v>
      </c>
    </row>
    <row r="31" spans="1:11" x14ac:dyDescent="0.25">
      <c r="A31" s="1">
        <v>2006</v>
      </c>
      <c r="B31" s="5">
        <v>48701000</v>
      </c>
      <c r="C31" s="2">
        <f t="shared" si="0"/>
        <v>46850362</v>
      </c>
      <c r="E31" s="3">
        <v>174240217.77000001</v>
      </c>
      <c r="F31" s="3">
        <v>2528000</v>
      </c>
      <c r="G31" s="3">
        <v>0</v>
      </c>
      <c r="H31" s="3">
        <v>865848.64999999991</v>
      </c>
      <c r="I31" s="6"/>
      <c r="J31" s="4">
        <f t="shared" si="1"/>
        <v>3.6474418681341247</v>
      </c>
      <c r="K31" s="4">
        <f t="shared" si="2"/>
        <v>3.7915196134450362</v>
      </c>
    </row>
    <row r="32" spans="1:11" x14ac:dyDescent="0.25">
      <c r="A32" s="1">
        <v>2007</v>
      </c>
      <c r="B32" s="5">
        <v>39670000</v>
      </c>
      <c r="C32" s="2">
        <f t="shared" si="0"/>
        <v>38162540</v>
      </c>
      <c r="E32" s="3">
        <v>170645639.54999998</v>
      </c>
      <c r="F32" s="3">
        <v>2513000</v>
      </c>
      <c r="G32" s="3">
        <v>0</v>
      </c>
      <c r="H32" s="3">
        <v>519693.99999999988</v>
      </c>
      <c r="I32" s="6"/>
      <c r="J32" s="4">
        <f t="shared" si="1"/>
        <v>4.3780774779430294</v>
      </c>
      <c r="K32" s="4">
        <f t="shared" si="2"/>
        <v>4.5510160893378684</v>
      </c>
    </row>
    <row r="33" spans="1:14" x14ac:dyDescent="0.25">
      <c r="A33" s="1">
        <v>2008</v>
      </c>
      <c r="B33" s="5">
        <v>55576000</v>
      </c>
      <c r="C33" s="2">
        <f t="shared" si="0"/>
        <v>53464112</v>
      </c>
      <c r="E33" s="3">
        <v>244028914.49999997</v>
      </c>
      <c r="F33" s="3">
        <v>1861000</v>
      </c>
      <c r="G33" s="3">
        <v>0</v>
      </c>
      <c r="H33" s="3">
        <v>1735022.2</v>
      </c>
      <c r="I33" s="6"/>
      <c r="J33" s="4">
        <f t="shared" si="1"/>
        <v>4.4556091964157183</v>
      </c>
      <c r="K33" s="4">
        <f t="shared" si="2"/>
        <v>4.6316103912845303</v>
      </c>
    </row>
    <row r="34" spans="1:14" x14ac:dyDescent="0.25">
      <c r="A34" s="1">
        <v>2009</v>
      </c>
      <c r="B34" s="5">
        <v>58432000</v>
      </c>
      <c r="C34" s="2">
        <f t="shared" si="0"/>
        <v>56211584</v>
      </c>
      <c r="E34" s="3">
        <v>254565657.51000005</v>
      </c>
      <c r="F34" s="3">
        <v>1926000</v>
      </c>
      <c r="G34" s="3">
        <v>0</v>
      </c>
      <c r="H34" s="3">
        <v>1642923.7999999998</v>
      </c>
      <c r="I34" s="6"/>
      <c r="J34" s="4">
        <f t="shared" si="1"/>
        <v>4.417692040491513</v>
      </c>
      <c r="K34" s="4">
        <f t="shared" si="2"/>
        <v>4.5921954682863957</v>
      </c>
    </row>
    <row r="35" spans="1:14" x14ac:dyDescent="0.25">
      <c r="A35" s="1">
        <v>2010</v>
      </c>
      <c r="B35" s="2">
        <v>60422000</v>
      </c>
      <c r="C35" s="2">
        <f t="shared" si="0"/>
        <v>58125964</v>
      </c>
      <c r="E35" s="3">
        <v>271944089.37000006</v>
      </c>
      <c r="F35" s="3">
        <v>1878000</v>
      </c>
      <c r="G35" s="3">
        <v>0</v>
      </c>
      <c r="H35" s="3">
        <v>1668764.2</v>
      </c>
      <c r="I35" s="6"/>
      <c r="J35" s="4">
        <f t="shared" si="1"/>
        <v>4.5594461217768369</v>
      </c>
      <c r="K35" s="4">
        <f t="shared" si="2"/>
        <v>4.7395489831360056</v>
      </c>
    </row>
    <row r="36" spans="1:14" x14ac:dyDescent="0.25">
      <c r="A36" s="1">
        <v>2011</v>
      </c>
      <c r="B36" s="5">
        <v>61306000</v>
      </c>
      <c r="C36" s="2">
        <v>62400137</v>
      </c>
      <c r="D36" s="2"/>
      <c r="E36" s="3">
        <v>287503117.31</v>
      </c>
      <c r="F36" s="3">
        <v>1751000</v>
      </c>
      <c r="G36" s="3">
        <v>0</v>
      </c>
      <c r="H36" s="3">
        <v>1420779.4000000001</v>
      </c>
      <c r="I36" s="6"/>
      <c r="J36" s="4">
        <f t="shared" ref="J36:J40" si="3">(E36+F36+G36+H36)/B36+I36</f>
        <v>4.7413776255178934</v>
      </c>
      <c r="K36" s="4">
        <f t="shared" ref="K36:K39" si="4">(E36+F36+G36+H36)/C36+I36</f>
        <v>4.6582413226111985</v>
      </c>
      <c r="M36" s="4"/>
      <c r="N36" s="4"/>
    </row>
    <row r="37" spans="1:14" x14ac:dyDescent="0.25">
      <c r="A37" s="1">
        <v>2012</v>
      </c>
      <c r="B37" s="2">
        <v>70015000</v>
      </c>
      <c r="C37" s="2">
        <v>70303457</v>
      </c>
      <c r="D37" s="2"/>
      <c r="E37" s="3">
        <v>296425066</v>
      </c>
      <c r="F37" s="7">
        <f>736000+843000+0</f>
        <v>1579000</v>
      </c>
      <c r="G37" s="3">
        <v>0</v>
      </c>
      <c r="H37" s="7">
        <v>997893</v>
      </c>
      <c r="I37" s="8"/>
      <c r="J37" s="4">
        <f t="shared" si="3"/>
        <v>4.27054144111976</v>
      </c>
      <c r="K37" s="4">
        <f t="shared" si="4"/>
        <v>4.2530192932048845</v>
      </c>
      <c r="M37" s="4"/>
      <c r="N37" s="4"/>
    </row>
    <row r="38" spans="1:14" x14ac:dyDescent="0.25">
      <c r="A38" s="1">
        <v>2013</v>
      </c>
      <c r="B38" s="2">
        <v>71916000</v>
      </c>
      <c r="C38" s="2">
        <v>71496292</v>
      </c>
      <c r="D38" s="2"/>
      <c r="E38" s="3">
        <v>329353628.45999998</v>
      </c>
      <c r="F38" s="7">
        <f>627000+772000+0</f>
        <v>1399000</v>
      </c>
      <c r="G38" s="3">
        <v>0</v>
      </c>
      <c r="H38" s="7">
        <v>1069555.2</v>
      </c>
      <c r="I38" s="8"/>
      <c r="J38" s="4">
        <f t="shared" si="3"/>
        <v>4.6140244682685347</v>
      </c>
      <c r="K38" s="4">
        <f t="shared" si="4"/>
        <v>4.6411103901724013</v>
      </c>
      <c r="M38" s="4"/>
      <c r="N38" s="4"/>
    </row>
    <row r="39" spans="1:14" x14ac:dyDescent="0.25">
      <c r="A39" s="1">
        <v>2014</v>
      </c>
      <c r="B39" s="2">
        <v>79419000</v>
      </c>
      <c r="C39" s="2">
        <v>77242815</v>
      </c>
      <c r="D39" s="2"/>
      <c r="E39" s="7">
        <f>400440234-F39-H39</f>
        <v>398023092</v>
      </c>
      <c r="F39" s="7">
        <f>755000+662000</f>
        <v>1417000</v>
      </c>
      <c r="G39" s="3">
        <v>0</v>
      </c>
      <c r="H39" s="7">
        <v>1000142</v>
      </c>
      <c r="I39" s="7"/>
      <c r="J39" s="4">
        <f t="shared" si="3"/>
        <v>5.0421213311676043</v>
      </c>
      <c r="K39" s="4">
        <f t="shared" si="4"/>
        <v>5.1841745280774658</v>
      </c>
      <c r="M39" s="4"/>
      <c r="N39" s="4"/>
    </row>
    <row r="40" spans="1:14" x14ac:dyDescent="0.25">
      <c r="A40" s="1">
        <v>2015</v>
      </c>
      <c r="B40" s="2">
        <f>SUM(B66:B77)</f>
        <v>69703498</v>
      </c>
      <c r="C40" s="2">
        <f>SUM(C66:C77)</f>
        <v>69041467</v>
      </c>
      <c r="D40" s="2"/>
      <c r="E40" s="7">
        <v>353384489.92000002</v>
      </c>
      <c r="F40" s="7">
        <v>1208059.7304175</v>
      </c>
      <c r="G40" s="3">
        <v>0</v>
      </c>
      <c r="H40" s="7">
        <v>1022023.4</v>
      </c>
      <c r="I40" s="8"/>
      <c r="J40" s="4">
        <f t="shared" si="3"/>
        <v>5.1018181763333814</v>
      </c>
      <c r="K40" s="4">
        <f t="shared" ref="K40:K43" si="5">(E40+F40+G40+H40)/C40+I40</f>
        <v>5.1507389472245348</v>
      </c>
      <c r="M40" s="4"/>
      <c r="N40" s="4"/>
    </row>
    <row r="41" spans="1:14" x14ac:dyDescent="0.25">
      <c r="A41" s="1">
        <v>2016</v>
      </c>
      <c r="B41" s="2"/>
      <c r="C41" s="2">
        <f>SUM(C78:C89)</f>
        <v>67619722</v>
      </c>
      <c r="D41" s="2"/>
      <c r="E41" s="7">
        <v>330275776.74000007</v>
      </c>
      <c r="F41" s="7">
        <v>1365185.3699999999</v>
      </c>
      <c r="G41" s="3">
        <v>0</v>
      </c>
      <c r="H41" s="7">
        <v>1257615.8400000001</v>
      </c>
      <c r="I41" s="8"/>
      <c r="J41" s="4"/>
      <c r="K41" s="4">
        <f t="shared" si="5"/>
        <v>4.923098884523661</v>
      </c>
    </row>
    <row r="42" spans="1:14" x14ac:dyDescent="0.25">
      <c r="A42" s="1">
        <v>2017</v>
      </c>
      <c r="C42" s="12">
        <f>SUM(C90:C101)</f>
        <v>68021853</v>
      </c>
      <c r="E42" s="7">
        <v>330598349.46000004</v>
      </c>
      <c r="F42" s="7">
        <v>1110727.2614070831</v>
      </c>
      <c r="G42" s="3">
        <v>0</v>
      </c>
      <c r="H42" s="7">
        <v>1156212.8799999999</v>
      </c>
      <c r="K42" s="4">
        <f t="shared" si="5"/>
        <v>4.8935051740123443</v>
      </c>
    </row>
    <row r="43" spans="1:14" x14ac:dyDescent="0.25">
      <c r="A43" s="1">
        <v>2018</v>
      </c>
      <c r="C43" s="12">
        <f>SUM(C102:C113)</f>
        <v>71570459</v>
      </c>
      <c r="E43" s="7">
        <v>279950267.29000002</v>
      </c>
      <c r="F43" s="7">
        <v>910358.11012516636</v>
      </c>
      <c r="G43" s="3">
        <v>0</v>
      </c>
      <c r="H43" s="7">
        <v>1135896.5599999998</v>
      </c>
      <c r="K43" s="4">
        <f t="shared" si="5"/>
        <v>3.9401245416090624</v>
      </c>
    </row>
    <row r="44" spans="1:14" x14ac:dyDescent="0.25">
      <c r="A44" s="1">
        <v>2019</v>
      </c>
      <c r="C44" s="12">
        <f>SUM(C114:C125)</f>
        <v>69261273</v>
      </c>
      <c r="E44" s="7">
        <v>266656235.31000003</v>
      </c>
      <c r="F44" s="7">
        <v>840292.62872824608</v>
      </c>
      <c r="G44" s="3">
        <v>0</v>
      </c>
      <c r="H44" s="7">
        <v>1014661.8099999999</v>
      </c>
      <c r="K44" s="4">
        <f t="shared" ref="K44:K48" si="6">(E44+F44+G44+H44)/C44+I44</f>
        <v>3.8767868119999509</v>
      </c>
    </row>
    <row r="45" spans="1:14" x14ac:dyDescent="0.25">
      <c r="A45" s="1">
        <v>2020</v>
      </c>
      <c r="C45" s="12">
        <f>SUM(C126:C137)</f>
        <v>61905522</v>
      </c>
      <c r="E45" s="7">
        <v>244700245.64000002</v>
      </c>
      <c r="F45" s="7">
        <v>782685.21395699715</v>
      </c>
      <c r="G45" s="3">
        <v>0</v>
      </c>
      <c r="H45" s="7">
        <v>968983.11</v>
      </c>
      <c r="K45" s="4">
        <f t="shared" si="6"/>
        <v>3.9810974207431293</v>
      </c>
    </row>
    <row r="46" spans="1:14" x14ac:dyDescent="0.25">
      <c r="A46" s="1">
        <v>2021</v>
      </c>
      <c r="C46" s="12">
        <f>SUM(C138:C149)</f>
        <v>57676406</v>
      </c>
      <c r="E46" s="7">
        <v>230603914.94000003</v>
      </c>
      <c r="F46" s="7">
        <v>713319.3561233331</v>
      </c>
      <c r="G46" s="3">
        <v>0</v>
      </c>
      <c r="H46" s="7">
        <v>969692.92999999993</v>
      </c>
      <c r="K46" s="4">
        <f t="shared" si="6"/>
        <v>4.0274168127973047</v>
      </c>
    </row>
    <row r="47" spans="1:14" x14ac:dyDescent="0.25">
      <c r="A47" s="1">
        <v>2022</v>
      </c>
      <c r="C47" s="12">
        <f>SUM(C150:C161)</f>
        <v>53730499.049999997</v>
      </c>
      <c r="E47" s="7">
        <v>255030639.47</v>
      </c>
      <c r="F47" s="7">
        <v>644582.89067666652</v>
      </c>
      <c r="G47" s="3">
        <v>0</v>
      </c>
      <c r="H47" s="7">
        <v>997546.22</v>
      </c>
      <c r="K47" s="4">
        <f t="shared" si="6"/>
        <v>4.7770404727085198</v>
      </c>
    </row>
    <row r="48" spans="1:14" x14ac:dyDescent="0.25">
      <c r="A48" s="1">
        <v>2023</v>
      </c>
      <c r="C48" s="12">
        <f>SUM(C162:C173)</f>
        <v>51142395</v>
      </c>
      <c r="E48" s="7">
        <v>251835782.13</v>
      </c>
      <c r="F48" s="7">
        <v>582619.07520600013</v>
      </c>
      <c r="G48" s="3">
        <v>0</v>
      </c>
      <c r="H48" s="7">
        <v>715050.03</v>
      </c>
      <c r="K48" s="4">
        <f t="shared" si="6"/>
        <v>4.949581481962392</v>
      </c>
    </row>
    <row r="49" spans="1:11" x14ac:dyDescent="0.25">
      <c r="A49" s="1">
        <v>2024</v>
      </c>
      <c r="C49" s="12">
        <f>SUM(C174:C185)</f>
        <v>56028668</v>
      </c>
      <c r="E49" s="7">
        <v>213577660.79999998</v>
      </c>
      <c r="F49" s="7">
        <v>543690.2518584996</v>
      </c>
      <c r="G49" s="3">
        <v>0</v>
      </c>
      <c r="H49" s="7">
        <v>850601.14999999991</v>
      </c>
      <c r="K49" s="4">
        <f>(E49+F49+G49+H49)/C49+I49</f>
        <v>3.8368206826165934</v>
      </c>
    </row>
    <row r="50" spans="1:11" x14ac:dyDescent="0.25">
      <c r="A50" s="1">
        <v>2025</v>
      </c>
      <c r="C50" s="12">
        <f>SUM(C186:C197)</f>
        <v>49484473.609999999</v>
      </c>
      <c r="E50" s="7">
        <v>215695944.90999997</v>
      </c>
      <c r="F50" s="7">
        <v>545042.59962949983</v>
      </c>
      <c r="G50" s="3">
        <v>0</v>
      </c>
      <c r="H50" s="7">
        <v>721974.83</v>
      </c>
      <c r="K50" s="4">
        <f>(E50+F50+G50+H50)/C50+I50</f>
        <v>4.3844653991789624</v>
      </c>
    </row>
    <row r="51" spans="1:11" x14ac:dyDescent="0.25">
      <c r="A51" s="1"/>
      <c r="C51" s="12"/>
      <c r="E51" s="7"/>
      <c r="F51" s="7"/>
      <c r="G51" s="3"/>
      <c r="H51" s="7"/>
      <c r="K51" s="4"/>
    </row>
    <row r="53" spans="1:11" x14ac:dyDescent="0.25">
      <c r="B53" t="s">
        <v>59</v>
      </c>
      <c r="D53" s="24"/>
    </row>
    <row r="54" spans="1:11" x14ac:dyDescent="0.25">
      <c r="A54" s="40">
        <v>41670</v>
      </c>
      <c r="B54" s="2">
        <v>7794954</v>
      </c>
      <c r="C54" s="2">
        <v>7313062</v>
      </c>
      <c r="D54" s="15">
        <f>Summary!B99</f>
        <v>4.6100000000000003</v>
      </c>
      <c r="E54" s="14">
        <f>Summary!E99</f>
        <v>4.7869944111949003</v>
      </c>
    </row>
    <row r="55" spans="1:11" x14ac:dyDescent="0.25">
      <c r="A55" s="40">
        <v>41698</v>
      </c>
      <c r="B55" s="2">
        <v>7208864</v>
      </c>
      <c r="C55" s="2">
        <v>6814213</v>
      </c>
      <c r="D55" s="15">
        <f>Summary!B100</f>
        <v>4.6050886235694932</v>
      </c>
      <c r="E55" s="14">
        <f>Summary!E100</f>
        <v>4.7869944111949003</v>
      </c>
    </row>
    <row r="56" spans="1:11" x14ac:dyDescent="0.25">
      <c r="A56" s="40">
        <v>41729</v>
      </c>
      <c r="B56" s="2">
        <v>7312487</v>
      </c>
      <c r="C56" s="2">
        <v>6961380</v>
      </c>
      <c r="D56" s="15">
        <f>Summary!B101</f>
        <v>4.6318469855621709</v>
      </c>
      <c r="E56" s="14">
        <f>Summary!E101</f>
        <v>4.8148239226666192</v>
      </c>
    </row>
    <row r="57" spans="1:11" x14ac:dyDescent="0.25">
      <c r="A57" s="40">
        <v>41759</v>
      </c>
      <c r="B57" s="2">
        <v>7008662</v>
      </c>
      <c r="C57" s="2">
        <v>6829676</v>
      </c>
      <c r="D57" s="15">
        <f>Summary!B102</f>
        <v>4.6330086054338091</v>
      </c>
      <c r="E57" s="14">
        <f>Summary!E102</f>
        <v>4.816015418519024</v>
      </c>
    </row>
    <row r="58" spans="1:11" x14ac:dyDescent="0.25">
      <c r="A58" s="40">
        <v>41790</v>
      </c>
      <c r="B58" s="2">
        <v>7172686</v>
      </c>
      <c r="C58" s="2">
        <v>6926787</v>
      </c>
      <c r="D58" s="15">
        <f>Summary!B103</f>
        <v>4.6675412736153721</v>
      </c>
      <c r="E58" s="14">
        <f>Summary!E103</f>
        <v>4.8519121803554288</v>
      </c>
    </row>
    <row r="59" spans="1:11" x14ac:dyDescent="0.25">
      <c r="A59" s="40">
        <v>41820</v>
      </c>
      <c r="B59" s="2">
        <v>6895885</v>
      </c>
      <c r="C59" s="2">
        <v>6554717</v>
      </c>
      <c r="D59" s="15">
        <f>Summary!B104</f>
        <v>4.7016486779768014</v>
      </c>
      <c r="E59" s="14">
        <f>Summary!E104</f>
        <v>4.8873668808995934</v>
      </c>
    </row>
    <row r="60" spans="1:11" x14ac:dyDescent="0.25">
      <c r="A60" s="40">
        <v>41851</v>
      </c>
      <c r="B60" s="2">
        <v>5597109</v>
      </c>
      <c r="C60" s="2">
        <v>5510197</v>
      </c>
      <c r="D60" s="15">
        <f>Summary!B105</f>
        <v>4.7010600350820582</v>
      </c>
      <c r="E60" s="14">
        <f>Summary!E105</f>
        <v>4.8867567932245937</v>
      </c>
    </row>
    <row r="61" spans="1:11" x14ac:dyDescent="0.25">
      <c r="A61" s="40">
        <v>41882</v>
      </c>
      <c r="B61" s="2">
        <v>6155330</v>
      </c>
      <c r="C61" s="2">
        <v>5825104</v>
      </c>
      <c r="D61" s="15">
        <f>Summary!B106</f>
        <v>4.6793226079431784</v>
      </c>
      <c r="E61" s="14">
        <f>Summary!E106</f>
        <v>4.8641607151176496</v>
      </c>
    </row>
    <row r="62" spans="1:11" x14ac:dyDescent="0.25">
      <c r="A62" s="40">
        <v>41912</v>
      </c>
      <c r="B62" s="2">
        <v>5702899</v>
      </c>
      <c r="C62" s="2">
        <v>5536113</v>
      </c>
      <c r="D62" s="15">
        <f>Summary!B107</f>
        <v>4.7</v>
      </c>
      <c r="E62" s="14">
        <f>Summary!E107</f>
        <v>4.8886956749664217</v>
      </c>
    </row>
    <row r="63" spans="1:11" x14ac:dyDescent="0.25">
      <c r="A63" s="40">
        <v>41943</v>
      </c>
      <c r="B63" s="2">
        <v>5999003</v>
      </c>
      <c r="C63" s="2">
        <v>5830421</v>
      </c>
      <c r="D63" s="15">
        <f>Summary!B108</f>
        <v>4.75</v>
      </c>
      <c r="E63" s="14">
        <f>Summary!E108</f>
        <v>4.934453141227733</v>
      </c>
    </row>
    <row r="64" spans="1:11" x14ac:dyDescent="0.25">
      <c r="A64" s="40">
        <v>41973</v>
      </c>
      <c r="B64" s="2">
        <v>6286047</v>
      </c>
      <c r="C64" s="2">
        <v>6584982</v>
      </c>
      <c r="D64" s="15">
        <f>Summary!B109</f>
        <v>4.76</v>
      </c>
      <c r="E64" s="14">
        <f>Summary!E109</f>
        <v>4.943571214512902</v>
      </c>
    </row>
    <row r="65" spans="1:9" x14ac:dyDescent="0.25">
      <c r="A65" s="40">
        <v>42004</v>
      </c>
      <c r="B65" s="2">
        <v>6285290</v>
      </c>
      <c r="C65" s="2">
        <v>6556163</v>
      </c>
      <c r="D65" s="15">
        <f>Summary!B110</f>
        <v>5.04</v>
      </c>
      <c r="E65" s="14">
        <f>Summary!E110</f>
        <v>5.2412760550939597</v>
      </c>
    </row>
    <row r="66" spans="1:9" x14ac:dyDescent="0.25">
      <c r="A66" s="40">
        <v>42035</v>
      </c>
      <c r="B66" s="2">
        <v>6271916</v>
      </c>
      <c r="C66" s="2">
        <v>6128839</v>
      </c>
      <c r="D66" s="15">
        <f>Summary!B111</f>
        <v>5.1371806357431291</v>
      </c>
      <c r="E66" s="14">
        <f>Summary!E111</f>
        <v>5.2624738477935544</v>
      </c>
      <c r="I66" s="12"/>
    </row>
    <row r="67" spans="1:9" x14ac:dyDescent="0.25">
      <c r="A67" s="40">
        <v>42063</v>
      </c>
      <c r="B67" s="2">
        <v>5774832</v>
      </c>
      <c r="C67" s="2">
        <v>5604479</v>
      </c>
      <c r="D67" s="15">
        <f>Summary!B112</f>
        <v>5.2265190163887292</v>
      </c>
      <c r="E67" s="14">
        <f>Summary!E112</f>
        <v>5.3395810191252346</v>
      </c>
      <c r="G67" s="15"/>
      <c r="H67" s="15"/>
      <c r="I67" s="12"/>
    </row>
    <row r="68" spans="1:9" x14ac:dyDescent="0.25">
      <c r="A68" s="40">
        <v>42094</v>
      </c>
      <c r="B68" s="2">
        <v>6254406</v>
      </c>
      <c r="C68" s="2">
        <v>6068884</v>
      </c>
      <c r="D68" s="15">
        <f>Summary!B113</f>
        <v>5.2221927561189272</v>
      </c>
      <c r="E68" s="14">
        <f>Summary!E113</f>
        <v>5.3113656274763761</v>
      </c>
      <c r="G68" s="15"/>
      <c r="H68" s="15"/>
      <c r="I68" s="12"/>
    </row>
    <row r="69" spans="1:9" x14ac:dyDescent="0.25">
      <c r="A69" s="40">
        <v>42124</v>
      </c>
      <c r="B69" s="2">
        <v>5947215</v>
      </c>
      <c r="C69" s="2">
        <v>5772186</v>
      </c>
      <c r="D69" s="15">
        <f>Summary!B114</f>
        <v>5.22115382558896</v>
      </c>
      <c r="E69" s="14">
        <f>Summary!E114</f>
        <v>5.2991114529179546</v>
      </c>
      <c r="G69" s="15"/>
      <c r="H69" s="15"/>
      <c r="I69" s="12"/>
    </row>
    <row r="70" spans="1:9" x14ac:dyDescent="0.25">
      <c r="A70" s="40">
        <v>42155</v>
      </c>
      <c r="B70" s="2">
        <v>5899528</v>
      </c>
      <c r="C70" s="2">
        <v>6122045</v>
      </c>
      <c r="D70" s="15">
        <f>Summary!B115</f>
        <v>5.1980316504789998</v>
      </c>
      <c r="E70" s="14">
        <f>Summary!E115</f>
        <v>5.2667016506059516</v>
      </c>
      <c r="G70" s="15"/>
      <c r="H70" s="15"/>
      <c r="I70" s="12"/>
    </row>
    <row r="71" spans="1:9" x14ac:dyDescent="0.25">
      <c r="A71" s="40">
        <v>42185</v>
      </c>
      <c r="B71" s="2">
        <v>6122558</v>
      </c>
      <c r="C71" s="2">
        <v>6118609</v>
      </c>
      <c r="D71" s="15">
        <f>Summary!B116</f>
        <v>5.1153435128473204</v>
      </c>
      <c r="E71" s="14">
        <f>Summary!E116</f>
        <v>5.1179797336629429</v>
      </c>
      <c r="G71" s="15"/>
      <c r="H71" s="15"/>
      <c r="I71" s="12"/>
    </row>
    <row r="72" spans="1:9" x14ac:dyDescent="0.25">
      <c r="A72" s="40">
        <v>42216</v>
      </c>
      <c r="B72" s="2">
        <v>6033322</v>
      </c>
      <c r="C72" s="2">
        <v>5867454</v>
      </c>
      <c r="D72" s="15">
        <f>Summary!B117</f>
        <v>5.0559654878257225</v>
      </c>
      <c r="E72" s="14">
        <f>Summary!E117</f>
        <v>5.0411931686324394</v>
      </c>
      <c r="G72" s="15"/>
      <c r="H72" s="15"/>
      <c r="I72" s="12"/>
    </row>
    <row r="73" spans="1:9" x14ac:dyDescent="0.25">
      <c r="A73" s="40">
        <v>42247</v>
      </c>
      <c r="B73" s="2">
        <v>5784491</v>
      </c>
      <c r="C73" s="2">
        <v>5715863</v>
      </c>
      <c r="D73" s="15">
        <f>Summary!B118</f>
        <v>5.0798849201220992</v>
      </c>
      <c r="E73" s="14">
        <f>Summary!E118</f>
        <v>5.0376845327660682</v>
      </c>
      <c r="G73" s="15"/>
      <c r="H73" s="15"/>
      <c r="I73" s="12"/>
    </row>
    <row r="74" spans="1:9" x14ac:dyDescent="0.25">
      <c r="A74" s="40">
        <v>42277</v>
      </c>
      <c r="B74" s="2">
        <v>5582666</v>
      </c>
      <c r="C74" s="2">
        <v>5611137</v>
      </c>
      <c r="D74" s="15">
        <f>Summary!B119</f>
        <v>5.1164337168978573</v>
      </c>
      <c r="E74" s="14">
        <f>Summary!E119</f>
        <v>5.0451392080987558</v>
      </c>
      <c r="G74" s="15"/>
      <c r="H74" s="15"/>
      <c r="I74" s="12"/>
    </row>
    <row r="75" spans="1:9" x14ac:dyDescent="0.25">
      <c r="A75" s="40">
        <v>42308</v>
      </c>
      <c r="B75" s="2">
        <v>4623954</v>
      </c>
      <c r="C75" s="2">
        <v>4892612</v>
      </c>
      <c r="D75" s="15">
        <f>Summary!B120</f>
        <v>5.2196863374901126</v>
      </c>
      <c r="E75" s="14">
        <f>Summary!E120</f>
        <v>5.0988046506886855</v>
      </c>
      <c r="G75" s="15"/>
      <c r="H75" s="15"/>
      <c r="I75" s="12"/>
    </row>
    <row r="76" spans="1:9" x14ac:dyDescent="0.25">
      <c r="A76" s="40">
        <v>42338</v>
      </c>
      <c r="B76" s="2">
        <v>5753052</v>
      </c>
      <c r="C76" s="2">
        <v>5775080</v>
      </c>
      <c r="D76" s="15">
        <f>Summary!B121</f>
        <v>5.256547316923359</v>
      </c>
      <c r="E76" s="14">
        <f>Summary!E121</f>
        <v>5.1297251737343057</v>
      </c>
      <c r="G76" s="15"/>
      <c r="H76" s="15"/>
      <c r="I76" s="12"/>
    </row>
    <row r="77" spans="1:9" x14ac:dyDescent="0.25">
      <c r="A77" s="40">
        <v>42369</v>
      </c>
      <c r="B77" s="2">
        <v>5655558</v>
      </c>
      <c r="C77" s="2">
        <v>5364279</v>
      </c>
      <c r="D77" s="15">
        <f>Summary!B122</f>
        <v>5.244695007644812</v>
      </c>
      <c r="E77" s="14">
        <f>Summary!E122</f>
        <v>5.1507389472245348</v>
      </c>
    </row>
    <row r="78" spans="1:9" x14ac:dyDescent="0.25">
      <c r="A78" s="40">
        <v>42400</v>
      </c>
      <c r="B78" s="2">
        <v>6053949</v>
      </c>
      <c r="C78" s="2">
        <v>5824648</v>
      </c>
      <c r="D78" s="15">
        <f>Summary!B123</f>
        <v>5.2064570898669311</v>
      </c>
      <c r="E78" s="14">
        <f>Summary!E123</f>
        <v>5.1088698253101779</v>
      </c>
    </row>
    <row r="79" spans="1:9" x14ac:dyDescent="0.25">
      <c r="A79" s="40">
        <v>42429</v>
      </c>
      <c r="B79" s="2">
        <v>5428030</v>
      </c>
      <c r="C79" s="2">
        <f>4983380+174824</f>
        <v>5158204</v>
      </c>
      <c r="D79" s="15">
        <f>Summary!B124</f>
        <v>5.1576967467490134</v>
      </c>
      <c r="E79" s="14">
        <f>Summary!E124</f>
        <v>5.0630045220431894</v>
      </c>
    </row>
    <row r="80" spans="1:9" x14ac:dyDescent="0.25">
      <c r="A80" s="40">
        <v>42460</v>
      </c>
      <c r="B80" s="2">
        <v>6082713</v>
      </c>
      <c r="C80" s="2">
        <f>5580908+208796</f>
        <v>5789704</v>
      </c>
      <c r="D80" s="15">
        <f>Summary!B125</f>
        <v>4.7530703783385286</v>
      </c>
      <c r="E80" s="14">
        <f>Summary!E125</f>
        <v>5.0738958065994142</v>
      </c>
    </row>
    <row r="81" spans="1:5" x14ac:dyDescent="0.25">
      <c r="A81" s="40">
        <v>42490</v>
      </c>
      <c r="B81" s="2">
        <v>5951978</v>
      </c>
      <c r="C81" s="2">
        <f>5706482+138092</f>
        <v>5844574</v>
      </c>
      <c r="D81" s="15">
        <f>Summary!B126</f>
        <v>4.3326309840566495</v>
      </c>
      <c r="E81" s="14">
        <f>Summary!E126</f>
        <v>5.0450007310654357</v>
      </c>
    </row>
    <row r="82" spans="1:5" x14ac:dyDescent="0.25">
      <c r="A82" s="40">
        <v>42521</v>
      </c>
      <c r="B82" s="2">
        <v>5928418</v>
      </c>
      <c r="C82" s="2">
        <v>5696152</v>
      </c>
      <c r="D82" s="15">
        <f>Summary!B127</f>
        <v>3.8077023251173623</v>
      </c>
      <c r="E82" s="14">
        <f>Summary!E127</f>
        <v>5.0561003002841725</v>
      </c>
    </row>
    <row r="83" spans="1:5" x14ac:dyDescent="0.25">
      <c r="A83" s="40">
        <v>42551</v>
      </c>
      <c r="C83" s="2">
        <v>5636461</v>
      </c>
      <c r="D83" s="15">
        <f>Summary!B128</f>
        <v>3.7896722607737816</v>
      </c>
      <c r="E83" s="14">
        <f>Summary!E128</f>
        <v>5.1553882388883778</v>
      </c>
    </row>
    <row r="84" spans="1:5" x14ac:dyDescent="0.25">
      <c r="A84" s="40">
        <v>42582</v>
      </c>
      <c r="C84" s="2">
        <v>5724137</v>
      </c>
      <c r="D84" s="15">
        <f>Summary!B129</f>
        <v>0</v>
      </c>
      <c r="E84" s="14">
        <f>Summary!E129</f>
        <v>5.1818778468553912</v>
      </c>
    </row>
    <row r="85" spans="1:5" x14ac:dyDescent="0.25">
      <c r="A85" s="40">
        <v>42613</v>
      </c>
      <c r="C85" s="2">
        <v>5306371</v>
      </c>
      <c r="D85" s="15">
        <f>Summary!B130</f>
        <v>0</v>
      </c>
      <c r="E85" s="14">
        <f>Summary!E130</f>
        <v>5.1910007601887544</v>
      </c>
    </row>
    <row r="86" spans="1:5" x14ac:dyDescent="0.25">
      <c r="A86" s="40">
        <v>42643</v>
      </c>
      <c r="C86" s="2">
        <v>5652523</v>
      </c>
      <c r="D86" s="15">
        <f>Summary!B131</f>
        <v>0</v>
      </c>
      <c r="E86" s="14">
        <f>Summary!E131</f>
        <v>5.1851113856901421</v>
      </c>
    </row>
    <row r="87" spans="1:5" x14ac:dyDescent="0.25">
      <c r="A87" s="40">
        <v>42674</v>
      </c>
      <c r="C87" s="2">
        <v>5824928</v>
      </c>
      <c r="D87" s="15">
        <f>Summary!B132</f>
        <v>0</v>
      </c>
      <c r="E87" s="14">
        <f>Summary!E132</f>
        <v>5.0641323869681942</v>
      </c>
    </row>
    <row r="88" spans="1:5" x14ac:dyDescent="0.25">
      <c r="A88" s="40">
        <v>42704</v>
      </c>
      <c r="C88" s="2">
        <v>5592998</v>
      </c>
      <c r="D88" s="15">
        <f>Summary!B133</f>
        <v>0</v>
      </c>
      <c r="E88" s="14">
        <f>Summary!E133</f>
        <v>4.9063635371005603</v>
      </c>
    </row>
    <row r="89" spans="1:5" x14ac:dyDescent="0.25">
      <c r="A89" s="40">
        <v>42735</v>
      </c>
      <c r="C89" s="2">
        <v>5569022</v>
      </c>
      <c r="D89" s="15">
        <f>Summary!B134</f>
        <v>0</v>
      </c>
      <c r="E89" s="14">
        <f>Summary!E134</f>
        <v>4.9230988845236601</v>
      </c>
    </row>
    <row r="90" spans="1:5" x14ac:dyDescent="0.25">
      <c r="A90" s="40">
        <v>42766</v>
      </c>
      <c r="C90" s="2">
        <v>5308940</v>
      </c>
      <c r="D90" s="15">
        <f>Summary!B135</f>
        <v>0</v>
      </c>
      <c r="E90" s="14">
        <f>Summary!E135</f>
        <v>4.9692444799203832</v>
      </c>
    </row>
    <row r="91" spans="1:5" x14ac:dyDescent="0.25">
      <c r="A91" s="40">
        <v>42794</v>
      </c>
      <c r="C91" s="2">
        <v>4824753</v>
      </c>
      <c r="D91" s="15">
        <f>Summary!B136</f>
        <v>0</v>
      </c>
      <c r="E91" s="14">
        <f>Summary!E136</f>
        <v>4.8410981679157024</v>
      </c>
    </row>
    <row r="92" spans="1:5" x14ac:dyDescent="0.25">
      <c r="A92" s="40">
        <v>42825</v>
      </c>
      <c r="C92" s="2">
        <v>5433974</v>
      </c>
      <c r="D92" s="15">
        <f>Summary!B137</f>
        <v>0</v>
      </c>
      <c r="E92" s="14">
        <f>Summary!E137</f>
        <v>5.0815762477336959</v>
      </c>
    </row>
    <row r="93" spans="1:5" x14ac:dyDescent="0.25">
      <c r="A93" s="40">
        <v>42855</v>
      </c>
      <c r="C93" s="2">
        <v>5611950</v>
      </c>
      <c r="D93" s="15">
        <f>Summary!B138</f>
        <v>0</v>
      </c>
      <c r="E93" s="14">
        <f>Summary!E138</f>
        <v>5.0862012987508489</v>
      </c>
    </row>
    <row r="94" spans="1:5" x14ac:dyDescent="0.25">
      <c r="A94" s="40">
        <v>42886</v>
      </c>
      <c r="C94" s="2">
        <v>5582867</v>
      </c>
      <c r="D94" s="15">
        <f>Summary!B139</f>
        <v>0</v>
      </c>
      <c r="E94" s="14">
        <f>Summary!E139</f>
        <v>5.0947857116607507</v>
      </c>
    </row>
    <row r="95" spans="1:5" x14ac:dyDescent="0.25">
      <c r="A95" s="40">
        <v>42916</v>
      </c>
      <c r="C95" s="2">
        <v>5241891</v>
      </c>
      <c r="D95" s="15">
        <f>Summary!B140</f>
        <v>0</v>
      </c>
      <c r="E95" s="14">
        <f>Summary!E140</f>
        <v>5.159100927911787</v>
      </c>
    </row>
    <row r="96" spans="1:5" x14ac:dyDescent="0.25">
      <c r="A96" s="40">
        <v>42947</v>
      </c>
      <c r="C96" s="2">
        <v>5315779</v>
      </c>
      <c r="D96" s="15">
        <f>Summary!B141</f>
        <v>0</v>
      </c>
      <c r="E96" s="14">
        <f>Summary!E141</f>
        <v>5.2109707686282301</v>
      </c>
    </row>
    <row r="97" spans="1:5" x14ac:dyDescent="0.25">
      <c r="A97" s="40">
        <v>42978</v>
      </c>
      <c r="C97" s="2">
        <v>5719570</v>
      </c>
      <c r="D97" s="15">
        <f>Summary!B142</f>
        <v>0</v>
      </c>
      <c r="E97" s="14">
        <f>Summary!E142</f>
        <v>5.1505524353854675</v>
      </c>
    </row>
    <row r="98" spans="1:5" x14ac:dyDescent="0.25">
      <c r="A98" s="40">
        <v>43008</v>
      </c>
      <c r="C98" s="2">
        <v>5955473</v>
      </c>
      <c r="D98" s="15">
        <f>Summary!B143</f>
        <v>0</v>
      </c>
      <c r="E98" s="14">
        <f>Summary!E143</f>
        <v>5.0979584492351222</v>
      </c>
    </row>
    <row r="99" spans="1:5" x14ac:dyDescent="0.25">
      <c r="A99" s="40">
        <v>43039</v>
      </c>
      <c r="C99" s="2">
        <v>5847685</v>
      </c>
      <c r="E99" s="14">
        <f>Summary!E144</f>
        <v>5.0950761717880741</v>
      </c>
    </row>
    <row r="100" spans="1:5" x14ac:dyDescent="0.25">
      <c r="A100" s="40">
        <v>43069</v>
      </c>
      <c r="C100" s="2">
        <v>6468492</v>
      </c>
      <c r="E100" s="14">
        <f>Summary!E145</f>
        <v>4.9737666963187124</v>
      </c>
    </row>
    <row r="101" spans="1:5" x14ac:dyDescent="0.25">
      <c r="A101" s="40">
        <v>43100</v>
      </c>
      <c r="C101" s="2">
        <v>6710479</v>
      </c>
      <c r="E101" s="14">
        <f>Summary!E146</f>
        <v>4.8935051740123443</v>
      </c>
    </row>
    <row r="102" spans="1:5" x14ac:dyDescent="0.25">
      <c r="A102" s="40">
        <v>43131</v>
      </c>
      <c r="C102" s="2">
        <v>6629411</v>
      </c>
      <c r="E102" s="14">
        <f>Summary!E147</f>
        <v>4.7868600180087277</v>
      </c>
    </row>
    <row r="103" spans="1:5" x14ac:dyDescent="0.25">
      <c r="A103" s="40">
        <v>43159</v>
      </c>
      <c r="C103" s="2">
        <v>5936266</v>
      </c>
      <c r="E103" s="14">
        <f>Summary!E148</f>
        <v>4.8247880690958196</v>
      </c>
    </row>
    <row r="104" spans="1:5" x14ac:dyDescent="0.25">
      <c r="A104" s="40">
        <v>43190</v>
      </c>
      <c r="C104" s="2">
        <v>6569137</v>
      </c>
      <c r="E104" s="14">
        <f>Summary!E149</f>
        <v>4.6754651569450791</v>
      </c>
    </row>
    <row r="105" spans="1:5" x14ac:dyDescent="0.25">
      <c r="A105" s="40">
        <v>43220</v>
      </c>
      <c r="C105" s="2">
        <v>6081411</v>
      </c>
      <c r="E105" s="14">
        <f>Summary!E150</f>
        <v>4.5773771148318998</v>
      </c>
    </row>
    <row r="106" spans="1:5" x14ac:dyDescent="0.25">
      <c r="A106" s="40">
        <v>43251</v>
      </c>
      <c r="C106" s="2">
        <v>5947217</v>
      </c>
      <c r="E106" s="14">
        <f>Summary!E151</f>
        <v>4.5109983336195896</v>
      </c>
    </row>
    <row r="107" spans="1:5" x14ac:dyDescent="0.25">
      <c r="A107" s="13">
        <v>43281</v>
      </c>
      <c r="C107" s="2">
        <v>5565763</v>
      </c>
      <c r="E107" s="14">
        <f>Summary!E152</f>
        <v>4.3720829382293713</v>
      </c>
    </row>
    <row r="108" spans="1:5" x14ac:dyDescent="0.25">
      <c r="A108" s="40">
        <v>43312</v>
      </c>
      <c r="C108" s="2">
        <v>5674895</v>
      </c>
      <c r="E108" s="14">
        <f>Summary!E153</f>
        <v>4.2616224851180613</v>
      </c>
    </row>
    <row r="109" spans="1:5" x14ac:dyDescent="0.25">
      <c r="A109" s="13">
        <v>43343</v>
      </c>
      <c r="C109" s="2">
        <v>5565230</v>
      </c>
      <c r="E109" s="14">
        <f>Summary!E154</f>
        <v>4.2077847660971672</v>
      </c>
    </row>
    <row r="110" spans="1:5" x14ac:dyDescent="0.25">
      <c r="A110" s="40">
        <v>43373</v>
      </c>
      <c r="C110" s="2">
        <v>5462871</v>
      </c>
      <c r="E110" s="14">
        <f>Summary!E155</f>
        <v>4.1763756736958033</v>
      </c>
    </row>
    <row r="111" spans="1:5" x14ac:dyDescent="0.25">
      <c r="A111" s="13">
        <v>43404</v>
      </c>
      <c r="C111" s="2">
        <v>5984745</v>
      </c>
      <c r="E111" s="14">
        <f>Summary!E156</f>
        <v>4.145611093561139</v>
      </c>
    </row>
    <row r="112" spans="1:5" x14ac:dyDescent="0.25">
      <c r="A112" s="40">
        <v>43434</v>
      </c>
      <c r="C112" s="2">
        <v>5968277</v>
      </c>
      <c r="E112" s="14">
        <f>Summary!E157</f>
        <v>4.0779561559201465</v>
      </c>
    </row>
    <row r="113" spans="1:5" x14ac:dyDescent="0.25">
      <c r="A113" s="13">
        <v>43465</v>
      </c>
      <c r="C113" s="2">
        <v>6185236</v>
      </c>
      <c r="E113" s="14">
        <f>Summary!E158</f>
        <v>3.9401245416090616</v>
      </c>
    </row>
    <row r="114" spans="1:5" x14ac:dyDescent="0.25">
      <c r="A114" s="40">
        <v>43496</v>
      </c>
      <c r="C114" s="2">
        <v>5947946</v>
      </c>
      <c r="E114" s="14">
        <f>Summary!E159</f>
        <v>3.9522085234635198</v>
      </c>
    </row>
    <row r="115" spans="1:5" x14ac:dyDescent="0.25">
      <c r="A115" s="13">
        <v>43524</v>
      </c>
      <c r="C115" s="2">
        <v>5475311</v>
      </c>
      <c r="E115" s="14">
        <f>Summary!E160</f>
        <v>3.9727825161595378</v>
      </c>
    </row>
    <row r="116" spans="1:5" x14ac:dyDescent="0.25">
      <c r="A116" s="13">
        <v>43555</v>
      </c>
      <c r="C116" s="2">
        <v>6160768</v>
      </c>
      <c r="E116" s="14">
        <f>Summary!E161</f>
        <v>3.9511191894171054</v>
      </c>
    </row>
    <row r="117" spans="1:5" x14ac:dyDescent="0.25">
      <c r="A117" s="13">
        <v>43585</v>
      </c>
      <c r="C117" s="2">
        <v>5928781</v>
      </c>
      <c r="E117" s="14">
        <f>Summary!E162</f>
        <v>3.9571121398602624</v>
      </c>
    </row>
    <row r="118" spans="1:5" x14ac:dyDescent="0.25">
      <c r="A118" s="13">
        <v>43616</v>
      </c>
      <c r="C118" s="2">
        <v>6451141</v>
      </c>
      <c r="E118" s="14">
        <f>Summary!E163</f>
        <v>3.8980127953085666</v>
      </c>
    </row>
    <row r="119" spans="1:5" x14ac:dyDescent="0.25">
      <c r="A119" s="13">
        <v>43646</v>
      </c>
      <c r="C119" s="2">
        <v>5770236</v>
      </c>
      <c r="E119" s="14">
        <f>Summary!E164</f>
        <v>3.8964293167649036</v>
      </c>
    </row>
    <row r="120" spans="1:5" x14ac:dyDescent="0.25">
      <c r="A120" s="13">
        <v>43677</v>
      </c>
      <c r="C120" s="2">
        <v>5869748</v>
      </c>
      <c r="E120" s="14">
        <f>Summary!E165</f>
        <v>3.8868251164491552</v>
      </c>
    </row>
    <row r="121" spans="1:5" x14ac:dyDescent="0.25">
      <c r="A121" s="13">
        <v>43708</v>
      </c>
      <c r="C121" s="2">
        <v>5850837</v>
      </c>
      <c r="E121" s="14">
        <f>Summary!E166</f>
        <v>3.8440504169623875</v>
      </c>
    </row>
    <row r="122" spans="1:5" x14ac:dyDescent="0.25">
      <c r="A122" s="13">
        <v>43738</v>
      </c>
      <c r="C122" s="2">
        <v>5370654</v>
      </c>
      <c r="E122" s="14">
        <f>Summary!E167</f>
        <v>3.8135060725915033</v>
      </c>
    </row>
    <row r="123" spans="1:5" x14ac:dyDescent="0.25">
      <c r="A123" s="13">
        <v>43769</v>
      </c>
      <c r="C123" s="2">
        <v>5236460</v>
      </c>
      <c r="E123" s="14">
        <f>Summary!E168</f>
        <v>3.7887514708638497</v>
      </c>
    </row>
    <row r="124" spans="1:5" x14ac:dyDescent="0.25">
      <c r="A124" s="13">
        <v>43799</v>
      </c>
      <c r="C124" s="2">
        <v>5674968</v>
      </c>
      <c r="E124" s="14">
        <f>Summary!E169</f>
        <v>3.7871815632564543</v>
      </c>
    </row>
    <row r="125" spans="1:5" x14ac:dyDescent="0.25">
      <c r="A125" s="13">
        <v>43830</v>
      </c>
      <c r="C125" s="2">
        <v>5524423</v>
      </c>
      <c r="E125" s="14">
        <f>Summary!E170</f>
        <v>3.87678681199995</v>
      </c>
    </row>
    <row r="126" spans="1:5" x14ac:dyDescent="0.25">
      <c r="A126" s="13">
        <v>43861</v>
      </c>
      <c r="C126" s="2">
        <v>5726007</v>
      </c>
      <c r="E126" s="14">
        <f>Summary!E171</f>
        <v>3.8331541829303317</v>
      </c>
    </row>
    <row r="127" spans="1:5" x14ac:dyDescent="0.25">
      <c r="A127" s="13">
        <v>43890</v>
      </c>
      <c r="C127" s="2">
        <v>5139045</v>
      </c>
      <c r="E127" s="14">
        <f>Summary!E172</f>
        <v>3.7855742738289395</v>
      </c>
    </row>
    <row r="128" spans="1:5" x14ac:dyDescent="0.25">
      <c r="A128" s="13">
        <v>43921</v>
      </c>
      <c r="C128" s="2">
        <v>5596194</v>
      </c>
      <c r="E128" s="14">
        <f>Summary!E173</f>
        <v>3.8466495359834267</v>
      </c>
    </row>
    <row r="129" spans="1:5" x14ac:dyDescent="0.25">
      <c r="A129" s="13">
        <v>43951</v>
      </c>
      <c r="C129" s="2">
        <v>5416928</v>
      </c>
      <c r="E129" s="14">
        <f>Summary!E174</f>
        <v>3.8229347890495418</v>
      </c>
    </row>
    <row r="130" spans="1:5" x14ac:dyDescent="0.25">
      <c r="A130" s="13">
        <v>43982</v>
      </c>
      <c r="C130" s="2">
        <v>5462967</v>
      </c>
      <c r="E130" s="14">
        <f>Summary!E175</f>
        <v>3.8611799133552096</v>
      </c>
    </row>
    <row r="131" spans="1:5" x14ac:dyDescent="0.25">
      <c r="A131" s="13">
        <v>44012</v>
      </c>
      <c r="C131" s="2">
        <v>4872445</v>
      </c>
      <c r="E131" s="14">
        <f>Summary!E176</f>
        <v>3.8501090676017569</v>
      </c>
    </row>
    <row r="132" spans="1:5" x14ac:dyDescent="0.25">
      <c r="A132" s="13">
        <v>44043</v>
      </c>
      <c r="C132" s="2">
        <v>5184460</v>
      </c>
      <c r="E132" s="14">
        <f>Summary!E177</f>
        <v>3.8488996958640813</v>
      </c>
    </row>
    <row r="133" spans="1:5" x14ac:dyDescent="0.25">
      <c r="A133" s="13">
        <v>44074</v>
      </c>
      <c r="C133" s="2">
        <v>4786985</v>
      </c>
      <c r="E133" s="14">
        <f>Summary!E178</f>
        <v>3.9086695028876282</v>
      </c>
    </row>
    <row r="134" spans="1:5" x14ac:dyDescent="0.25">
      <c r="A134" s="13">
        <v>44104</v>
      </c>
      <c r="C134" s="2">
        <v>4486240</v>
      </c>
      <c r="E134" s="14">
        <f>Summary!E179</f>
        <v>3.9234355206926361</v>
      </c>
    </row>
    <row r="135" spans="1:5" x14ac:dyDescent="0.25">
      <c r="A135" s="13">
        <v>44135</v>
      </c>
      <c r="C135" s="2">
        <v>4617522</v>
      </c>
      <c r="E135" s="14">
        <f>Summary!E180</f>
        <v>3.9377827654589921</v>
      </c>
    </row>
    <row r="136" spans="1:5" x14ac:dyDescent="0.25">
      <c r="A136" s="13">
        <v>44165</v>
      </c>
      <c r="C136" s="2">
        <v>5278674</v>
      </c>
      <c r="E136" s="14">
        <f>Summary!E181</f>
        <v>3.9759925925196073</v>
      </c>
    </row>
    <row r="137" spans="1:5" x14ac:dyDescent="0.25">
      <c r="A137" s="13">
        <v>44196</v>
      </c>
      <c r="C137" s="2">
        <v>5338055</v>
      </c>
      <c r="E137" s="14">
        <f>Summary!E182</f>
        <v>3.9810974207431284</v>
      </c>
    </row>
    <row r="138" spans="1:5" x14ac:dyDescent="0.25">
      <c r="A138" s="13">
        <v>44227</v>
      </c>
      <c r="C138" s="2">
        <v>5475695</v>
      </c>
      <c r="E138" s="14">
        <f>Summary!E183</f>
        <v>3.9796282823035347</v>
      </c>
    </row>
    <row r="139" spans="1:5" x14ac:dyDescent="0.25">
      <c r="A139" s="13">
        <v>44255</v>
      </c>
      <c r="C139" s="2">
        <v>4802393</v>
      </c>
      <c r="E139" s="14">
        <f>Summary!E184</f>
        <v>3.9674864001882857</v>
      </c>
    </row>
    <row r="140" spans="1:5" x14ac:dyDescent="0.25">
      <c r="A140" s="13">
        <v>44286</v>
      </c>
      <c r="C140" s="2">
        <v>5346822</v>
      </c>
      <c r="E140" s="14">
        <f>Summary!E185</f>
        <v>3.9506117607962574</v>
      </c>
    </row>
    <row r="141" spans="1:5" x14ac:dyDescent="0.25">
      <c r="A141" s="13">
        <v>44316</v>
      </c>
      <c r="C141" s="2">
        <v>4910949</v>
      </c>
      <c r="E141" s="14">
        <f>Summary!E186</f>
        <v>3.9769740689190773</v>
      </c>
    </row>
    <row r="142" spans="1:5" x14ac:dyDescent="0.25">
      <c r="A142" s="13">
        <v>44347</v>
      </c>
      <c r="C142" s="2">
        <v>4980318</v>
      </c>
      <c r="E142" s="14">
        <f>Summary!E187</f>
        <v>3.9607001929856551</v>
      </c>
    </row>
    <row r="143" spans="1:5" x14ac:dyDescent="0.25">
      <c r="A143" s="13">
        <v>44377</v>
      </c>
      <c r="C143" s="2">
        <v>4445221</v>
      </c>
      <c r="E143" s="14">
        <f>Summary!E188</f>
        <v>4.0950532885037294</v>
      </c>
    </row>
    <row r="144" spans="1:5" x14ac:dyDescent="0.25">
      <c r="A144" s="13">
        <v>44408</v>
      </c>
      <c r="C144" s="2">
        <v>4627490</v>
      </c>
      <c r="E144" s="14">
        <f>Summary!E189</f>
        <v>4.2332941173280885</v>
      </c>
    </row>
    <row r="145" spans="1:7" x14ac:dyDescent="0.25">
      <c r="A145" s="13">
        <v>44439</v>
      </c>
      <c r="C145" s="2">
        <v>4497880</v>
      </c>
      <c r="E145" s="14">
        <f>Summary!E190</f>
        <v>4.112473313001904</v>
      </c>
    </row>
    <row r="146" spans="1:7" x14ac:dyDescent="0.25">
      <c r="A146" s="13">
        <v>44469</v>
      </c>
      <c r="C146" s="2">
        <v>4311854</v>
      </c>
      <c r="E146" s="14">
        <f>Summary!E191</f>
        <v>4.0484630232022392</v>
      </c>
    </row>
    <row r="147" spans="1:7" x14ac:dyDescent="0.25">
      <c r="A147" s="13">
        <v>44500</v>
      </c>
      <c r="C147" s="2">
        <v>4434761</v>
      </c>
      <c r="E147" s="14">
        <f>Summary!E192</f>
        <v>4.1861882084201802</v>
      </c>
    </row>
    <row r="148" spans="1:7" x14ac:dyDescent="0.25">
      <c r="A148" s="13">
        <v>44530</v>
      </c>
      <c r="C148" s="2">
        <v>5065080</v>
      </c>
      <c r="E148" s="14">
        <f>Summary!E193</f>
        <v>3.43209034803004</v>
      </c>
    </row>
    <row r="149" spans="1:7" x14ac:dyDescent="0.25">
      <c r="A149" s="13">
        <v>44561</v>
      </c>
      <c r="C149" s="2">
        <v>4777943</v>
      </c>
      <c r="E149" s="14">
        <f>Summary!E194</f>
        <v>4.9516990048334302</v>
      </c>
    </row>
    <row r="150" spans="1:7" x14ac:dyDescent="0.25">
      <c r="A150" s="13">
        <v>44592</v>
      </c>
      <c r="C150" s="2">
        <v>4878509.05</v>
      </c>
      <c r="E150" s="14">
        <f>Summary!E195</f>
        <v>4.0506851834243545</v>
      </c>
      <c r="G150" s="12"/>
    </row>
    <row r="151" spans="1:7" x14ac:dyDescent="0.25">
      <c r="A151" s="13">
        <v>44620</v>
      </c>
      <c r="C151" s="2">
        <v>4197128</v>
      </c>
      <c r="E151" s="14">
        <f>Summary!E196</f>
        <v>4.0664431008074944</v>
      </c>
      <c r="G151" s="12"/>
    </row>
    <row r="152" spans="1:7" x14ac:dyDescent="0.25">
      <c r="A152" s="13">
        <v>44651</v>
      </c>
      <c r="C152" s="2">
        <v>5018440</v>
      </c>
      <c r="E152" s="14">
        <f>Summary!E197</f>
        <v>4.0728147224207261</v>
      </c>
      <c r="G152" s="12"/>
    </row>
    <row r="153" spans="1:7" x14ac:dyDescent="0.25">
      <c r="A153" s="13">
        <v>44681</v>
      </c>
      <c r="C153" s="2">
        <v>4350352</v>
      </c>
      <c r="E153" s="14">
        <f>Summary!E198</f>
        <v>4.0728588040819327</v>
      </c>
      <c r="G153" s="12"/>
    </row>
    <row r="154" spans="1:7" x14ac:dyDescent="0.25">
      <c r="A154" s="13">
        <v>44712</v>
      </c>
      <c r="C154" s="2">
        <v>4604507</v>
      </c>
      <c r="E154" s="14">
        <f>Summary!E199</f>
        <v>4.000479701254859</v>
      </c>
      <c r="G154" s="12"/>
    </row>
    <row r="155" spans="1:7" x14ac:dyDescent="0.25">
      <c r="A155" s="13">
        <v>44742</v>
      </c>
      <c r="C155" s="2">
        <v>4124549</v>
      </c>
      <c r="E155" s="14">
        <f>Summary!E200</f>
        <v>4.003584637298065</v>
      </c>
      <c r="G155" s="12"/>
    </row>
    <row r="156" spans="1:7" x14ac:dyDescent="0.25">
      <c r="A156" s="13">
        <v>44773</v>
      </c>
      <c r="C156" s="2">
        <v>4680691</v>
      </c>
      <c r="E156" s="14">
        <f>Summary!E201</f>
        <v>4.1997395973770795</v>
      </c>
      <c r="G156" s="12"/>
    </row>
    <row r="157" spans="1:7" x14ac:dyDescent="0.25">
      <c r="A157" s="13">
        <v>44804</v>
      </c>
      <c r="C157" s="2">
        <v>3914373</v>
      </c>
      <c r="E157" s="14">
        <f>Summary!E202</f>
        <v>4.2926168278055643</v>
      </c>
      <c r="G157" s="12"/>
    </row>
    <row r="158" spans="1:7" x14ac:dyDescent="0.25">
      <c r="A158" s="13">
        <v>44834</v>
      </c>
      <c r="C158" s="2">
        <v>4334013</v>
      </c>
      <c r="E158" s="14">
        <f>Summary!E203</f>
        <v>4.3147455049798271</v>
      </c>
      <c r="G158" s="12"/>
    </row>
    <row r="159" spans="1:7" x14ac:dyDescent="0.25">
      <c r="A159" s="13">
        <v>44865</v>
      </c>
      <c r="C159" s="2">
        <v>4397532</v>
      </c>
      <c r="E159" s="14">
        <f>Summary!E204</f>
        <v>4.3547333382896802</v>
      </c>
      <c r="G159" s="12"/>
    </row>
    <row r="160" spans="1:7" x14ac:dyDescent="0.25">
      <c r="A160" s="13">
        <v>44895</v>
      </c>
      <c r="C160" s="2">
        <v>4637205</v>
      </c>
      <c r="E160" s="14">
        <f>Summary!E205</f>
        <v>4.4728813885946233</v>
      </c>
      <c r="G160" s="12"/>
    </row>
    <row r="161" spans="1:5" x14ac:dyDescent="0.25">
      <c r="A161" s="13">
        <v>44926</v>
      </c>
      <c r="C161" s="2">
        <v>4593200</v>
      </c>
      <c r="E161" s="14">
        <f>Summary!E206</f>
        <v>4.7770404727085207</v>
      </c>
    </row>
    <row r="162" spans="1:5" x14ac:dyDescent="0.25">
      <c r="A162" s="13">
        <v>44957</v>
      </c>
      <c r="C162" s="2">
        <v>4566369</v>
      </c>
      <c r="E162" s="14">
        <f>Summary!E207</f>
        <v>4.9720889776106372</v>
      </c>
    </row>
    <row r="163" spans="1:5" x14ac:dyDescent="0.25">
      <c r="A163" s="13">
        <v>44985</v>
      </c>
      <c r="C163" s="2">
        <v>3904871</v>
      </c>
      <c r="E163" s="14">
        <f>Summary!E208</f>
        <v>5.3276440920055341</v>
      </c>
    </row>
    <row r="164" spans="1:5" x14ac:dyDescent="0.25">
      <c r="A164" s="13">
        <v>45016</v>
      </c>
      <c r="C164" s="2">
        <v>4328041</v>
      </c>
      <c r="E164" s="14">
        <f>Summary!E209</f>
        <v>5.7597356091222824</v>
      </c>
    </row>
    <row r="165" spans="1:5" x14ac:dyDescent="0.25">
      <c r="A165" s="13">
        <v>45046</v>
      </c>
      <c r="C165" s="2">
        <v>4182440</v>
      </c>
      <c r="E165" s="14">
        <f>Summary!E210</f>
        <v>5.7873627354025352</v>
      </c>
    </row>
    <row r="166" spans="1:5" x14ac:dyDescent="0.25">
      <c r="A166" s="13">
        <v>45077</v>
      </c>
      <c r="C166" s="2">
        <v>4571352</v>
      </c>
      <c r="E166" s="14">
        <f>Summary!E211</f>
        <v>5.8067709976082345</v>
      </c>
    </row>
    <row r="167" spans="1:5" x14ac:dyDescent="0.25">
      <c r="A167" s="13">
        <v>45107</v>
      </c>
      <c r="C167" s="2">
        <v>4066640</v>
      </c>
      <c r="E167" s="14">
        <f>Summary!E212</f>
        <v>5.8044066435270958</v>
      </c>
    </row>
    <row r="168" spans="1:5" x14ac:dyDescent="0.25">
      <c r="A168" s="13">
        <v>45138</v>
      </c>
      <c r="C168" s="2">
        <v>4208910</v>
      </c>
      <c r="E168" s="14">
        <f>Summary!E213</f>
        <v>5.5896754173687002</v>
      </c>
    </row>
    <row r="169" spans="1:5" x14ac:dyDescent="0.25">
      <c r="A169" s="13">
        <v>45169</v>
      </c>
      <c r="C169" s="2">
        <v>3614290</v>
      </c>
      <c r="E169" s="14">
        <f>Summary!E214</f>
        <v>5.5166157036655328</v>
      </c>
    </row>
    <row r="170" spans="1:5" x14ac:dyDescent="0.25">
      <c r="A170" s="13">
        <v>45199</v>
      </c>
      <c r="C170" s="2">
        <v>4094046</v>
      </c>
      <c r="E170" s="14">
        <f>Summary!E215</f>
        <v>5.5037335052850818</v>
      </c>
    </row>
    <row r="171" spans="1:5" x14ac:dyDescent="0.25">
      <c r="A171" s="13">
        <v>45230</v>
      </c>
      <c r="C171" s="2">
        <v>4044040</v>
      </c>
      <c r="E171" s="14">
        <f>Summary!E216</f>
        <v>5.4626917491960301</v>
      </c>
    </row>
    <row r="172" spans="1:5" x14ac:dyDescent="0.25">
      <c r="A172" s="13">
        <v>45260</v>
      </c>
      <c r="C172" s="2">
        <v>4510287</v>
      </c>
      <c r="E172" s="14">
        <f>Summary!E217</f>
        <v>5.3841805175228927</v>
      </c>
    </row>
    <row r="173" spans="1:5" x14ac:dyDescent="0.25">
      <c r="A173" s="13">
        <v>45291</v>
      </c>
      <c r="C173" s="2">
        <v>5051109</v>
      </c>
      <c r="E173" s="14">
        <f>Summary!E218</f>
        <v>4.9495814819623911</v>
      </c>
    </row>
    <row r="174" spans="1:5" x14ac:dyDescent="0.25">
      <c r="A174" s="13">
        <v>45322</v>
      </c>
      <c r="C174" s="2">
        <v>5138031</v>
      </c>
      <c r="E174" s="14">
        <f>Summary!E219</f>
        <v>4.7035500913369255</v>
      </c>
    </row>
    <row r="175" spans="1:5" x14ac:dyDescent="0.25">
      <c r="A175" s="13">
        <v>45351</v>
      </c>
      <c r="C175" s="2">
        <v>4778167</v>
      </c>
      <c r="E175" s="14">
        <f>Summary!E220</f>
        <v>4.3293224061618671</v>
      </c>
    </row>
    <row r="176" spans="1:5" x14ac:dyDescent="0.25">
      <c r="A176" s="13">
        <v>45382</v>
      </c>
      <c r="C176" s="2">
        <v>5247680</v>
      </c>
      <c r="E176" s="14">
        <f>Summary!E221</f>
        <v>3.8572315733206697</v>
      </c>
    </row>
    <row r="177" spans="1:5" x14ac:dyDescent="0.25">
      <c r="A177" s="13">
        <v>45412</v>
      </c>
      <c r="C177" s="2">
        <v>4653681</v>
      </c>
      <c r="E177" s="14">
        <f>Summary!E222</f>
        <v>3.8088935454306929</v>
      </c>
    </row>
    <row r="178" spans="1:5" x14ac:dyDescent="0.25">
      <c r="A178" s="13">
        <v>45443</v>
      </c>
      <c r="C178" s="2">
        <v>4883674</v>
      </c>
      <c r="E178" s="14">
        <f>Summary!E223</f>
        <v>3.8564798467699215</v>
      </c>
    </row>
    <row r="179" spans="1:5" x14ac:dyDescent="0.25">
      <c r="A179" s="13">
        <v>45473</v>
      </c>
      <c r="C179" s="2">
        <v>4347967</v>
      </c>
      <c r="E179" s="14">
        <f>Summary!E224</f>
        <v>3.8387576473599809</v>
      </c>
    </row>
    <row r="180" spans="1:5" x14ac:dyDescent="0.25">
      <c r="A180" s="13">
        <v>45504</v>
      </c>
      <c r="C180" s="2">
        <v>3676327</v>
      </c>
      <c r="E180" s="14">
        <f>Summary!E225</f>
        <v>3.9066113789199504</v>
      </c>
    </row>
    <row r="181" spans="1:5" x14ac:dyDescent="0.25">
      <c r="A181" s="13">
        <v>45535</v>
      </c>
      <c r="C181" s="2">
        <v>4098476</v>
      </c>
      <c r="E181" s="14">
        <f>Summary!E226</f>
        <v>3.8616092853135018</v>
      </c>
    </row>
    <row r="182" spans="1:5" x14ac:dyDescent="0.25">
      <c r="A182" s="13">
        <v>45565</v>
      </c>
      <c r="C182" s="2">
        <v>4862950</v>
      </c>
      <c r="D182" s="2"/>
      <c r="E182" s="14">
        <f>Summary!E227</f>
        <v>3.7985289742343564</v>
      </c>
    </row>
    <row r="183" spans="1:5" x14ac:dyDescent="0.25">
      <c r="A183" s="13">
        <v>45596</v>
      </c>
      <c r="C183" s="2">
        <v>4804009</v>
      </c>
      <c r="D183" s="2"/>
      <c r="E183" s="14">
        <f>Summary!E228</f>
        <v>3.8087428284828362</v>
      </c>
    </row>
    <row r="184" spans="1:5" x14ac:dyDescent="0.25">
      <c r="A184" s="13">
        <v>45626</v>
      </c>
      <c r="C184" s="2">
        <v>4351438</v>
      </c>
      <c r="D184" s="2"/>
      <c r="E184" s="14">
        <f>Summary!E229</f>
        <v>3.7989162050504293</v>
      </c>
    </row>
    <row r="185" spans="1:5" x14ac:dyDescent="0.25">
      <c r="A185" s="13">
        <v>45657</v>
      </c>
      <c r="C185" s="2">
        <v>5186268</v>
      </c>
      <c r="E185" s="14">
        <f>Summary!E230</f>
        <v>3.8368206826165934</v>
      </c>
    </row>
    <row r="186" spans="1:5" x14ac:dyDescent="0.25">
      <c r="A186" s="13">
        <v>45688</v>
      </c>
      <c r="C186" s="2">
        <v>5031435</v>
      </c>
      <c r="E186" s="14">
        <f>Summary!E231</f>
        <v>3.8664090513980507</v>
      </c>
    </row>
    <row r="187" spans="1:5" x14ac:dyDescent="0.25">
      <c r="A187" s="13">
        <v>45716</v>
      </c>
      <c r="C187" s="2">
        <v>4569174</v>
      </c>
      <c r="E187" s="14">
        <f>Summary!E232</f>
        <v>3.8877341624443331</v>
      </c>
    </row>
    <row r="188" spans="1:5" x14ac:dyDescent="0.25">
      <c r="A188" s="13">
        <v>45747</v>
      </c>
      <c r="C188" s="2">
        <v>5022239</v>
      </c>
      <c r="E188" s="14">
        <f>Summary!E233</f>
        <v>4.0007054159134334</v>
      </c>
    </row>
    <row r="189" spans="1:5" x14ac:dyDescent="0.25">
      <c r="A189" s="13">
        <v>45777</v>
      </c>
      <c r="C189" s="2">
        <v>4618531</v>
      </c>
      <c r="E189" s="14">
        <f>Summary!E234</f>
        <v>4.0540427045661049</v>
      </c>
    </row>
    <row r="190" spans="1:5" x14ac:dyDescent="0.25">
      <c r="A190" s="13">
        <v>45808</v>
      </c>
      <c r="C190" s="2">
        <v>4332164.49</v>
      </c>
      <c r="E190" s="14">
        <f>Summary!E235</f>
        <v>4.107899717493896</v>
      </c>
    </row>
    <row r="191" spans="1:5" x14ac:dyDescent="0.25">
      <c r="A191" s="13">
        <v>45838</v>
      </c>
      <c r="C191" s="2">
        <v>3744361</v>
      </c>
      <c r="E191" s="14">
        <f>Summary!E236</f>
        <v>4.2206719169006783</v>
      </c>
    </row>
    <row r="192" spans="1:5" x14ac:dyDescent="0.25">
      <c r="A192" s="13">
        <v>45869</v>
      </c>
      <c r="C192" s="2">
        <v>4355309</v>
      </c>
      <c r="E192" s="14">
        <f>Summary!E237</f>
        <v>4.1742880685134063</v>
      </c>
    </row>
    <row r="193" spans="1:5" x14ac:dyDescent="0.25">
      <c r="A193" s="13">
        <v>45900</v>
      </c>
      <c r="C193" s="2">
        <v>3714057</v>
      </c>
      <c r="E193" s="14">
        <f>Summary!E238</f>
        <v>4.2532651366622662</v>
      </c>
    </row>
    <row r="194" spans="1:5" x14ac:dyDescent="0.25">
      <c r="A194" s="13">
        <v>45930</v>
      </c>
      <c r="C194" s="2">
        <v>4297054.12</v>
      </c>
      <c r="E194" s="14">
        <f>Summary!E239</f>
        <v>4.3986722215681491</v>
      </c>
    </row>
    <row r="195" spans="1:5" x14ac:dyDescent="0.25">
      <c r="A195" s="13">
        <v>45961</v>
      </c>
      <c r="C195" s="2">
        <v>4631877</v>
      </c>
      <c r="E195" s="14">
        <f>Summary!E240</f>
        <v>4.3847744913248459</v>
      </c>
    </row>
    <row r="196" spans="1:5" x14ac:dyDescent="0.25">
      <c r="A196" s="13">
        <v>45991</v>
      </c>
      <c r="C196" s="2">
        <v>5168272</v>
      </c>
      <c r="E196" s="14">
        <f>Summary!E241</f>
        <v>4.37188889030526</v>
      </c>
    </row>
    <row r="197" spans="1:5" x14ac:dyDescent="0.25">
      <c r="A197" s="13">
        <v>46022</v>
      </c>
      <c r="E197" s="14">
        <f>Summary!E242</f>
        <v>0</v>
      </c>
    </row>
  </sheetData>
  <pageMargins left="1.2" right="0.7" top="0.75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96"/>
  <sheetViews>
    <sheetView topLeftCell="A191" workbookViewId="0">
      <selection activeCell="A101" sqref="A101"/>
    </sheetView>
  </sheetViews>
  <sheetFormatPr defaultColWidth="9.140625" defaultRowHeight="15" x14ac:dyDescent="0.25"/>
  <cols>
    <col min="1" max="1" width="12" customWidth="1"/>
    <col min="2" max="2" width="14.42578125" bestFit="1" customWidth="1"/>
    <col min="3" max="3" width="11.5703125" customWidth="1"/>
    <col min="4" max="4" width="14.42578125" bestFit="1" customWidth="1"/>
    <col min="5" max="5" width="11.5703125" customWidth="1"/>
    <col min="6" max="6" width="11.140625" customWidth="1"/>
    <col min="9" max="9" width="13.5703125" customWidth="1"/>
    <col min="10" max="10" width="12.42578125" bestFit="1" customWidth="1"/>
    <col min="11" max="11" width="18" bestFit="1" customWidth="1"/>
    <col min="12" max="13" width="14.42578125" bestFit="1" customWidth="1"/>
    <col min="14" max="14" width="12.5703125" bestFit="1" customWidth="1"/>
  </cols>
  <sheetData>
    <row r="1" spans="1:10" x14ac:dyDescent="0.25">
      <c r="A1" t="s">
        <v>20</v>
      </c>
    </row>
    <row r="2" spans="1:10" ht="33.75" customHeight="1" x14ac:dyDescent="0.25">
      <c r="B2" s="9" t="s">
        <v>19</v>
      </c>
      <c r="D2" s="9" t="s">
        <v>19</v>
      </c>
      <c r="I2" s="29" t="s">
        <v>72</v>
      </c>
    </row>
    <row r="3" spans="1:10" x14ac:dyDescent="0.25">
      <c r="B3" s="9"/>
      <c r="I3" s="30"/>
    </row>
    <row r="4" spans="1:10" x14ac:dyDescent="0.25">
      <c r="B4" s="9" t="s">
        <v>7</v>
      </c>
      <c r="D4" s="24" t="s">
        <v>8</v>
      </c>
      <c r="I4" t="s">
        <v>73</v>
      </c>
    </row>
    <row r="5" spans="1:10" x14ac:dyDescent="0.25">
      <c r="B5" s="31" t="s">
        <v>46</v>
      </c>
      <c r="D5" s="24" t="s">
        <v>18</v>
      </c>
      <c r="F5" s="27" t="s">
        <v>17</v>
      </c>
      <c r="I5" s="27" t="s">
        <v>17</v>
      </c>
      <c r="J5" s="27"/>
    </row>
    <row r="6" spans="1:10" hidden="1" x14ac:dyDescent="0.25">
      <c r="A6" s="1">
        <v>1981</v>
      </c>
      <c r="B6" s="2"/>
    </row>
    <row r="7" spans="1:10" hidden="1" x14ac:dyDescent="0.25">
      <c r="A7" s="1">
        <v>1982</v>
      </c>
      <c r="B7" s="2"/>
    </row>
    <row r="8" spans="1:10" hidden="1" x14ac:dyDescent="0.25">
      <c r="A8" s="1">
        <v>1983</v>
      </c>
      <c r="B8" s="2"/>
    </row>
    <row r="9" spans="1:10" x14ac:dyDescent="0.25">
      <c r="A9" s="1">
        <v>1984</v>
      </c>
      <c r="B9" s="2">
        <v>81135632.299999997</v>
      </c>
      <c r="D9" s="3">
        <v>276798839.83999979</v>
      </c>
      <c r="F9" s="4">
        <f t="shared" ref="F9:F38" si="0">D9/B9</f>
        <v>3.4115570680035212</v>
      </c>
    </row>
    <row r="10" spans="1:10" x14ac:dyDescent="0.25">
      <c r="A10" s="1">
        <v>1985</v>
      </c>
      <c r="B10" s="2">
        <v>79338914.219999999</v>
      </c>
      <c r="D10" s="3">
        <v>290076105.55000007</v>
      </c>
      <c r="F10" s="4">
        <f t="shared" si="0"/>
        <v>3.6561642972028068</v>
      </c>
    </row>
    <row r="11" spans="1:10" x14ac:dyDescent="0.25">
      <c r="A11" s="1">
        <v>1986</v>
      </c>
      <c r="B11" s="2">
        <v>74494419</v>
      </c>
      <c r="D11" s="3">
        <v>249953190.04000002</v>
      </c>
      <c r="F11" s="4">
        <f t="shared" si="0"/>
        <v>3.3553277332091147</v>
      </c>
    </row>
    <row r="12" spans="1:10" x14ac:dyDescent="0.25">
      <c r="A12" s="1">
        <v>1987</v>
      </c>
      <c r="B12" s="2">
        <v>66421173</v>
      </c>
      <c r="D12" s="3">
        <v>193808214.66</v>
      </c>
      <c r="F12" s="4">
        <f t="shared" si="0"/>
        <v>2.9178679915815398</v>
      </c>
    </row>
    <row r="13" spans="1:10" x14ac:dyDescent="0.25">
      <c r="A13" s="1">
        <v>1988</v>
      </c>
      <c r="B13" s="2">
        <v>64729329</v>
      </c>
      <c r="D13" s="3">
        <v>174211328.06</v>
      </c>
      <c r="F13" s="4">
        <f t="shared" si="0"/>
        <v>2.6913816464867111</v>
      </c>
    </row>
    <row r="14" spans="1:10" x14ac:dyDescent="0.25">
      <c r="A14" s="1">
        <v>1989</v>
      </c>
      <c r="B14" s="2">
        <v>56923090</v>
      </c>
      <c r="D14" s="3">
        <v>183131280.69999987</v>
      </c>
      <c r="F14" s="4">
        <f t="shared" si="0"/>
        <v>3.2171704083527417</v>
      </c>
    </row>
    <row r="15" spans="1:10" x14ac:dyDescent="0.25">
      <c r="A15" s="1">
        <v>1990</v>
      </c>
      <c r="B15" s="2">
        <v>51484195</v>
      </c>
      <c r="D15" s="3">
        <v>185838170.28999999</v>
      </c>
      <c r="F15" s="4">
        <f t="shared" si="0"/>
        <v>3.6096159275676736</v>
      </c>
    </row>
    <row r="16" spans="1:10" x14ac:dyDescent="0.25">
      <c r="A16" s="1">
        <v>1991</v>
      </c>
      <c r="B16" s="5">
        <v>47885156</v>
      </c>
      <c r="D16" s="3">
        <v>178158188.22000012</v>
      </c>
      <c r="F16" s="4">
        <f t="shared" si="0"/>
        <v>3.7205306007565291</v>
      </c>
    </row>
    <row r="17" spans="1:6" x14ac:dyDescent="0.25">
      <c r="A17" s="1">
        <v>1992</v>
      </c>
      <c r="B17" s="5">
        <v>65203726.939999998</v>
      </c>
      <c r="D17" s="3">
        <v>150700844.84</v>
      </c>
      <c r="F17" s="4">
        <f t="shared" si="0"/>
        <v>2.3112305371543229</v>
      </c>
    </row>
    <row r="18" spans="1:6" x14ac:dyDescent="0.25">
      <c r="A18" s="1">
        <v>1993</v>
      </c>
      <c r="B18" s="5">
        <v>45285386</v>
      </c>
      <c r="D18" s="3">
        <v>126952566.90000002</v>
      </c>
      <c r="F18" s="4">
        <f t="shared" si="0"/>
        <v>2.8033893075351068</v>
      </c>
    </row>
    <row r="19" spans="1:6" x14ac:dyDescent="0.25">
      <c r="A19" s="1">
        <v>1994</v>
      </c>
      <c r="B19" s="5">
        <v>39990856</v>
      </c>
      <c r="D19" s="3">
        <v>73682424.180000022</v>
      </c>
      <c r="F19" s="4">
        <f t="shared" si="0"/>
        <v>1.8424817958385293</v>
      </c>
    </row>
    <row r="20" spans="1:6" x14ac:dyDescent="0.25">
      <c r="A20" s="1">
        <v>1995</v>
      </c>
      <c r="B20" s="5">
        <v>30336637</v>
      </c>
      <c r="D20" s="3">
        <v>44891772.829999976</v>
      </c>
      <c r="F20" s="4">
        <f t="shared" si="0"/>
        <v>1.4797873881010599</v>
      </c>
    </row>
    <row r="21" spans="1:6" x14ac:dyDescent="0.25">
      <c r="A21" s="1">
        <v>1996</v>
      </c>
      <c r="B21" s="5">
        <v>37575715</v>
      </c>
      <c r="D21" s="3">
        <v>67248736.989999995</v>
      </c>
      <c r="F21" s="4">
        <f t="shared" si="0"/>
        <v>1.7896861574024605</v>
      </c>
    </row>
    <row r="22" spans="1:6" x14ac:dyDescent="0.25">
      <c r="A22" s="1">
        <v>1997</v>
      </c>
      <c r="B22" s="5">
        <v>53734600</v>
      </c>
      <c r="D22" s="3">
        <v>122106168.66</v>
      </c>
      <c r="F22" s="4">
        <f t="shared" si="0"/>
        <v>2.2723937399738716</v>
      </c>
    </row>
    <row r="23" spans="1:6" x14ac:dyDescent="0.25">
      <c r="A23" s="1">
        <v>1998</v>
      </c>
      <c r="B23" s="5">
        <v>52313902</v>
      </c>
      <c r="D23" s="3">
        <v>100057811.5</v>
      </c>
      <c r="F23" s="4">
        <f t="shared" si="0"/>
        <v>1.912642866899892</v>
      </c>
    </row>
    <row r="24" spans="1:6" x14ac:dyDescent="0.25">
      <c r="A24" s="1">
        <v>1999</v>
      </c>
      <c r="B24" s="5">
        <v>46249773</v>
      </c>
      <c r="D24" s="3">
        <v>93040347.690000013</v>
      </c>
      <c r="F24" s="4">
        <f t="shared" si="0"/>
        <v>2.0116930669043502</v>
      </c>
    </row>
    <row r="25" spans="1:6" x14ac:dyDescent="0.25">
      <c r="A25" s="1">
        <v>2000</v>
      </c>
      <c r="B25" s="5">
        <v>46425578</v>
      </c>
      <c r="D25" s="3">
        <v>183614935.43000007</v>
      </c>
      <c r="F25" s="4">
        <f t="shared" si="0"/>
        <v>3.9550382211719599</v>
      </c>
    </row>
    <row r="26" spans="1:6" x14ac:dyDescent="0.25">
      <c r="A26" s="1">
        <v>2001</v>
      </c>
      <c r="B26" s="5">
        <v>52979036</v>
      </c>
      <c r="D26" s="3">
        <v>259449707.62000006</v>
      </c>
      <c r="F26" s="4">
        <f t="shared" si="0"/>
        <v>4.8972145816318751</v>
      </c>
    </row>
    <row r="27" spans="1:6" x14ac:dyDescent="0.25">
      <c r="A27" s="1">
        <v>2002</v>
      </c>
      <c r="B27" s="5">
        <v>56912695</v>
      </c>
      <c r="D27" s="3">
        <v>143815118.39999998</v>
      </c>
      <c r="F27" s="4">
        <f t="shared" si="0"/>
        <v>2.5269426865130877</v>
      </c>
    </row>
    <row r="28" spans="1:6" x14ac:dyDescent="0.25">
      <c r="A28" s="1">
        <v>2003</v>
      </c>
      <c r="B28" s="5">
        <v>45115003</v>
      </c>
      <c r="D28" s="3">
        <v>177700348.36000001</v>
      </c>
      <c r="F28" s="4">
        <f t="shared" si="0"/>
        <v>3.9388304675497863</v>
      </c>
    </row>
    <row r="29" spans="1:6" x14ac:dyDescent="0.25">
      <c r="A29" s="1">
        <v>2004</v>
      </c>
      <c r="B29" s="5">
        <v>63287064</v>
      </c>
      <c r="D29" s="3">
        <v>335938392.53000009</v>
      </c>
      <c r="F29" s="4">
        <f t="shared" si="0"/>
        <v>5.308168388566739</v>
      </c>
    </row>
    <row r="30" spans="1:6" x14ac:dyDescent="0.25">
      <c r="A30" s="1">
        <v>2005</v>
      </c>
      <c r="B30" s="5">
        <v>61950995</v>
      </c>
      <c r="D30" s="3">
        <v>447709632.48999995</v>
      </c>
      <c r="F30" s="4">
        <f t="shared" si="0"/>
        <v>7.2268352185465297</v>
      </c>
    </row>
    <row r="31" spans="1:6" x14ac:dyDescent="0.25">
      <c r="A31" s="1">
        <v>2006</v>
      </c>
      <c r="B31" s="5">
        <v>63003039</v>
      </c>
      <c r="D31" s="3">
        <v>429480642.53000003</v>
      </c>
      <c r="F31" s="4">
        <f t="shared" si="0"/>
        <v>6.81682422541554</v>
      </c>
    </row>
    <row r="32" spans="1:6" x14ac:dyDescent="0.25">
      <c r="A32" s="1">
        <v>2007</v>
      </c>
      <c r="B32" s="5">
        <v>74222918</v>
      </c>
      <c r="D32" s="3">
        <v>374931831.6699999</v>
      </c>
      <c r="F32" s="4">
        <f t="shared" si="0"/>
        <v>5.0514294206271959</v>
      </c>
    </row>
    <row r="33" spans="1:15" x14ac:dyDescent="0.25">
      <c r="A33" s="1">
        <v>2008</v>
      </c>
      <c r="B33" s="5">
        <v>62828533</v>
      </c>
      <c r="D33" s="3">
        <v>396360328.92999995</v>
      </c>
      <c r="F33" s="4">
        <f t="shared" si="0"/>
        <v>6.3086039097872924</v>
      </c>
    </row>
    <row r="34" spans="1:15" x14ac:dyDescent="0.25">
      <c r="A34" s="1">
        <v>2009</v>
      </c>
      <c r="B34" s="5">
        <v>57448633</v>
      </c>
      <c r="D34" s="3">
        <v>225395651.66000003</v>
      </c>
      <c r="F34" s="4">
        <f t="shared" si="0"/>
        <v>3.9234293296413165</v>
      </c>
    </row>
    <row r="35" spans="1:15" x14ac:dyDescent="0.25">
      <c r="A35" s="1">
        <v>2010</v>
      </c>
      <c r="B35" s="5">
        <v>56643058</v>
      </c>
      <c r="D35" s="3">
        <v>245378404.10999995</v>
      </c>
      <c r="F35" s="4">
        <f t="shared" si="0"/>
        <v>4.3320119494607789</v>
      </c>
    </row>
    <row r="36" spans="1:15" x14ac:dyDescent="0.25">
      <c r="A36" s="1">
        <v>2011</v>
      </c>
      <c r="B36" s="5">
        <v>57100064</v>
      </c>
      <c r="D36" s="3">
        <v>221177026.23999998</v>
      </c>
      <c r="F36" s="4">
        <f t="shared" si="0"/>
        <v>3.8734987449401106</v>
      </c>
      <c r="M36" s="12"/>
      <c r="N36" s="23"/>
      <c r="O36" s="23"/>
    </row>
    <row r="37" spans="1:15" x14ac:dyDescent="0.25">
      <c r="A37" s="1">
        <v>2012</v>
      </c>
      <c r="B37" s="2">
        <v>33372542</v>
      </c>
      <c r="D37" s="3">
        <v>104174731.25</v>
      </c>
      <c r="F37" s="4">
        <f t="shared" si="0"/>
        <v>3.1215701593843228</v>
      </c>
      <c r="M37" s="12"/>
      <c r="N37" s="23"/>
      <c r="O37" s="23"/>
    </row>
    <row r="38" spans="1:15" x14ac:dyDescent="0.25">
      <c r="A38" s="1">
        <v>2013</v>
      </c>
      <c r="B38" s="2">
        <v>50085436</v>
      </c>
      <c r="D38" s="3">
        <v>186600542.15000001</v>
      </c>
      <c r="F38" s="4">
        <f t="shared" si="0"/>
        <v>3.7256447592869115</v>
      </c>
      <c r="M38" s="12"/>
      <c r="N38" s="23"/>
      <c r="O38" s="23"/>
    </row>
    <row r="39" spans="1:15" x14ac:dyDescent="0.25">
      <c r="A39" s="1">
        <v>2014</v>
      </c>
      <c r="B39" s="16">
        <v>28611429</v>
      </c>
      <c r="D39" s="3">
        <v>136473466.42000002</v>
      </c>
      <c r="F39" s="4">
        <f t="shared" ref="F39:F43" si="1">D39/B39</f>
        <v>4.7698934023882558</v>
      </c>
      <c r="M39" s="12"/>
      <c r="N39" s="23"/>
      <c r="O39" s="23"/>
    </row>
    <row r="40" spans="1:15" x14ac:dyDescent="0.25">
      <c r="A40" s="1">
        <v>2015</v>
      </c>
      <c r="B40" s="16">
        <f>SUM(B65:B76)</f>
        <v>32888488</v>
      </c>
      <c r="C40" s="16"/>
      <c r="D40" s="2">
        <f>SUM(D65:D76)</f>
        <v>82519856.690000013</v>
      </c>
      <c r="F40" s="4">
        <f t="shared" si="1"/>
        <v>2.5090802803096333</v>
      </c>
      <c r="M40" s="12"/>
      <c r="N40" s="23"/>
      <c r="O40" s="23"/>
    </row>
    <row r="41" spans="1:15" x14ac:dyDescent="0.25">
      <c r="A41" s="1">
        <v>2016</v>
      </c>
      <c r="B41" s="16">
        <f>SUM(B77:B88)</f>
        <v>40527797</v>
      </c>
      <c r="C41" s="16"/>
      <c r="D41" s="16">
        <f>SUM(D77:D88)</f>
        <v>102040558.06999999</v>
      </c>
      <c r="F41" s="4">
        <f t="shared" si="1"/>
        <v>2.5177918767704051</v>
      </c>
      <c r="I41" s="4">
        <f>+SUMPRODUCT(I77:I88,'Co Prod'!C78:C89)/SUM('Co Prod'!C78:C89)</f>
        <v>2.2326087316655929</v>
      </c>
      <c r="M41" s="12"/>
      <c r="N41" s="23"/>
      <c r="O41" s="23"/>
    </row>
    <row r="42" spans="1:15" x14ac:dyDescent="0.25">
      <c r="A42" s="1">
        <v>2017</v>
      </c>
      <c r="B42" s="12">
        <f>SUM(B89:B100)</f>
        <v>43219509</v>
      </c>
      <c r="D42" s="12">
        <f>SUM(D89:D100)</f>
        <v>125501369.27000001</v>
      </c>
      <c r="F42" s="4">
        <f t="shared" si="1"/>
        <v>2.9038129348021982</v>
      </c>
      <c r="I42" s="4">
        <f>+SUMPRODUCT(I89:I100,'Co Prod'!C90:C101)/SUM('Co Prod'!C90:C101)</f>
        <v>2.7251760473211455</v>
      </c>
      <c r="M42" s="12"/>
      <c r="N42" s="14"/>
      <c r="O42" s="14"/>
    </row>
    <row r="43" spans="1:15" x14ac:dyDescent="0.25">
      <c r="A43" s="1">
        <v>2018</v>
      </c>
      <c r="B43" s="12">
        <f>SUM(B101:B112)</f>
        <v>36896005.861999996</v>
      </c>
      <c r="C43" s="12"/>
      <c r="D43" s="12">
        <f>SUM(D101:D112)</f>
        <v>131523267.38</v>
      </c>
      <c r="F43" s="4">
        <f t="shared" si="1"/>
        <v>3.564702040430308</v>
      </c>
      <c r="I43" s="4">
        <f>+SUMPRODUCT(I101:I112,'Co Prod'!C102:C113)/SUM('Co Prod'!C102:C113)</f>
        <v>2.6386401272066737</v>
      </c>
      <c r="M43" s="12"/>
      <c r="N43" s="14"/>
      <c r="O43" s="14"/>
    </row>
    <row r="44" spans="1:15" x14ac:dyDescent="0.25">
      <c r="A44" s="1">
        <v>2019</v>
      </c>
      <c r="B44" s="12">
        <f>SUM(B113:B124)</f>
        <v>49096564.388000004</v>
      </c>
      <c r="C44" s="12"/>
      <c r="D44" s="12">
        <f>SUM(D113:D124)</f>
        <v>176275674.61999997</v>
      </c>
      <c r="F44" s="4">
        <f t="shared" ref="F44:F48" si="2">D44/B44</f>
        <v>3.5903871649130017</v>
      </c>
      <c r="I44" s="4">
        <f>+SUMPRODUCT(I113:I124,'Co Prod'!C114:C125)/SUM('Co Prod'!C114:C125)</f>
        <v>2.5990924886696782</v>
      </c>
      <c r="M44" s="12"/>
      <c r="N44" s="14"/>
      <c r="O44" s="14"/>
    </row>
    <row r="45" spans="1:15" x14ac:dyDescent="0.25">
      <c r="A45" s="1">
        <v>2020</v>
      </c>
      <c r="B45" s="12">
        <f>SUM(B125:B136)</f>
        <v>52805543</v>
      </c>
      <c r="C45" s="12"/>
      <c r="D45" s="12">
        <f>SUM(D125:D136)</f>
        <v>127726549.81</v>
      </c>
      <c r="F45" s="4">
        <f t="shared" si="2"/>
        <v>2.418809514183009</v>
      </c>
      <c r="I45" s="4">
        <f>+SUMPRODUCT(I125:I136,'Co Prod'!C126:C137)/SUM('Co Prod'!C126:C137)</f>
        <v>2.0673717239634941</v>
      </c>
      <c r="M45" s="12"/>
      <c r="N45" s="14"/>
      <c r="O45" s="14"/>
    </row>
    <row r="46" spans="1:15" x14ac:dyDescent="0.25">
      <c r="A46" s="1">
        <v>2021</v>
      </c>
      <c r="B46" s="12">
        <f>SUM(B137:B148)</f>
        <v>52919701</v>
      </c>
      <c r="C46" s="12"/>
      <c r="D46" s="12">
        <f>SUM(D137:D148)</f>
        <v>278685047.61000001</v>
      </c>
      <c r="F46" s="4">
        <f t="shared" si="2"/>
        <v>5.26618711640113</v>
      </c>
      <c r="I46" s="4">
        <f>+SUMPRODUCT(I137:I148,'Co Prod'!C138:C149)/SUM('Co Prod'!C138:C149)</f>
        <v>3.8797869891546291</v>
      </c>
      <c r="M46" s="12"/>
      <c r="N46" s="14"/>
      <c r="O46" s="14"/>
    </row>
    <row r="47" spans="1:15" x14ac:dyDescent="0.25">
      <c r="A47" s="1">
        <v>2022</v>
      </c>
      <c r="B47" s="12">
        <f>SUM(B149:B160)</f>
        <v>66382231</v>
      </c>
      <c r="C47" s="12"/>
      <c r="D47" s="12">
        <f>SUM(D149:D160)</f>
        <v>583410358.25</v>
      </c>
      <c r="F47" s="4">
        <f t="shared" si="2"/>
        <v>8.7886524671037343</v>
      </c>
      <c r="I47" s="4">
        <f>+SUMPRODUCT(I149:I160,'Co Prod'!C150:C161)/SUM('Co Prod'!C150:C161)</f>
        <v>6.9121437827683829</v>
      </c>
      <c r="M47" s="12"/>
      <c r="N47" s="14"/>
      <c r="O47" s="14"/>
    </row>
    <row r="48" spans="1:15" x14ac:dyDescent="0.25">
      <c r="A48" s="1">
        <v>2023</v>
      </c>
      <c r="B48" s="12">
        <f>SUM(B161:B172)</f>
        <v>76489806</v>
      </c>
      <c r="C48" s="12"/>
      <c r="D48" s="12">
        <f>SUM(D161:D172)</f>
        <v>736270335.91999984</v>
      </c>
      <c r="F48" s="4">
        <f t="shared" si="2"/>
        <v>9.625731511464414</v>
      </c>
      <c r="I48" s="4">
        <f>+SUMPRODUCT(I161:I172,'Co Prod'!C162:C173)/SUM('Co Prod'!C162:C173)</f>
        <v>8.5392530692588782</v>
      </c>
      <c r="M48" s="12"/>
      <c r="N48" s="14"/>
      <c r="O48" s="14"/>
    </row>
    <row r="49" spans="1:15" x14ac:dyDescent="0.25">
      <c r="A49" s="1">
        <v>2024</v>
      </c>
      <c r="B49" s="12">
        <f>SUM(B173:B184)</f>
        <v>66409273</v>
      </c>
      <c r="C49" s="12"/>
      <c r="D49" s="12">
        <f>SUM(D173:D184)</f>
        <v>232618238.16000003</v>
      </c>
      <c r="F49" s="4">
        <f>D49/B49</f>
        <v>3.5027975409398024</v>
      </c>
      <c r="I49" s="4">
        <f>+SUMPRODUCT(I173:I184,'Co Prod'!C174:C185)/SUM('Co Prod'!C174:C185)</f>
        <v>2.4612110246847201</v>
      </c>
      <c r="M49" s="12"/>
      <c r="N49" s="14"/>
      <c r="O49" s="14"/>
    </row>
    <row r="50" spans="1:15" x14ac:dyDescent="0.25">
      <c r="A50" s="1">
        <v>2025</v>
      </c>
      <c r="B50" s="12">
        <f>SUM(B185:B196)</f>
        <v>43611578</v>
      </c>
      <c r="C50" s="12"/>
      <c r="D50" s="12">
        <f>SUM(D185:D196)</f>
        <v>171303019.63</v>
      </c>
      <c r="F50" s="4">
        <f>D50/B50</f>
        <v>3.9279252777783</v>
      </c>
      <c r="I50" s="4">
        <f>+SUMPRODUCT(I185:I196,'Co Prod'!C186:C197)/SUM('Co Prod'!C186:C197)</f>
        <v>2.8768903093440423</v>
      </c>
      <c r="M50" s="12"/>
      <c r="N50" s="14"/>
      <c r="O50" s="14"/>
    </row>
    <row r="53" spans="1:15" x14ac:dyDescent="0.25">
      <c r="A53" s="40">
        <v>41670</v>
      </c>
      <c r="B53" s="2">
        <v>10782964</v>
      </c>
      <c r="C53" s="2"/>
      <c r="D53" s="2">
        <v>48027446.960000001</v>
      </c>
      <c r="F53" s="4">
        <f>D53/B53</f>
        <v>4.4540116205525679</v>
      </c>
    </row>
    <row r="54" spans="1:15" x14ac:dyDescent="0.25">
      <c r="A54" s="40">
        <v>41698</v>
      </c>
      <c r="B54" s="2">
        <v>4570793</v>
      </c>
      <c r="C54" s="2"/>
      <c r="D54" s="2">
        <v>34574585.590000004</v>
      </c>
      <c r="F54" s="4">
        <f t="shared" ref="F54:F71" si="3">D54/B54</f>
        <v>7.5642422638697493</v>
      </c>
    </row>
    <row r="55" spans="1:15" x14ac:dyDescent="0.25">
      <c r="A55" s="40">
        <v>41729</v>
      </c>
      <c r="B55" s="2">
        <v>1948140</v>
      </c>
      <c r="C55" s="2"/>
      <c r="D55" s="2">
        <v>10107059.300000003</v>
      </c>
      <c r="F55" s="4">
        <f t="shared" si="3"/>
        <v>5.1880559405381561</v>
      </c>
    </row>
    <row r="56" spans="1:15" x14ac:dyDescent="0.25">
      <c r="A56" s="40">
        <v>41759</v>
      </c>
      <c r="B56" s="2">
        <v>667950</v>
      </c>
      <c r="C56" s="2"/>
      <c r="D56" s="2">
        <v>2945201.5999999996</v>
      </c>
      <c r="F56" s="4">
        <f t="shared" si="3"/>
        <v>4.4093144696459312</v>
      </c>
    </row>
    <row r="57" spans="1:15" x14ac:dyDescent="0.25">
      <c r="A57" s="40">
        <v>41790</v>
      </c>
      <c r="B57" s="2">
        <v>122500</v>
      </c>
      <c r="C57" s="2"/>
      <c r="D57" s="2">
        <v>565997.24000000022</v>
      </c>
      <c r="F57" s="4">
        <f t="shared" si="3"/>
        <v>4.620385632653063</v>
      </c>
    </row>
    <row r="58" spans="1:15" x14ac:dyDescent="0.25">
      <c r="A58" s="40">
        <v>41820</v>
      </c>
      <c r="B58" s="2">
        <v>122938</v>
      </c>
      <c r="C58" s="2"/>
      <c r="D58" s="2">
        <v>390678.98</v>
      </c>
      <c r="F58" s="4">
        <f t="shared" si="3"/>
        <v>3.1778537148806714</v>
      </c>
    </row>
    <row r="59" spans="1:15" x14ac:dyDescent="0.25">
      <c r="A59" s="40">
        <v>41851</v>
      </c>
      <c r="B59" s="2">
        <v>8702</v>
      </c>
      <c r="C59" s="2"/>
      <c r="D59" s="2">
        <v>35168.980000000003</v>
      </c>
      <c r="F59" s="4">
        <f t="shared" si="3"/>
        <v>4.0414824178349811</v>
      </c>
    </row>
    <row r="60" spans="1:15" x14ac:dyDescent="0.25">
      <c r="A60" s="40">
        <v>41882</v>
      </c>
      <c r="B60" s="2">
        <v>7619</v>
      </c>
      <c r="C60" s="2"/>
      <c r="D60" s="2">
        <v>29068.22</v>
      </c>
      <c r="F60" s="4">
        <f t="shared" si="3"/>
        <v>3.8152277201732514</v>
      </c>
    </row>
    <row r="61" spans="1:15" x14ac:dyDescent="0.25">
      <c r="A61" s="40">
        <v>41912</v>
      </c>
      <c r="B61" s="2">
        <v>7569</v>
      </c>
      <c r="C61" s="2"/>
      <c r="D61" s="2">
        <v>29370.5</v>
      </c>
      <c r="F61" s="4">
        <f t="shared" si="3"/>
        <v>3.8803672876205577</v>
      </c>
    </row>
    <row r="62" spans="1:15" x14ac:dyDescent="0.25">
      <c r="A62" s="40">
        <v>41943</v>
      </c>
      <c r="B62" s="2">
        <v>8573</v>
      </c>
      <c r="C62" s="2"/>
      <c r="D62" s="2">
        <v>28079.360000000001</v>
      </c>
      <c r="F62" s="4">
        <f t="shared" si="3"/>
        <v>3.2753248571095299</v>
      </c>
    </row>
    <row r="63" spans="1:15" x14ac:dyDescent="0.25">
      <c r="A63" s="40">
        <v>41973</v>
      </c>
      <c r="B63" s="2">
        <v>4707555</v>
      </c>
      <c r="C63" s="2"/>
      <c r="D63" s="2">
        <v>18325481.079999998</v>
      </c>
      <c r="F63" s="4">
        <f t="shared" si="3"/>
        <v>3.8927810891216348</v>
      </c>
    </row>
    <row r="64" spans="1:15" x14ac:dyDescent="0.25">
      <c r="A64" s="40">
        <v>42004</v>
      </c>
      <c r="B64" s="2">
        <v>5656126</v>
      </c>
      <c r="C64" s="2"/>
      <c r="D64" s="2">
        <v>21415328.609999996</v>
      </c>
      <c r="F64" s="4">
        <f t="shared" si="3"/>
        <v>3.7862184488110757</v>
      </c>
    </row>
    <row r="65" spans="1:13" x14ac:dyDescent="0.25">
      <c r="A65" s="40">
        <v>42035</v>
      </c>
      <c r="B65" s="2">
        <v>9628236</v>
      </c>
      <c r="C65" s="2"/>
      <c r="D65" s="2">
        <v>27561696.700000003</v>
      </c>
      <c r="F65" s="4">
        <f t="shared" si="3"/>
        <v>2.862590478671275</v>
      </c>
    </row>
    <row r="66" spans="1:13" x14ac:dyDescent="0.25">
      <c r="A66" s="40">
        <v>42063</v>
      </c>
      <c r="B66" s="2">
        <v>2455061</v>
      </c>
      <c r="C66" s="2"/>
      <c r="D66" s="2">
        <v>7537517.8199999984</v>
      </c>
      <c r="F66" s="15">
        <f t="shared" si="3"/>
        <v>3.0701957385172909</v>
      </c>
    </row>
    <row r="67" spans="1:13" x14ac:dyDescent="0.25">
      <c r="A67" s="40">
        <v>42094</v>
      </c>
      <c r="B67" s="2">
        <v>2147849</v>
      </c>
      <c r="C67" s="2"/>
      <c r="D67" s="2">
        <v>5921797.25</v>
      </c>
      <c r="F67" s="15">
        <f t="shared" si="3"/>
        <v>2.7570826673569697</v>
      </c>
    </row>
    <row r="68" spans="1:13" x14ac:dyDescent="0.25">
      <c r="A68" s="40">
        <v>42124</v>
      </c>
      <c r="B68" s="2">
        <v>878175</v>
      </c>
      <c r="C68" s="2"/>
      <c r="D68" s="2">
        <v>2132388.42</v>
      </c>
      <c r="F68" s="15">
        <f t="shared" si="3"/>
        <v>2.428204423947391</v>
      </c>
    </row>
    <row r="69" spans="1:13" x14ac:dyDescent="0.25">
      <c r="A69" s="40">
        <v>42155</v>
      </c>
      <c r="B69" s="2">
        <v>855784</v>
      </c>
      <c r="C69" s="2"/>
      <c r="D69" s="2">
        <v>2034030.06</v>
      </c>
      <c r="F69" s="15">
        <f t="shared" si="3"/>
        <v>2.3768030951735484</v>
      </c>
    </row>
    <row r="70" spans="1:13" x14ac:dyDescent="0.25">
      <c r="A70" s="40">
        <v>42185</v>
      </c>
      <c r="B70" s="2">
        <v>-845143</v>
      </c>
      <c r="C70" s="2"/>
      <c r="D70" s="2">
        <v>-2013121.18</v>
      </c>
      <c r="F70" s="15">
        <f>D70/B70</f>
        <v>2.3819888231932347</v>
      </c>
      <c r="I70" s="14">
        <v>2.6</v>
      </c>
      <c r="L70" s="2"/>
    </row>
    <row r="71" spans="1:13" x14ac:dyDescent="0.25">
      <c r="A71" s="40">
        <v>42216</v>
      </c>
      <c r="B71" s="2">
        <v>71860</v>
      </c>
      <c r="C71" s="2"/>
      <c r="D71" s="2">
        <v>200587.86</v>
      </c>
      <c r="F71" s="15">
        <f t="shared" si="3"/>
        <v>2.7913701642081823</v>
      </c>
      <c r="I71" s="14">
        <v>2.62</v>
      </c>
      <c r="L71" s="2"/>
    </row>
    <row r="72" spans="1:13" x14ac:dyDescent="0.25">
      <c r="A72" s="40">
        <v>42247</v>
      </c>
      <c r="B72" s="2">
        <v>31579</v>
      </c>
      <c r="C72" s="2"/>
      <c r="D72" s="2">
        <v>90587.21</v>
      </c>
      <c r="F72" s="15">
        <f>D72/B72</f>
        <v>2.868590202349663</v>
      </c>
      <c r="I72" s="14">
        <v>2.66</v>
      </c>
      <c r="L72" s="2"/>
    </row>
    <row r="73" spans="1:13" x14ac:dyDescent="0.25">
      <c r="A73" s="40">
        <v>42277</v>
      </c>
      <c r="B73" s="2">
        <v>7813</v>
      </c>
      <c r="D73" s="2">
        <v>12747.25</v>
      </c>
      <c r="F73" s="15">
        <f>D73/B73</f>
        <v>1.6315435812108026</v>
      </c>
      <c r="I73" s="14">
        <v>2.46</v>
      </c>
      <c r="L73" s="2"/>
    </row>
    <row r="74" spans="1:13" x14ac:dyDescent="0.25">
      <c r="A74" s="40">
        <v>42308</v>
      </c>
      <c r="B74" s="2">
        <v>9000</v>
      </c>
      <c r="D74" s="2">
        <v>22570</v>
      </c>
      <c r="F74" s="15">
        <f>D74/B74</f>
        <v>2.5077777777777777</v>
      </c>
      <c r="I74" s="14">
        <v>2.4300000000000002</v>
      </c>
      <c r="L74" s="2"/>
    </row>
    <row r="75" spans="1:13" x14ac:dyDescent="0.25">
      <c r="A75" s="40">
        <v>42338</v>
      </c>
      <c r="B75" s="2">
        <v>4791000</v>
      </c>
      <c r="D75" s="2">
        <v>10305220</v>
      </c>
      <c r="F75" s="15">
        <f>D75/B75</f>
        <v>2.150953871843039</v>
      </c>
      <c r="I75" s="14">
        <v>2.04</v>
      </c>
      <c r="L75" s="2"/>
    </row>
    <row r="76" spans="1:13" x14ac:dyDescent="0.25">
      <c r="A76" s="40">
        <v>42369</v>
      </c>
      <c r="B76" s="2">
        <v>12857274</v>
      </c>
      <c r="D76" s="2">
        <v>28713835.300000001</v>
      </c>
      <c r="F76" s="15">
        <f t="shared" ref="F76:F88" si="4">D76/B76</f>
        <v>2.23327552170079</v>
      </c>
      <c r="I76" s="14">
        <v>2.2200000000000002</v>
      </c>
      <c r="L76" s="2"/>
    </row>
    <row r="77" spans="1:13" x14ac:dyDescent="0.25">
      <c r="A77" s="40">
        <v>42400</v>
      </c>
      <c r="B77" s="2">
        <v>11825000</v>
      </c>
      <c r="D77" s="2">
        <v>27154602.549999993</v>
      </c>
      <c r="F77" s="15">
        <f t="shared" si="4"/>
        <v>2.2963723086680754</v>
      </c>
      <c r="I77" s="14">
        <v>2.2799999999999998</v>
      </c>
      <c r="L77" s="2"/>
    </row>
    <row r="78" spans="1:13" x14ac:dyDescent="0.25">
      <c r="A78" s="40">
        <v>42429</v>
      </c>
      <c r="B78" s="2">
        <v>8247819</v>
      </c>
      <c r="D78" s="2">
        <v>16132026.439999999</v>
      </c>
      <c r="F78" s="15">
        <f t="shared" si="4"/>
        <v>1.9559142168372026</v>
      </c>
      <c r="I78" s="14">
        <v>2.02</v>
      </c>
      <c r="J78" s="32"/>
      <c r="K78" s="20"/>
      <c r="L78" s="2"/>
      <c r="M78" s="21"/>
    </row>
    <row r="79" spans="1:13" x14ac:dyDescent="0.25">
      <c r="A79" s="40">
        <v>42460</v>
      </c>
      <c r="B79" s="2">
        <v>2101301</v>
      </c>
      <c r="D79" s="2">
        <v>3493558.43</v>
      </c>
      <c r="F79" s="15">
        <f t="shared" si="4"/>
        <v>1.662569251144886</v>
      </c>
      <c r="I79" s="14">
        <v>1.51</v>
      </c>
      <c r="J79" s="32"/>
      <c r="K79" s="22"/>
      <c r="L79" s="2"/>
    </row>
    <row r="80" spans="1:13" x14ac:dyDescent="0.25">
      <c r="A80" s="40">
        <v>42490</v>
      </c>
      <c r="B80" s="2">
        <v>578150</v>
      </c>
      <c r="D80" s="2">
        <v>992837.48</v>
      </c>
      <c r="F80" s="15">
        <f t="shared" si="4"/>
        <v>1.717266245783966</v>
      </c>
      <c r="I80" s="14">
        <v>1.51</v>
      </c>
      <c r="L80" s="2"/>
    </row>
    <row r="81" spans="1:15" x14ac:dyDescent="0.25">
      <c r="A81" s="40">
        <v>42521</v>
      </c>
      <c r="B81" s="2">
        <v>765791</v>
      </c>
      <c r="D81" s="2">
        <v>1326764.99</v>
      </c>
      <c r="F81" s="15">
        <f t="shared" si="4"/>
        <v>1.7325418945900382</v>
      </c>
      <c r="I81" s="14">
        <v>1.77</v>
      </c>
      <c r="L81" s="2"/>
    </row>
    <row r="82" spans="1:15" x14ac:dyDescent="0.25">
      <c r="A82" s="40">
        <v>42551</v>
      </c>
      <c r="B82" s="2">
        <v>-2484</v>
      </c>
      <c r="D82" s="2">
        <v>-5044.03</v>
      </c>
      <c r="F82" s="15">
        <f t="shared" si="4"/>
        <v>2.0306078904991947</v>
      </c>
      <c r="I82" s="14">
        <v>1.78</v>
      </c>
      <c r="L82" s="12"/>
      <c r="M82" s="12"/>
      <c r="N82" s="23"/>
      <c r="O82" s="23"/>
    </row>
    <row r="83" spans="1:15" x14ac:dyDescent="0.25">
      <c r="A83" s="40">
        <v>42582</v>
      </c>
      <c r="B83" s="2">
        <v>604</v>
      </c>
      <c r="D83" s="2">
        <v>741.13</v>
      </c>
      <c r="F83" s="15">
        <f t="shared" si="4"/>
        <v>1.2270364238410596</v>
      </c>
      <c r="I83" s="14">
        <v>2.52</v>
      </c>
    </row>
    <row r="84" spans="1:15" x14ac:dyDescent="0.25">
      <c r="A84" s="40">
        <v>42613</v>
      </c>
      <c r="B84" s="2">
        <v>295</v>
      </c>
      <c r="D84" s="2">
        <v>-1426.72</v>
      </c>
      <c r="F84" s="15">
        <f t="shared" si="4"/>
        <v>-4.8363389830508474</v>
      </c>
      <c r="I84" s="14">
        <v>2.5099999999999998</v>
      </c>
    </row>
    <row r="85" spans="1:15" x14ac:dyDescent="0.25">
      <c r="A85" s="40">
        <v>42643</v>
      </c>
      <c r="B85" s="2">
        <v>731424</v>
      </c>
      <c r="C85" s="2"/>
      <c r="D85" s="2">
        <v>2028815.82</v>
      </c>
      <c r="F85" s="15">
        <f t="shared" si="4"/>
        <v>2.7737889650872818</v>
      </c>
      <c r="I85" s="14">
        <v>2.62</v>
      </c>
    </row>
    <row r="86" spans="1:15" x14ac:dyDescent="0.25">
      <c r="A86" s="40">
        <v>42674</v>
      </c>
      <c r="B86" s="2">
        <v>760132</v>
      </c>
      <c r="C86" s="2"/>
      <c r="D86" s="2">
        <v>2033684.68</v>
      </c>
      <c r="F86" s="15">
        <f t="shared" si="4"/>
        <v>2.6754362137102503</v>
      </c>
      <c r="I86" s="14">
        <v>2.7</v>
      </c>
    </row>
    <row r="87" spans="1:15" x14ac:dyDescent="0.25">
      <c r="A87" s="40">
        <v>42704</v>
      </c>
      <c r="B87" s="2">
        <v>5191000</v>
      </c>
      <c r="D87" s="2">
        <v>13000000</v>
      </c>
      <c r="F87" s="15">
        <f t="shared" si="4"/>
        <v>2.504334424966288</v>
      </c>
      <c r="I87" s="14">
        <v>2.62</v>
      </c>
    </row>
    <row r="88" spans="1:15" x14ac:dyDescent="0.25">
      <c r="A88" s="40">
        <v>42735</v>
      </c>
      <c r="B88" s="2">
        <v>10328765</v>
      </c>
      <c r="D88" s="2">
        <v>35883997.299999997</v>
      </c>
      <c r="F88" s="15">
        <f t="shared" si="4"/>
        <v>3.4741808241353151</v>
      </c>
      <c r="I88" s="14">
        <v>2.99</v>
      </c>
    </row>
    <row r="89" spans="1:15" x14ac:dyDescent="0.25">
      <c r="A89" s="40">
        <v>42766</v>
      </c>
      <c r="B89" s="2">
        <v>13634058</v>
      </c>
      <c r="D89" s="2">
        <v>46137595.950000003</v>
      </c>
      <c r="F89" s="15">
        <f>D89/B89</f>
        <v>3.3839958690215344</v>
      </c>
      <c r="I89" s="14">
        <v>3.73</v>
      </c>
    </row>
    <row r="90" spans="1:15" x14ac:dyDescent="0.25">
      <c r="A90" s="40">
        <v>42794</v>
      </c>
      <c r="B90" s="2">
        <v>6913912</v>
      </c>
      <c r="D90" s="2">
        <v>19272593.330000002</v>
      </c>
      <c r="F90" s="15">
        <f>D90/B90</f>
        <v>2.787509203183379</v>
      </c>
      <c r="I90" s="14">
        <v>3.11</v>
      </c>
    </row>
    <row r="91" spans="1:15" x14ac:dyDescent="0.25">
      <c r="A91" s="40">
        <v>42825</v>
      </c>
      <c r="B91" s="2">
        <v>2091618</v>
      </c>
      <c r="D91" s="2">
        <v>5129448.3899999997</v>
      </c>
      <c r="F91" s="15">
        <f t="shared" ref="F91:F122" si="5">D91/B91</f>
        <v>2.4523829829347421</v>
      </c>
      <c r="I91" s="14">
        <v>2.29</v>
      </c>
    </row>
    <row r="92" spans="1:15" x14ac:dyDescent="0.25">
      <c r="A92" s="40">
        <v>42855</v>
      </c>
      <c r="B92" s="2">
        <v>2421083</v>
      </c>
      <c r="D92" s="2">
        <v>6596996.0800000001</v>
      </c>
      <c r="F92" s="15">
        <f t="shared" si="5"/>
        <v>2.7248120283360793</v>
      </c>
      <c r="I92" s="14">
        <v>2.64</v>
      </c>
    </row>
    <row r="93" spans="1:15" x14ac:dyDescent="0.25">
      <c r="A93" s="40">
        <v>42886</v>
      </c>
      <c r="B93" s="2">
        <v>530910</v>
      </c>
      <c r="D93" s="2">
        <v>1476222.5</v>
      </c>
      <c r="F93" s="15">
        <f t="shared" si="5"/>
        <v>2.7805513175491137</v>
      </c>
      <c r="I93" s="14">
        <v>2.62</v>
      </c>
    </row>
    <row r="94" spans="1:15" x14ac:dyDescent="0.25">
      <c r="A94" s="40">
        <v>42916</v>
      </c>
      <c r="B94" s="2">
        <v>134</v>
      </c>
      <c r="D94" s="2">
        <v>282</v>
      </c>
      <c r="F94" s="15">
        <f t="shared" si="5"/>
        <v>2.1044776119402986</v>
      </c>
      <c r="I94" s="14">
        <v>2.79</v>
      </c>
    </row>
    <row r="95" spans="1:15" x14ac:dyDescent="0.25">
      <c r="A95" s="40">
        <v>42947</v>
      </c>
      <c r="B95" s="2">
        <v>0</v>
      </c>
      <c r="D95" s="2">
        <v>0</v>
      </c>
      <c r="F95" s="15">
        <v>0</v>
      </c>
      <c r="I95" s="14">
        <v>2.63</v>
      </c>
    </row>
    <row r="96" spans="1:15" x14ac:dyDescent="0.25">
      <c r="A96" s="40">
        <v>42978</v>
      </c>
      <c r="B96" s="2">
        <v>0</v>
      </c>
      <c r="D96" s="2">
        <v>0</v>
      </c>
      <c r="F96" s="15">
        <v>0</v>
      </c>
      <c r="I96" s="14">
        <v>2.59</v>
      </c>
    </row>
    <row r="97" spans="1:11" x14ac:dyDescent="0.25">
      <c r="A97" s="40">
        <v>43008</v>
      </c>
      <c r="B97" s="2">
        <v>634000</v>
      </c>
      <c r="D97" s="2">
        <v>1592000</v>
      </c>
      <c r="F97" s="15">
        <f t="shared" si="5"/>
        <v>2.5110410094637223</v>
      </c>
      <c r="I97" s="14">
        <v>2.59</v>
      </c>
    </row>
    <row r="98" spans="1:11" x14ac:dyDescent="0.25">
      <c r="A98" s="40">
        <v>43039</v>
      </c>
      <c r="B98" s="2">
        <v>2241300</v>
      </c>
      <c r="D98" s="2">
        <v>5851557.5</v>
      </c>
      <c r="F98" s="15">
        <f t="shared" si="5"/>
        <v>2.6107872663186544</v>
      </c>
      <c r="I98" s="14">
        <v>2.48</v>
      </c>
    </row>
    <row r="99" spans="1:11" x14ac:dyDescent="0.25">
      <c r="A99" s="40">
        <v>43069</v>
      </c>
      <c r="B99" s="2">
        <v>4350000</v>
      </c>
      <c r="D99" s="2">
        <v>12100000</v>
      </c>
      <c r="F99" s="15">
        <f t="shared" si="5"/>
        <v>2.7816091954022988</v>
      </c>
      <c r="I99" s="14">
        <v>2.63</v>
      </c>
    </row>
    <row r="100" spans="1:11" x14ac:dyDescent="0.25">
      <c r="A100" s="40">
        <v>43100</v>
      </c>
      <c r="B100" s="2">
        <v>10402494</v>
      </c>
      <c r="D100" s="2">
        <v>27344673.520000003</v>
      </c>
      <c r="F100" s="15">
        <f t="shared" si="5"/>
        <v>2.6286651566441668</v>
      </c>
      <c r="I100" s="14">
        <v>2.73</v>
      </c>
    </row>
    <row r="101" spans="1:11" x14ac:dyDescent="0.25">
      <c r="A101" s="40">
        <v>43131</v>
      </c>
      <c r="B101" s="39">
        <v>7432600</v>
      </c>
      <c r="D101" s="39">
        <v>21845831.5</v>
      </c>
      <c r="F101" s="15">
        <f t="shared" si="5"/>
        <v>2.9391910636923821</v>
      </c>
      <c r="I101" s="14">
        <v>2.5</v>
      </c>
    </row>
    <row r="102" spans="1:11" x14ac:dyDescent="0.25">
      <c r="A102" s="40">
        <v>43159</v>
      </c>
      <c r="B102" s="39">
        <v>6728088.9989999998</v>
      </c>
      <c r="D102" s="39">
        <v>17934387.77</v>
      </c>
      <c r="F102" s="15">
        <f t="shared" si="5"/>
        <v>2.6655990687200481</v>
      </c>
      <c r="I102" s="14">
        <v>2.8</v>
      </c>
    </row>
    <row r="103" spans="1:11" x14ac:dyDescent="0.25">
      <c r="A103" s="40">
        <v>43190</v>
      </c>
      <c r="B103" s="39">
        <v>3205400</v>
      </c>
      <c r="D103" s="39">
        <v>7403905.4900000002</v>
      </c>
      <c r="F103" s="15">
        <f t="shared" si="5"/>
        <v>2.3098226399201347</v>
      </c>
      <c r="I103" s="14">
        <v>2.17</v>
      </c>
    </row>
    <row r="104" spans="1:11" x14ac:dyDescent="0.25">
      <c r="A104" s="40">
        <v>43220</v>
      </c>
      <c r="B104" s="39">
        <v>1435170.2599999998</v>
      </c>
      <c r="D104" s="39">
        <v>2984401.76</v>
      </c>
      <c r="F104" s="15">
        <f t="shared" si="5"/>
        <v>2.0794757550229619</v>
      </c>
      <c r="I104" s="14">
        <v>1.85</v>
      </c>
      <c r="K104" t="s">
        <v>39</v>
      </c>
    </row>
    <row r="105" spans="1:11" x14ac:dyDescent="0.25">
      <c r="A105" s="40">
        <v>43251</v>
      </c>
      <c r="B105" s="39">
        <v>0</v>
      </c>
      <c r="D105" s="39">
        <v>0</v>
      </c>
      <c r="F105" s="15">
        <v>0</v>
      </c>
      <c r="I105" s="14">
        <v>1.9</v>
      </c>
    </row>
    <row r="106" spans="1:11" x14ac:dyDescent="0.25">
      <c r="A106" s="13">
        <v>43281</v>
      </c>
      <c r="B106" s="39">
        <v>0</v>
      </c>
      <c r="D106" s="39">
        <v>0</v>
      </c>
      <c r="F106" s="15">
        <v>0</v>
      </c>
      <c r="I106" s="14">
        <v>2.09</v>
      </c>
    </row>
    <row r="107" spans="1:11" x14ac:dyDescent="0.25">
      <c r="A107" s="13">
        <v>43312</v>
      </c>
      <c r="B107" s="2">
        <v>4725</v>
      </c>
      <c r="D107" s="2">
        <v>11988</v>
      </c>
      <c r="F107" s="15">
        <f t="shared" si="5"/>
        <v>2.5371428571428569</v>
      </c>
      <c r="I107" s="14">
        <v>2.2400000000000002</v>
      </c>
    </row>
    <row r="108" spans="1:11" x14ac:dyDescent="0.25">
      <c r="A108" s="13">
        <v>43343</v>
      </c>
      <c r="B108" s="12">
        <v>0</v>
      </c>
      <c r="D108" s="12">
        <v>0</v>
      </c>
      <c r="F108" s="15">
        <v>0</v>
      </c>
      <c r="I108" s="14">
        <v>2.41</v>
      </c>
    </row>
    <row r="109" spans="1:11" x14ac:dyDescent="0.25">
      <c r="A109" s="13">
        <v>43373</v>
      </c>
      <c r="B109" s="12">
        <v>18000</v>
      </c>
      <c r="D109" s="12">
        <v>42300</v>
      </c>
      <c r="F109" s="15">
        <f t="shared" si="5"/>
        <v>2.35</v>
      </c>
      <c r="I109" s="14">
        <v>2.3199999999999998</v>
      </c>
    </row>
    <row r="110" spans="1:11" x14ac:dyDescent="0.25">
      <c r="A110" s="13">
        <v>43404</v>
      </c>
      <c r="B110" s="12">
        <v>1324751.915</v>
      </c>
      <c r="D110" s="12">
        <v>3575345.13</v>
      </c>
      <c r="F110" s="15">
        <f t="shared" si="5"/>
        <v>2.6988790048286133</v>
      </c>
      <c r="I110" s="14">
        <v>2.3199999999999998</v>
      </c>
    </row>
    <row r="111" spans="1:11" x14ac:dyDescent="0.25">
      <c r="A111" s="13">
        <v>43434</v>
      </c>
      <c r="B111" s="12">
        <v>5935153.0839999998</v>
      </c>
      <c r="D111" s="12">
        <v>26732916.149999999</v>
      </c>
      <c r="F111" s="15">
        <f t="shared" si="5"/>
        <v>4.5041662399688827</v>
      </c>
      <c r="I111" s="14">
        <v>3.23</v>
      </c>
    </row>
    <row r="112" spans="1:11" x14ac:dyDescent="0.25">
      <c r="A112" s="13">
        <v>43465</v>
      </c>
      <c r="B112" s="12">
        <v>10812116.604</v>
      </c>
      <c r="D112" s="12">
        <v>50992191.579999991</v>
      </c>
      <c r="F112" s="15">
        <f t="shared" si="5"/>
        <v>4.7162080698551803</v>
      </c>
      <c r="I112" s="14">
        <v>5.7</v>
      </c>
    </row>
    <row r="113" spans="1:13" x14ac:dyDescent="0.25">
      <c r="A113" s="13">
        <v>43496</v>
      </c>
      <c r="B113" s="39">
        <v>11397417.393000001</v>
      </c>
      <c r="D113" s="39">
        <v>39685805.640000001</v>
      </c>
      <c r="F113" s="15">
        <f t="shared" si="5"/>
        <v>3.4819998488757635</v>
      </c>
      <c r="I113" s="14">
        <v>4.22</v>
      </c>
      <c r="L113" s="12"/>
      <c r="M113" s="12"/>
    </row>
    <row r="114" spans="1:13" x14ac:dyDescent="0.25">
      <c r="A114" s="13">
        <v>43524</v>
      </c>
      <c r="B114" s="39">
        <v>9392843.4900000002</v>
      </c>
      <c r="D114" s="39">
        <v>59599435.560000002</v>
      </c>
      <c r="F114" s="15">
        <f t="shared" si="5"/>
        <v>6.3451962787894809</v>
      </c>
      <c r="I114" s="14">
        <v>3.38</v>
      </c>
      <c r="L114" s="12"/>
      <c r="M114" s="12"/>
    </row>
    <row r="115" spans="1:13" x14ac:dyDescent="0.25">
      <c r="A115" s="13">
        <v>43555</v>
      </c>
      <c r="B115" s="39">
        <v>3205259.5089999996</v>
      </c>
      <c r="D115" s="39">
        <v>11693197.779999994</v>
      </c>
      <c r="F115" s="15">
        <f t="shared" si="5"/>
        <v>3.6481282551902088</v>
      </c>
      <c r="I115" s="14">
        <v>3.77</v>
      </c>
      <c r="L115" s="12"/>
      <c r="M115" s="12"/>
    </row>
    <row r="116" spans="1:13" x14ac:dyDescent="0.25">
      <c r="A116" s="13">
        <v>43585</v>
      </c>
      <c r="B116" s="39">
        <v>1942848.9989999998</v>
      </c>
      <c r="D116" s="39">
        <v>4958803.32</v>
      </c>
      <c r="F116" s="15">
        <f t="shared" si="5"/>
        <v>2.5523359368393201</v>
      </c>
      <c r="I116" s="14">
        <v>2.48</v>
      </c>
      <c r="L116" s="12"/>
      <c r="M116" s="12"/>
    </row>
    <row r="117" spans="1:13" x14ac:dyDescent="0.25">
      <c r="A117" s="13">
        <v>43616</v>
      </c>
      <c r="B117" s="39">
        <v>286400</v>
      </c>
      <c r="D117" s="39">
        <v>188548.75999999978</v>
      </c>
      <c r="F117" s="15">
        <f>D117/B117</f>
        <v>0.65834064245809976</v>
      </c>
      <c r="I117" s="14">
        <v>1.88</v>
      </c>
      <c r="L117" s="12"/>
      <c r="M117" s="12"/>
    </row>
    <row r="118" spans="1:13" x14ac:dyDescent="0.25">
      <c r="A118" s="13">
        <v>43646</v>
      </c>
      <c r="B118" s="39">
        <v>-60000</v>
      </c>
      <c r="D118" s="39">
        <v>0</v>
      </c>
      <c r="F118" s="15">
        <f t="shared" si="5"/>
        <v>0</v>
      </c>
      <c r="I118" s="14">
        <v>1.89</v>
      </c>
      <c r="L118" s="12"/>
      <c r="M118" s="12"/>
    </row>
    <row r="119" spans="1:13" x14ac:dyDescent="0.25">
      <c r="A119" s="13">
        <v>43677</v>
      </c>
      <c r="B119" s="39">
        <v>0</v>
      </c>
      <c r="D119" s="39">
        <v>0.05</v>
      </c>
      <c r="F119" s="15">
        <v>0</v>
      </c>
      <c r="I119" s="14">
        <v>1.92</v>
      </c>
      <c r="L119" s="12"/>
      <c r="M119" s="12"/>
    </row>
    <row r="120" spans="1:13" x14ac:dyDescent="0.25">
      <c r="A120" s="13">
        <v>43708</v>
      </c>
      <c r="B120" s="2">
        <v>0</v>
      </c>
      <c r="D120" s="2">
        <v>0</v>
      </c>
      <c r="F120" s="15">
        <v>0</v>
      </c>
      <c r="I120" s="14">
        <v>2.0099999999999998</v>
      </c>
      <c r="L120" s="12"/>
      <c r="M120" s="12"/>
    </row>
    <row r="121" spans="1:13" x14ac:dyDescent="0.25">
      <c r="A121" s="13">
        <v>43738</v>
      </c>
      <c r="B121" s="39">
        <v>660000</v>
      </c>
      <c r="C121" s="42"/>
      <c r="D121" s="39">
        <v>1284500</v>
      </c>
      <c r="F121" s="15">
        <f t="shared" si="5"/>
        <v>1.9462121212121213</v>
      </c>
      <c r="I121" s="14">
        <v>1.81</v>
      </c>
      <c r="L121" s="12"/>
      <c r="M121" s="12"/>
    </row>
    <row r="122" spans="1:13" x14ac:dyDescent="0.25">
      <c r="A122" s="13">
        <v>43769</v>
      </c>
      <c r="B122" s="39">
        <v>6142341.9989999998</v>
      </c>
      <c r="C122" s="42"/>
      <c r="D122" s="39">
        <v>12962625.220000001</v>
      </c>
      <c r="F122" s="15">
        <f t="shared" si="5"/>
        <v>2.1103717803584323</v>
      </c>
      <c r="I122" s="14">
        <v>2.0099999999999998</v>
      </c>
      <c r="L122" s="12"/>
      <c r="M122" s="12"/>
    </row>
    <row r="123" spans="1:13" x14ac:dyDescent="0.25">
      <c r="A123" s="13">
        <v>43799</v>
      </c>
      <c r="B123" s="39">
        <v>7765392.8580000009</v>
      </c>
      <c r="C123" s="42"/>
      <c r="D123" s="39">
        <v>21483954.079999998</v>
      </c>
      <c r="F123" s="15">
        <f>D123/B123</f>
        <v>2.7666280989077032</v>
      </c>
      <c r="I123" s="14">
        <v>2.3199999999999998</v>
      </c>
      <c r="L123" s="12"/>
      <c r="M123" s="12"/>
    </row>
    <row r="124" spans="1:13" x14ac:dyDescent="0.25">
      <c r="A124" s="13">
        <v>43830</v>
      </c>
      <c r="B124" s="39">
        <v>8364060.1399999997</v>
      </c>
      <c r="C124" s="42"/>
      <c r="D124" s="39">
        <v>24418804.210000001</v>
      </c>
      <c r="F124" s="15">
        <f>D124/B124</f>
        <v>2.9194917063329489</v>
      </c>
      <c r="I124" s="14">
        <v>3.44</v>
      </c>
      <c r="L124" s="12"/>
      <c r="M124" s="12"/>
    </row>
    <row r="125" spans="1:13" x14ac:dyDescent="0.25">
      <c r="A125" s="13">
        <v>43861</v>
      </c>
      <c r="B125" s="39">
        <v>10799350</v>
      </c>
      <c r="D125" s="2">
        <v>26377137.539999999</v>
      </c>
      <c r="F125" s="15">
        <f t="shared" ref="F125:F145" si="6">D125/B125</f>
        <v>2.4424745507831491</v>
      </c>
      <c r="I125" s="14">
        <v>3.16</v>
      </c>
      <c r="L125" s="39"/>
      <c r="M125" s="39"/>
    </row>
    <row r="126" spans="1:13" x14ac:dyDescent="0.25">
      <c r="A126" s="13">
        <v>43890</v>
      </c>
      <c r="B126" s="39">
        <v>9107487</v>
      </c>
      <c r="D126" s="2">
        <v>15948006.050000001</v>
      </c>
      <c r="F126" s="15">
        <f t="shared" si="6"/>
        <v>1.7510874349861822</v>
      </c>
      <c r="I126" s="14">
        <v>1.8</v>
      </c>
      <c r="L126" s="39"/>
      <c r="M126" s="39"/>
    </row>
    <row r="127" spans="1:13" x14ac:dyDescent="0.25">
      <c r="A127" s="13">
        <v>43921</v>
      </c>
      <c r="B127" s="12">
        <v>3022279</v>
      </c>
      <c r="D127" s="12">
        <v>4766707.91</v>
      </c>
      <c r="F127" s="15">
        <f t="shared" si="6"/>
        <v>1.5771898987485935</v>
      </c>
      <c r="I127" s="14">
        <v>1.56</v>
      </c>
      <c r="L127" s="39"/>
      <c r="M127" s="39"/>
    </row>
    <row r="128" spans="1:13" x14ac:dyDescent="0.25">
      <c r="A128" s="13">
        <v>43951</v>
      </c>
      <c r="B128" s="12">
        <v>2775500</v>
      </c>
      <c r="D128" s="12">
        <v>3970965.0799999996</v>
      </c>
      <c r="F128" s="15">
        <f t="shared" si="6"/>
        <v>1.4307206197081606</v>
      </c>
      <c r="I128" s="14">
        <v>1.29</v>
      </c>
      <c r="L128" s="39"/>
      <c r="M128" s="39"/>
    </row>
    <row r="129" spans="1:13" x14ac:dyDescent="0.25">
      <c r="A129" s="13">
        <v>43982</v>
      </c>
      <c r="B129" s="12">
        <v>1010800</v>
      </c>
      <c r="D129" s="12">
        <v>1592303.02</v>
      </c>
      <c r="F129" s="15">
        <f t="shared" si="6"/>
        <v>1.575289889196676</v>
      </c>
      <c r="I129" s="14">
        <v>1.59</v>
      </c>
      <c r="L129" s="39"/>
      <c r="M129" s="39"/>
    </row>
    <row r="130" spans="1:13" x14ac:dyDescent="0.25">
      <c r="A130" s="13">
        <v>44012</v>
      </c>
      <c r="B130" s="12">
        <v>390000</v>
      </c>
      <c r="D130" s="12">
        <v>565650</v>
      </c>
      <c r="F130" s="15">
        <f t="shared" si="6"/>
        <v>1.4503846153846154</v>
      </c>
      <c r="I130" s="14">
        <v>1.54</v>
      </c>
      <c r="L130" s="39"/>
      <c r="M130" s="39"/>
    </row>
    <row r="131" spans="1:13" x14ac:dyDescent="0.25">
      <c r="A131" s="13">
        <v>44043</v>
      </c>
      <c r="B131" s="12">
        <v>55000</v>
      </c>
      <c r="D131" s="12">
        <v>74675</v>
      </c>
      <c r="F131" s="15">
        <f t="shared" si="6"/>
        <v>1.3577272727272727</v>
      </c>
      <c r="I131" s="14">
        <v>1.53</v>
      </c>
      <c r="L131" s="39"/>
      <c r="M131" s="39"/>
    </row>
    <row r="132" spans="1:13" x14ac:dyDescent="0.25">
      <c r="A132" s="13">
        <v>44074</v>
      </c>
      <c r="B132" s="12">
        <v>0</v>
      </c>
      <c r="D132" s="12">
        <v>0</v>
      </c>
      <c r="F132" s="15">
        <v>0</v>
      </c>
      <c r="I132" s="14">
        <v>1.69</v>
      </c>
      <c r="L132" s="39"/>
      <c r="M132" s="39"/>
    </row>
    <row r="133" spans="1:13" x14ac:dyDescent="0.25">
      <c r="A133" s="13">
        <v>44104</v>
      </c>
      <c r="B133" s="2">
        <v>1111719</v>
      </c>
      <c r="C133" s="2"/>
      <c r="D133" s="2">
        <v>1756001.03</v>
      </c>
      <c r="F133" s="15">
        <f t="shared" si="6"/>
        <v>1.5795367624372707</v>
      </c>
      <c r="I133" s="14">
        <v>2.39</v>
      </c>
      <c r="L133" s="39"/>
      <c r="M133" s="39"/>
    </row>
    <row r="134" spans="1:13" x14ac:dyDescent="0.25">
      <c r="A134" s="13">
        <v>44135</v>
      </c>
      <c r="B134" s="2">
        <v>3307222</v>
      </c>
      <c r="C134" s="2"/>
      <c r="D134" s="2">
        <v>9144823.2100000009</v>
      </c>
      <c r="F134" s="15">
        <f t="shared" si="6"/>
        <v>2.7651071533752498</v>
      </c>
      <c r="I134" s="14">
        <v>2.23</v>
      </c>
      <c r="L134" s="39"/>
      <c r="M134" s="39"/>
    </row>
    <row r="135" spans="1:13" x14ac:dyDescent="0.25">
      <c r="A135" s="13">
        <v>44165</v>
      </c>
      <c r="B135" s="2">
        <v>8592313</v>
      </c>
      <c r="C135" s="2"/>
      <c r="D135" s="2">
        <v>24857994.43</v>
      </c>
      <c r="F135" s="15">
        <f t="shared" si="6"/>
        <v>2.8930503846868705</v>
      </c>
      <c r="I135" s="14">
        <v>3.03</v>
      </c>
      <c r="L135" s="39"/>
      <c r="M135" s="39"/>
    </row>
    <row r="136" spans="1:13" x14ac:dyDescent="0.25">
      <c r="A136" s="13">
        <v>44196</v>
      </c>
      <c r="B136" s="2">
        <v>12633873</v>
      </c>
      <c r="C136" s="2"/>
      <c r="D136" s="2">
        <v>38672286.539999999</v>
      </c>
      <c r="F136" s="15">
        <f t="shared" si="6"/>
        <v>3.0610001018689994</v>
      </c>
      <c r="I136" s="14">
        <v>2.94</v>
      </c>
      <c r="L136" s="39"/>
      <c r="M136" s="39"/>
    </row>
    <row r="137" spans="1:13" x14ac:dyDescent="0.25">
      <c r="A137" s="13">
        <v>44227</v>
      </c>
      <c r="B137" s="12">
        <v>11559558</v>
      </c>
      <c r="D137" s="12">
        <v>35543144.25</v>
      </c>
      <c r="F137" s="15">
        <f t="shared" si="6"/>
        <v>3.0747840228839198</v>
      </c>
      <c r="I137" s="14">
        <v>3.23</v>
      </c>
    </row>
    <row r="138" spans="1:13" x14ac:dyDescent="0.25">
      <c r="A138" s="13">
        <v>44255</v>
      </c>
      <c r="B138" s="12">
        <v>7352396</v>
      </c>
      <c r="D138" s="12">
        <v>80487150.700000003</v>
      </c>
      <c r="F138" s="15">
        <f t="shared" si="6"/>
        <v>10.947064154324659</v>
      </c>
      <c r="I138" s="14">
        <v>2.75</v>
      </c>
    </row>
    <row r="139" spans="1:13" x14ac:dyDescent="0.25">
      <c r="A139" s="13">
        <v>44286</v>
      </c>
      <c r="B139" s="39">
        <v>5564700</v>
      </c>
      <c r="D139" s="39">
        <v>14647757.159999996</v>
      </c>
      <c r="F139" s="15">
        <f t="shared" si="6"/>
        <v>2.6322635829424761</v>
      </c>
      <c r="I139" s="14">
        <v>3.04</v>
      </c>
    </row>
    <row r="140" spans="1:13" x14ac:dyDescent="0.25">
      <c r="A140" s="13">
        <v>44316</v>
      </c>
      <c r="B140" s="39">
        <v>2854446</v>
      </c>
      <c r="D140" s="39">
        <v>7145080.1400000006</v>
      </c>
      <c r="F140" s="15">
        <f t="shared" si="6"/>
        <v>2.5031407635667309</v>
      </c>
      <c r="I140" s="14">
        <v>2.41</v>
      </c>
    </row>
    <row r="141" spans="1:13" x14ac:dyDescent="0.25">
      <c r="A141" s="13">
        <v>44347</v>
      </c>
      <c r="B141" s="39">
        <v>276309</v>
      </c>
      <c r="D141" s="39">
        <v>748541.46000000008</v>
      </c>
      <c r="F141" s="15">
        <f t="shared" si="6"/>
        <v>2.7090737543836796</v>
      </c>
      <c r="I141" s="14">
        <v>2.8</v>
      </c>
    </row>
    <row r="142" spans="1:13" x14ac:dyDescent="0.25">
      <c r="A142" s="13">
        <v>44377</v>
      </c>
      <c r="B142" s="39">
        <v>426600</v>
      </c>
      <c r="D142" s="39">
        <v>1150487</v>
      </c>
      <c r="F142" s="15">
        <f t="shared" si="6"/>
        <v>2.6968752930145334</v>
      </c>
      <c r="I142" s="14">
        <v>2.91</v>
      </c>
    </row>
    <row r="143" spans="1:13" x14ac:dyDescent="0.25">
      <c r="A143" s="13">
        <v>44408</v>
      </c>
      <c r="F143" s="15">
        <v>0</v>
      </c>
      <c r="I143" s="14">
        <v>3.79</v>
      </c>
    </row>
    <row r="144" spans="1:13" x14ac:dyDescent="0.25">
      <c r="A144" s="13">
        <v>44439</v>
      </c>
      <c r="B144" s="39">
        <v>70000</v>
      </c>
      <c r="D144" s="39">
        <v>262894.69</v>
      </c>
      <c r="F144" s="15">
        <f t="shared" si="6"/>
        <v>3.7556384285714288</v>
      </c>
      <c r="I144" s="14">
        <v>4.04</v>
      </c>
    </row>
    <row r="145" spans="1:14" x14ac:dyDescent="0.25">
      <c r="A145" s="13">
        <v>44469</v>
      </c>
      <c r="B145" s="12">
        <v>458699</v>
      </c>
      <c r="D145" s="12">
        <v>2295025.89</v>
      </c>
      <c r="F145" s="15">
        <f t="shared" si="6"/>
        <v>5.0033374609493375</v>
      </c>
      <c r="I145" s="14">
        <v>4.09</v>
      </c>
    </row>
    <row r="146" spans="1:14" x14ac:dyDescent="0.25">
      <c r="A146" s="13">
        <v>44500</v>
      </c>
      <c r="B146" s="12">
        <v>5371816</v>
      </c>
      <c r="D146" s="12">
        <v>29004795.629999999</v>
      </c>
      <c r="F146" s="15">
        <f>D146/B146</f>
        <v>5.3994395247342792</v>
      </c>
      <c r="I146" s="14">
        <v>5.6</v>
      </c>
    </row>
    <row r="147" spans="1:14" x14ac:dyDescent="0.25">
      <c r="A147" s="13">
        <v>44530</v>
      </c>
      <c r="B147" s="12">
        <v>6568731</v>
      </c>
      <c r="D147" s="12">
        <v>33794362.380000003</v>
      </c>
      <c r="F147" s="15">
        <f>D147/B147</f>
        <v>5.144732274772708</v>
      </c>
      <c r="I147" s="14">
        <v>6.34</v>
      </c>
    </row>
    <row r="148" spans="1:14" x14ac:dyDescent="0.25">
      <c r="A148" s="13">
        <v>44561</v>
      </c>
      <c r="B148" s="12">
        <v>12416446</v>
      </c>
      <c r="D148" s="12">
        <v>73605808.310000002</v>
      </c>
      <c r="F148" s="15">
        <f>D148/B148</f>
        <v>5.9280899147791564</v>
      </c>
      <c r="I148" s="14">
        <v>5.78</v>
      </c>
    </row>
    <row r="149" spans="1:14" x14ac:dyDescent="0.25">
      <c r="A149" s="13">
        <v>44592</v>
      </c>
      <c r="B149" s="12">
        <v>12893456</v>
      </c>
      <c r="D149" s="12">
        <v>81340735.099999994</v>
      </c>
      <c r="F149" s="15">
        <f>D149/B149</f>
        <v>6.30868365316483</v>
      </c>
      <c r="I149" s="14">
        <v>7.87</v>
      </c>
      <c r="M149" s="12"/>
      <c r="N149" s="12"/>
    </row>
    <row r="150" spans="1:14" x14ac:dyDescent="0.25">
      <c r="A150" s="13">
        <v>44620</v>
      </c>
      <c r="B150" s="12">
        <v>11033053</v>
      </c>
      <c r="D150" s="12">
        <v>57239717.239999995</v>
      </c>
      <c r="F150" s="15">
        <f>D150/B150</f>
        <v>5.1880215965608061</v>
      </c>
      <c r="I150" s="14">
        <v>5.04</v>
      </c>
      <c r="M150" s="12"/>
      <c r="N150" s="12"/>
    </row>
    <row r="151" spans="1:14" x14ac:dyDescent="0.25">
      <c r="A151" s="13">
        <v>44651</v>
      </c>
      <c r="B151" s="12">
        <v>5381865</v>
      </c>
      <c r="D151" s="12">
        <v>23739402.969999999</v>
      </c>
      <c r="F151" s="15">
        <f t="shared" ref="F151:F195" si="7">D151/B151</f>
        <v>4.4109993413064057</v>
      </c>
      <c r="I151" s="14">
        <v>4.38</v>
      </c>
      <c r="M151" s="12"/>
      <c r="N151" s="12"/>
    </row>
    <row r="152" spans="1:14" x14ac:dyDescent="0.25">
      <c r="A152" s="13">
        <v>44681</v>
      </c>
      <c r="B152" s="12">
        <v>2705414</v>
      </c>
      <c r="D152" s="12">
        <v>15467722.090000004</v>
      </c>
      <c r="F152" s="15">
        <f t="shared" si="7"/>
        <v>5.7173216705465428</v>
      </c>
      <c r="I152" s="14">
        <v>4.8600000000000003</v>
      </c>
      <c r="M152" s="12"/>
      <c r="N152" s="12"/>
    </row>
    <row r="153" spans="1:14" x14ac:dyDescent="0.25">
      <c r="A153" s="13">
        <v>44712</v>
      </c>
      <c r="B153" s="12">
        <v>1055460</v>
      </c>
      <c r="D153" s="12">
        <v>8322786.9100000001</v>
      </c>
      <c r="F153" s="15">
        <f t="shared" si="7"/>
        <v>7.8854593352661402</v>
      </c>
      <c r="I153" s="14">
        <v>6.4</v>
      </c>
      <c r="M153" s="12"/>
      <c r="N153" s="12"/>
    </row>
    <row r="154" spans="1:14" x14ac:dyDescent="0.25">
      <c r="A154" s="13">
        <v>44742</v>
      </c>
      <c r="B154" s="12">
        <v>480000</v>
      </c>
      <c r="D154" s="12">
        <v>3058495.1300000008</v>
      </c>
      <c r="F154" s="15">
        <f t="shared" si="7"/>
        <v>6.3718648541666685</v>
      </c>
      <c r="I154" s="14">
        <v>8.8000000000000007</v>
      </c>
      <c r="M154" s="12"/>
      <c r="N154" s="12"/>
    </row>
    <row r="155" spans="1:14" x14ac:dyDescent="0.25">
      <c r="A155" s="13">
        <v>44773</v>
      </c>
      <c r="B155" s="12">
        <v>250000</v>
      </c>
      <c r="D155" s="12">
        <v>1496975</v>
      </c>
      <c r="F155" s="15">
        <f t="shared" si="7"/>
        <v>5.9878999999999998</v>
      </c>
      <c r="I155" s="14">
        <v>6.18</v>
      </c>
      <c r="M155" s="12"/>
      <c r="N155" s="12"/>
    </row>
    <row r="156" spans="1:14" x14ac:dyDescent="0.25">
      <c r="A156" s="13">
        <v>44804</v>
      </c>
      <c r="B156" s="12">
        <v>275000</v>
      </c>
      <c r="D156" s="12">
        <v>2363150</v>
      </c>
      <c r="F156" s="15">
        <f t="shared" si="7"/>
        <v>8.5932727272727281</v>
      </c>
      <c r="I156" s="14">
        <v>8.4499999999999993</v>
      </c>
      <c r="M156" s="12"/>
      <c r="N156" s="12"/>
    </row>
    <row r="157" spans="1:14" x14ac:dyDescent="0.25">
      <c r="A157" s="13">
        <v>44834</v>
      </c>
      <c r="B157" s="44">
        <v>1315744</v>
      </c>
      <c r="D157" s="44">
        <v>8528491.0199999996</v>
      </c>
      <c r="F157" s="15">
        <f t="shared" si="7"/>
        <v>6.4818771888756475</v>
      </c>
      <c r="I157" s="14">
        <v>8.73</v>
      </c>
      <c r="M157" s="12"/>
      <c r="N157" s="12"/>
    </row>
    <row r="158" spans="1:14" x14ac:dyDescent="0.25">
      <c r="A158" s="13">
        <v>44865</v>
      </c>
      <c r="B158" s="44">
        <v>4875556</v>
      </c>
      <c r="D158" s="44">
        <v>24852565.129999999</v>
      </c>
      <c r="F158" s="15">
        <f t="shared" si="7"/>
        <v>5.0973807151430526</v>
      </c>
      <c r="I158" s="14">
        <v>5.51</v>
      </c>
      <c r="M158" s="12"/>
      <c r="N158" s="12"/>
    </row>
    <row r="159" spans="1:14" x14ac:dyDescent="0.25">
      <c r="A159" s="13">
        <v>44895</v>
      </c>
      <c r="B159" s="44">
        <v>12355455</v>
      </c>
      <c r="D159" s="44">
        <v>95302646.5</v>
      </c>
      <c r="F159" s="15">
        <f t="shared" si="7"/>
        <v>7.7134064670220566</v>
      </c>
      <c r="I159" s="14">
        <v>5.73</v>
      </c>
      <c r="M159" s="12"/>
      <c r="N159" s="12"/>
    </row>
    <row r="160" spans="1:14" x14ac:dyDescent="0.25">
      <c r="A160" s="13">
        <v>44926</v>
      </c>
      <c r="B160" s="44">
        <v>13761228</v>
      </c>
      <c r="D160" s="44">
        <v>261697671.16000003</v>
      </c>
      <c r="F160" s="15">
        <f t="shared" si="7"/>
        <v>19.017028942475193</v>
      </c>
      <c r="I160" s="14">
        <v>11.39</v>
      </c>
      <c r="M160" s="12"/>
    </row>
    <row r="161" spans="1:12" x14ac:dyDescent="0.25">
      <c r="A161" s="13">
        <v>44957</v>
      </c>
      <c r="B161" s="44">
        <v>13893017</v>
      </c>
      <c r="D161" s="44">
        <v>384616561.31999993</v>
      </c>
      <c r="F161" s="15">
        <f t="shared" si="7"/>
        <v>27.684164017074185</v>
      </c>
      <c r="I161" s="14">
        <v>49.57</v>
      </c>
    </row>
    <row r="162" spans="1:12" x14ac:dyDescent="0.25">
      <c r="A162" s="13">
        <v>44985</v>
      </c>
      <c r="B162" s="44">
        <v>13285854</v>
      </c>
      <c r="D162" s="44">
        <v>138809980.82999998</v>
      </c>
      <c r="F162" s="15">
        <f t="shared" si="7"/>
        <v>10.447953201201818</v>
      </c>
      <c r="I162" s="14">
        <v>12.44</v>
      </c>
    </row>
    <row r="163" spans="1:12" x14ac:dyDescent="0.25">
      <c r="A163" s="13">
        <v>45016</v>
      </c>
      <c r="B163" s="44">
        <v>11782082</v>
      </c>
      <c r="C163" s="44"/>
      <c r="D163" s="44">
        <v>65117962.809999987</v>
      </c>
      <c r="F163" s="15">
        <f t="shared" si="7"/>
        <v>5.526863826783754</v>
      </c>
      <c r="I163" s="14">
        <v>5.0730000000000004</v>
      </c>
    </row>
    <row r="164" spans="1:12" x14ac:dyDescent="0.25">
      <c r="A164" s="13">
        <v>45046</v>
      </c>
      <c r="B164" s="44">
        <v>5715762</v>
      </c>
      <c r="C164" s="44"/>
      <c r="D164" s="44">
        <v>23128639.829999998</v>
      </c>
      <c r="F164" s="15">
        <f t="shared" si="7"/>
        <v>4.0464665656127741</v>
      </c>
      <c r="I164" s="14">
        <v>3.87</v>
      </c>
    </row>
    <row r="165" spans="1:12" x14ac:dyDescent="0.25">
      <c r="A165" s="13">
        <v>45077</v>
      </c>
      <c r="B165" s="44">
        <v>1808424</v>
      </c>
      <c r="C165" s="44"/>
      <c r="D165" s="44">
        <v>3228259.0599999991</v>
      </c>
      <c r="F165" s="15">
        <f t="shared" si="7"/>
        <v>1.7851228804749324</v>
      </c>
      <c r="I165" s="14">
        <v>2.36</v>
      </c>
    </row>
    <row r="166" spans="1:12" x14ac:dyDescent="0.25">
      <c r="A166" s="13">
        <v>45107</v>
      </c>
      <c r="B166" s="44">
        <v>1723731</v>
      </c>
      <c r="D166" s="44">
        <v>3388006.73</v>
      </c>
      <c r="F166" s="15">
        <f t="shared" si="7"/>
        <v>1.9655078025515582</v>
      </c>
      <c r="I166" s="14">
        <v>2.3199999999999998</v>
      </c>
    </row>
    <row r="167" spans="1:12" x14ac:dyDescent="0.25">
      <c r="A167" s="13">
        <v>45138</v>
      </c>
      <c r="B167" s="44">
        <v>837090</v>
      </c>
      <c r="D167" s="2">
        <v>2465304.1599999997</v>
      </c>
      <c r="F167" s="15">
        <f t="shared" si="7"/>
        <v>2.9450885328937146</v>
      </c>
      <c r="I167" s="14">
        <v>2.95</v>
      </c>
    </row>
    <row r="168" spans="1:12" x14ac:dyDescent="0.25">
      <c r="A168" s="13">
        <v>45169</v>
      </c>
      <c r="B168" s="44">
        <v>1192356</v>
      </c>
      <c r="D168" s="2">
        <v>3512184.49</v>
      </c>
      <c r="F168" s="15">
        <f t="shared" si="7"/>
        <v>2.9455837769927773</v>
      </c>
      <c r="I168" s="14">
        <v>3.98</v>
      </c>
    </row>
    <row r="169" spans="1:12" x14ac:dyDescent="0.25">
      <c r="A169" s="13">
        <v>45199</v>
      </c>
      <c r="B169" s="2">
        <v>1180048</v>
      </c>
      <c r="C169" s="2"/>
      <c r="D169" s="2">
        <v>2499941.2699999996</v>
      </c>
      <c r="F169" s="15">
        <f t="shared" si="7"/>
        <v>2.1185081200086771</v>
      </c>
      <c r="I169" s="14">
        <v>3.26</v>
      </c>
    </row>
    <row r="170" spans="1:12" x14ac:dyDescent="0.25">
      <c r="A170" s="13">
        <v>45230</v>
      </c>
      <c r="B170" s="2">
        <v>4344167</v>
      </c>
      <c r="C170" s="2"/>
      <c r="D170" s="2">
        <v>14908592.18</v>
      </c>
      <c r="F170" s="15">
        <f t="shared" si="7"/>
        <v>3.4318644241807461</v>
      </c>
      <c r="I170" s="14">
        <v>2.6</v>
      </c>
    </row>
    <row r="171" spans="1:12" x14ac:dyDescent="0.25">
      <c r="A171" s="13">
        <v>45260</v>
      </c>
      <c r="B171" s="2">
        <v>9019271</v>
      </c>
      <c r="C171" s="2"/>
      <c r="D171" s="2">
        <v>37625000.060000002</v>
      </c>
      <c r="F171" s="15">
        <f t="shared" si="7"/>
        <v>4.1716231899451746</v>
      </c>
      <c r="I171" s="14">
        <v>5.09</v>
      </c>
    </row>
    <row r="172" spans="1:12" x14ac:dyDescent="0.25">
      <c r="A172" s="13">
        <v>45291</v>
      </c>
      <c r="B172" s="2">
        <v>11708004</v>
      </c>
      <c r="C172" s="2"/>
      <c r="D172" s="2">
        <v>56969903.180000007</v>
      </c>
      <c r="F172" s="15">
        <f t="shared" si="7"/>
        <v>4.8658937236440991</v>
      </c>
      <c r="I172" s="14">
        <v>5.9</v>
      </c>
    </row>
    <row r="173" spans="1:12" x14ac:dyDescent="0.25">
      <c r="A173" s="13">
        <v>45322</v>
      </c>
      <c r="B173" s="2">
        <v>19643006</v>
      </c>
      <c r="C173" s="2"/>
      <c r="D173" s="2">
        <v>91854133.390000015</v>
      </c>
      <c r="F173" s="15">
        <f t="shared" si="7"/>
        <v>4.6761749902229841</v>
      </c>
      <c r="I173" s="14">
        <v>3.56</v>
      </c>
    </row>
    <row r="174" spans="1:12" x14ac:dyDescent="0.25">
      <c r="A174" s="13">
        <v>45351</v>
      </c>
      <c r="B174" s="2">
        <v>9968111</v>
      </c>
      <c r="C174" s="2"/>
      <c r="D174" s="2">
        <v>48186148.549999997</v>
      </c>
      <c r="F174" s="15">
        <f t="shared" si="7"/>
        <v>4.8340300935653699</v>
      </c>
      <c r="I174" s="14">
        <v>4.88</v>
      </c>
      <c r="K174" s="2"/>
      <c r="L174" s="2"/>
    </row>
    <row r="175" spans="1:12" x14ac:dyDescent="0.25">
      <c r="A175" s="13">
        <v>45382</v>
      </c>
      <c r="B175" s="2">
        <v>6813011</v>
      </c>
      <c r="C175" s="2"/>
      <c r="D175" s="2">
        <v>6913663.4600000009</v>
      </c>
      <c r="F175" s="15">
        <f t="shared" si="7"/>
        <v>1.0147735648746201</v>
      </c>
      <c r="I175" s="14">
        <v>1.64</v>
      </c>
      <c r="K175" s="2"/>
      <c r="L175" s="2"/>
    </row>
    <row r="176" spans="1:12" x14ac:dyDescent="0.25">
      <c r="A176" s="13">
        <v>45412</v>
      </c>
      <c r="B176" s="2">
        <v>3550216</v>
      </c>
      <c r="C176" s="2"/>
      <c r="D176" s="2">
        <v>4558829.3499999996</v>
      </c>
      <c r="F176" s="15">
        <f t="shared" si="7"/>
        <v>1.2840991505868937</v>
      </c>
      <c r="I176" s="14">
        <v>1.44</v>
      </c>
      <c r="K176" s="2"/>
      <c r="L176" s="2"/>
    </row>
    <row r="177" spans="1:9" x14ac:dyDescent="0.25">
      <c r="A177" s="13">
        <v>45443</v>
      </c>
      <c r="B177" s="2">
        <v>2394115</v>
      </c>
      <c r="C177" s="2"/>
      <c r="D177" s="2">
        <v>3254342.9699999997</v>
      </c>
      <c r="F177" s="15">
        <f t="shared" si="7"/>
        <v>1.3593093773690903</v>
      </c>
      <c r="I177" s="14">
        <v>1.29</v>
      </c>
    </row>
    <row r="178" spans="1:9" x14ac:dyDescent="0.25">
      <c r="A178" s="13">
        <v>45473</v>
      </c>
      <c r="B178" s="2">
        <v>299494</v>
      </c>
      <c r="C178" s="2"/>
      <c r="D178" s="2">
        <v>380074.02</v>
      </c>
      <c r="F178" s="15">
        <f t="shared" si="7"/>
        <v>1.2690538708621877</v>
      </c>
      <c r="I178" s="14">
        <v>1.47</v>
      </c>
    </row>
    <row r="179" spans="1:9" x14ac:dyDescent="0.25">
      <c r="A179" s="13">
        <v>45504</v>
      </c>
      <c r="B179" s="2">
        <v>310000</v>
      </c>
      <c r="C179" s="2"/>
      <c r="D179" s="2">
        <v>682000</v>
      </c>
      <c r="F179" s="15">
        <f t="shared" si="7"/>
        <v>2.2000000000000002</v>
      </c>
      <c r="I179" s="14">
        <v>2.4</v>
      </c>
    </row>
    <row r="180" spans="1:9" x14ac:dyDescent="0.25">
      <c r="A180" s="13">
        <v>45535</v>
      </c>
      <c r="B180" s="2">
        <v>309738</v>
      </c>
      <c r="C180" s="2"/>
      <c r="D180" s="2">
        <v>535723.60000000009</v>
      </c>
      <c r="F180" s="15">
        <f t="shared" si="7"/>
        <v>1.7296024381896962</v>
      </c>
      <c r="I180" s="14">
        <v>1.93</v>
      </c>
    </row>
    <row r="181" spans="1:9" x14ac:dyDescent="0.25">
      <c r="A181" s="13">
        <v>45565</v>
      </c>
      <c r="B181" s="2">
        <v>298717</v>
      </c>
      <c r="C181" s="2"/>
      <c r="D181" s="2">
        <v>363924.94</v>
      </c>
      <c r="F181" s="15">
        <f t="shared" si="7"/>
        <v>1.2182933679703531</v>
      </c>
      <c r="I181" s="14">
        <v>1.42</v>
      </c>
    </row>
    <row r="182" spans="1:9" x14ac:dyDescent="0.25">
      <c r="A182" s="13">
        <v>45596</v>
      </c>
      <c r="B182" s="2">
        <v>2276258</v>
      </c>
      <c r="C182" s="2"/>
      <c r="D182" s="2">
        <v>4344686.03</v>
      </c>
      <c r="F182" s="15">
        <f t="shared" si="7"/>
        <v>1.9086966547728774</v>
      </c>
      <c r="I182" s="14">
        <v>2.15</v>
      </c>
    </row>
    <row r="183" spans="1:9" x14ac:dyDescent="0.25">
      <c r="A183" s="13">
        <v>45626</v>
      </c>
      <c r="B183" s="2">
        <v>10000654</v>
      </c>
      <c r="C183" s="2"/>
      <c r="D183" s="2">
        <v>25283682.420000002</v>
      </c>
      <c r="F183" s="15">
        <f t="shared" si="7"/>
        <v>2.5282028975305018</v>
      </c>
      <c r="I183" s="14">
        <v>3.18</v>
      </c>
    </row>
    <row r="184" spans="1:9" x14ac:dyDescent="0.25">
      <c r="A184" s="13">
        <v>45657</v>
      </c>
      <c r="B184" s="2">
        <v>10545953</v>
      </c>
      <c r="C184" s="2"/>
      <c r="D184" s="2">
        <v>46261029.43</v>
      </c>
      <c r="F184" s="15">
        <f t="shared" si="7"/>
        <v>4.3866144131307996</v>
      </c>
      <c r="I184" s="14">
        <v>3.95</v>
      </c>
    </row>
    <row r="185" spans="1:9" x14ac:dyDescent="0.25">
      <c r="A185" s="13">
        <v>45688</v>
      </c>
      <c r="B185" s="2">
        <v>12476353</v>
      </c>
      <c r="C185" s="2"/>
      <c r="D185" s="2">
        <v>66116684.649999999</v>
      </c>
      <c r="F185" s="15">
        <f t="shared" si="7"/>
        <v>5.2993598890637355</v>
      </c>
      <c r="I185" s="14">
        <v>4.42</v>
      </c>
    </row>
    <row r="186" spans="1:9" x14ac:dyDescent="0.25">
      <c r="A186" s="13">
        <v>45716</v>
      </c>
      <c r="B186" s="2">
        <v>7697754</v>
      </c>
      <c r="C186" s="2"/>
      <c r="D186" s="2">
        <v>36298050.43</v>
      </c>
      <c r="F186" s="15">
        <f t="shared" si="7"/>
        <v>4.7154079527612858</v>
      </c>
      <c r="I186" s="14">
        <v>3.85</v>
      </c>
    </row>
    <row r="187" spans="1:9" x14ac:dyDescent="0.25">
      <c r="A187" s="13">
        <v>45747</v>
      </c>
      <c r="B187" s="2">
        <v>6030717</v>
      </c>
      <c r="C187" s="2"/>
      <c r="D187" s="2">
        <v>20614518.590000004</v>
      </c>
      <c r="F187" s="15">
        <f t="shared" si="7"/>
        <v>3.4182533503064403</v>
      </c>
      <c r="I187" s="14">
        <v>3.36</v>
      </c>
    </row>
    <row r="188" spans="1:9" x14ac:dyDescent="0.25">
      <c r="A188" s="13">
        <v>45777</v>
      </c>
      <c r="B188" s="2">
        <v>3547500</v>
      </c>
      <c r="C188" s="2"/>
      <c r="D188" s="2">
        <v>7173202</v>
      </c>
      <c r="F188" s="15">
        <f t="shared" si="7"/>
        <v>2.0220442565186749</v>
      </c>
      <c r="I188" s="14">
        <v>2.21</v>
      </c>
    </row>
    <row r="189" spans="1:9" x14ac:dyDescent="0.25">
      <c r="A189" s="13">
        <v>45808</v>
      </c>
      <c r="B189" s="2">
        <v>3359509</v>
      </c>
      <c r="C189" s="2"/>
      <c r="D189" s="2">
        <v>6785456.2599999998</v>
      </c>
      <c r="F189" s="15">
        <f t="shared" si="7"/>
        <v>2.0197761815789153</v>
      </c>
      <c r="I189" s="14">
        <v>1.8</v>
      </c>
    </row>
    <row r="190" spans="1:9" x14ac:dyDescent="0.25">
      <c r="A190" s="13">
        <v>45838</v>
      </c>
      <c r="B190" s="2">
        <v>1318120</v>
      </c>
      <c r="C190" s="2"/>
      <c r="D190" s="2">
        <v>3354350.7200000007</v>
      </c>
      <c r="F190" s="15">
        <f t="shared" si="7"/>
        <v>2.5447991988589815</v>
      </c>
      <c r="I190" s="14">
        <v>2.52</v>
      </c>
    </row>
    <row r="191" spans="1:9" x14ac:dyDescent="0.25">
      <c r="A191" s="13">
        <v>45869</v>
      </c>
      <c r="B191" s="2">
        <v>420542</v>
      </c>
      <c r="C191" s="2"/>
      <c r="D191" s="2">
        <v>1184079.3200000003</v>
      </c>
      <c r="F191" s="15">
        <f t="shared" si="7"/>
        <v>2.8156030075474039</v>
      </c>
      <c r="I191" s="14">
        <v>2.71</v>
      </c>
    </row>
    <row r="192" spans="1:9" x14ac:dyDescent="0.25">
      <c r="A192" s="13">
        <v>45900</v>
      </c>
      <c r="B192" s="2">
        <v>418000</v>
      </c>
      <c r="C192" s="2"/>
      <c r="D192" s="2">
        <v>1050319.99</v>
      </c>
      <c r="F192" s="15">
        <f t="shared" si="7"/>
        <v>2.5127272488038277</v>
      </c>
      <c r="I192" s="14">
        <v>2.66</v>
      </c>
    </row>
    <row r="193" spans="1:9" x14ac:dyDescent="0.25">
      <c r="A193" s="13">
        <v>45930</v>
      </c>
      <c r="B193" s="2">
        <v>199103</v>
      </c>
      <c r="D193" s="2">
        <v>552716.47</v>
      </c>
      <c r="F193" s="15">
        <f t="shared" si="7"/>
        <v>2.776032857365283</v>
      </c>
      <c r="I193" s="14">
        <v>2.33</v>
      </c>
    </row>
    <row r="194" spans="1:9" x14ac:dyDescent="0.25">
      <c r="A194" s="13">
        <v>45961</v>
      </c>
      <c r="B194" s="2">
        <v>3108600</v>
      </c>
      <c r="D194" s="2">
        <v>7490027.5</v>
      </c>
      <c r="F194" s="15">
        <f t="shared" si="7"/>
        <v>2.4094536125587083</v>
      </c>
      <c r="I194" s="14">
        <v>2.4900000000000002</v>
      </c>
    </row>
    <row r="195" spans="1:9" x14ac:dyDescent="0.25">
      <c r="A195" s="13">
        <v>45991</v>
      </c>
      <c r="B195" s="2">
        <v>5035380</v>
      </c>
      <c r="D195" s="2">
        <v>20683613.699999999</v>
      </c>
      <c r="F195" s="15">
        <f t="shared" si="7"/>
        <v>4.1076569593555998</v>
      </c>
      <c r="I195" s="14">
        <v>2.9</v>
      </c>
    </row>
    <row r="196" spans="1:9" x14ac:dyDescent="0.25">
      <c r="A196" s="13">
        <v>46022</v>
      </c>
      <c r="B196" s="2"/>
    </row>
  </sheetData>
  <pageMargins left="1.2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3:M241"/>
  <sheetViews>
    <sheetView workbookViewId="0">
      <selection activeCell="E81" sqref="E81"/>
    </sheetView>
  </sheetViews>
  <sheetFormatPr defaultColWidth="9.140625" defaultRowHeight="15" x14ac:dyDescent="0.25"/>
  <cols>
    <col min="1" max="1" width="10.85546875" bestFit="1" customWidth="1"/>
    <col min="2" max="2" width="18.85546875" customWidth="1"/>
    <col min="3" max="3" width="12.5703125" customWidth="1"/>
    <col min="4" max="4" width="10.42578125" customWidth="1"/>
    <col min="5" max="5" width="18.42578125" bestFit="1" customWidth="1"/>
    <col min="6" max="6" width="9.140625" customWidth="1"/>
    <col min="7" max="7" width="14.5703125" customWidth="1"/>
    <col min="8" max="8" width="15.5703125" customWidth="1"/>
    <col min="9" max="10" width="16.85546875" customWidth="1"/>
    <col min="11" max="11" width="14.85546875" customWidth="1"/>
    <col min="12" max="12" width="16.5703125" customWidth="1"/>
    <col min="13" max="13" width="16.42578125" bestFit="1" customWidth="1"/>
    <col min="14" max="14" width="16.5703125" bestFit="1" customWidth="1"/>
    <col min="15" max="15" width="18.85546875" customWidth="1"/>
    <col min="16" max="16" width="10.85546875" customWidth="1"/>
  </cols>
  <sheetData>
    <row r="3" spans="1:12" x14ac:dyDescent="0.25">
      <c r="B3" s="9" t="s">
        <v>21</v>
      </c>
      <c r="C3" s="9" t="s">
        <v>21</v>
      </c>
    </row>
    <row r="4" spans="1:12" ht="23.25" x14ac:dyDescent="0.35">
      <c r="B4" s="9" t="s">
        <v>7</v>
      </c>
      <c r="C4" s="9" t="s">
        <v>7</v>
      </c>
      <c r="K4" s="33" t="s">
        <v>22</v>
      </c>
      <c r="L4" s="33"/>
    </row>
    <row r="5" spans="1:12" x14ac:dyDescent="0.25">
      <c r="B5" s="9" t="s">
        <v>23</v>
      </c>
      <c r="C5" s="9" t="s">
        <v>24</v>
      </c>
    </row>
    <row r="6" spans="1:12" x14ac:dyDescent="0.25">
      <c r="A6">
        <v>81</v>
      </c>
      <c r="B6" s="2">
        <f>'Co Prod'!B6</f>
        <v>19314840</v>
      </c>
      <c r="C6" s="2">
        <f>116853303/0.98-B6</f>
        <v>99923224.285714284</v>
      </c>
      <c r="D6" t="s">
        <v>25</v>
      </c>
    </row>
    <row r="7" spans="1:12" x14ac:dyDescent="0.25">
      <c r="A7">
        <v>82</v>
      </c>
      <c r="B7" s="2">
        <f>'Co Prod'!B7</f>
        <v>43246998.149999999</v>
      </c>
      <c r="C7" s="2">
        <f>124070111/0.98-B7</f>
        <v>83355155.931632668</v>
      </c>
      <c r="D7" t="s">
        <v>25</v>
      </c>
    </row>
    <row r="8" spans="1:12" x14ac:dyDescent="0.25">
      <c r="A8">
        <v>83</v>
      </c>
      <c r="B8" s="2">
        <f>'Co Prod'!B8</f>
        <v>34826991</v>
      </c>
      <c r="C8" s="2">
        <f>118467648/0.98-B8</f>
        <v>86058364.102040812</v>
      </c>
      <c r="D8" t="s">
        <v>25</v>
      </c>
    </row>
    <row r="9" spans="1:12" x14ac:dyDescent="0.25">
      <c r="A9">
        <v>84</v>
      </c>
      <c r="B9" s="2">
        <f>'Co Prod'!B9</f>
        <v>37820993.549999997</v>
      </c>
      <c r="C9" s="2">
        <v>81135632.299999997</v>
      </c>
    </row>
    <row r="10" spans="1:12" x14ac:dyDescent="0.25">
      <c r="A10">
        <v>85</v>
      </c>
      <c r="B10" s="2">
        <f>'Co Prod'!B10</f>
        <v>34069999.649999999</v>
      </c>
      <c r="C10" s="2">
        <v>79338914.219999999</v>
      </c>
    </row>
    <row r="11" spans="1:12" x14ac:dyDescent="0.25">
      <c r="A11">
        <v>86</v>
      </c>
      <c r="B11" s="2">
        <f>'Co Prod'!B11</f>
        <v>27368998.349999998</v>
      </c>
      <c r="C11" s="2">
        <v>74494419</v>
      </c>
    </row>
    <row r="12" spans="1:12" x14ac:dyDescent="0.25">
      <c r="A12">
        <v>87</v>
      </c>
      <c r="B12" s="2">
        <f>'Co Prod'!B12</f>
        <v>23591997.149999999</v>
      </c>
      <c r="C12" s="2">
        <v>66421173</v>
      </c>
    </row>
    <row r="13" spans="1:12" x14ac:dyDescent="0.25">
      <c r="A13">
        <v>88</v>
      </c>
      <c r="B13" s="2">
        <f>'Co Prod'!B13</f>
        <v>26008993.350000001</v>
      </c>
      <c r="C13" s="2">
        <v>64729329</v>
      </c>
    </row>
    <row r="14" spans="1:12" x14ac:dyDescent="0.25">
      <c r="A14">
        <v>89</v>
      </c>
      <c r="B14" s="2">
        <f>'Co Prod'!B14</f>
        <v>24293001.449999999</v>
      </c>
      <c r="C14" s="2">
        <v>56923090</v>
      </c>
    </row>
    <row r="15" spans="1:12" x14ac:dyDescent="0.25">
      <c r="A15">
        <v>90</v>
      </c>
      <c r="B15" s="2">
        <f>'Co Prod'!B15</f>
        <v>26213995.200000003</v>
      </c>
      <c r="C15" s="2">
        <v>51484195</v>
      </c>
    </row>
    <row r="16" spans="1:12" x14ac:dyDescent="0.25">
      <c r="A16">
        <v>91</v>
      </c>
      <c r="B16" s="2">
        <f>'Co Prod'!B16</f>
        <v>34580997.299999997</v>
      </c>
      <c r="C16" s="2">
        <v>47885156</v>
      </c>
    </row>
    <row r="17" spans="1:3" x14ac:dyDescent="0.25">
      <c r="A17">
        <v>92</v>
      </c>
      <c r="B17" s="2">
        <f>'Co Prod'!B17</f>
        <v>33882996.299999997</v>
      </c>
      <c r="C17" s="2">
        <v>65203726.939999998</v>
      </c>
    </row>
    <row r="18" spans="1:3" x14ac:dyDescent="0.25">
      <c r="A18">
        <v>93</v>
      </c>
      <c r="B18" s="2">
        <f>'Co Prod'!B18</f>
        <v>47120999.549999997</v>
      </c>
      <c r="C18" s="2">
        <v>45285386</v>
      </c>
    </row>
    <row r="19" spans="1:3" x14ac:dyDescent="0.25">
      <c r="A19">
        <v>94</v>
      </c>
      <c r="B19" s="2">
        <f>'Co Prod'!B19</f>
        <v>47276415</v>
      </c>
      <c r="C19" s="2">
        <v>39990856</v>
      </c>
    </row>
    <row r="20" spans="1:3" x14ac:dyDescent="0.25">
      <c r="A20">
        <v>95</v>
      </c>
      <c r="B20" s="2">
        <f>'Co Prod'!B20</f>
        <v>49990034.999999993</v>
      </c>
      <c r="C20" s="2">
        <v>30336637</v>
      </c>
    </row>
    <row r="21" spans="1:3" x14ac:dyDescent="0.25">
      <c r="A21">
        <v>96</v>
      </c>
      <c r="B21" s="2">
        <f>'Co Prod'!B21</f>
        <v>47625735</v>
      </c>
      <c r="C21" s="2">
        <v>37575715</v>
      </c>
    </row>
    <row r="22" spans="1:3" x14ac:dyDescent="0.25">
      <c r="A22">
        <v>97</v>
      </c>
      <c r="B22" s="2">
        <f>'Co Prod'!B22</f>
        <v>46503000</v>
      </c>
      <c r="C22" s="2">
        <v>53734600</v>
      </c>
    </row>
    <row r="23" spans="1:3" x14ac:dyDescent="0.25">
      <c r="A23">
        <v>98</v>
      </c>
      <c r="B23" s="2">
        <f>'Co Prod'!B23</f>
        <v>47764000</v>
      </c>
      <c r="C23" s="2">
        <v>52313902</v>
      </c>
    </row>
    <row r="24" spans="1:3" x14ac:dyDescent="0.25">
      <c r="A24">
        <v>99</v>
      </c>
      <c r="B24" s="2">
        <f>'Co Prod'!B24</f>
        <v>48895000</v>
      </c>
      <c r="C24" s="2">
        <v>46249773</v>
      </c>
    </row>
    <row r="25" spans="1:3" x14ac:dyDescent="0.25">
      <c r="A25" t="s">
        <v>26</v>
      </c>
      <c r="B25" s="2">
        <f>'Co Prod'!B25</f>
        <v>52781000</v>
      </c>
      <c r="C25" s="2">
        <v>46425578</v>
      </c>
    </row>
    <row r="26" spans="1:3" x14ac:dyDescent="0.25">
      <c r="A26" t="s">
        <v>27</v>
      </c>
      <c r="B26" s="2">
        <f>'Co Prod'!B26</f>
        <v>48475000</v>
      </c>
      <c r="C26" s="2">
        <v>52979036</v>
      </c>
    </row>
    <row r="27" spans="1:3" x14ac:dyDescent="0.25">
      <c r="A27" t="s">
        <v>28</v>
      </c>
      <c r="B27" s="2">
        <f>'Co Prod'!B27</f>
        <v>52970000</v>
      </c>
      <c r="C27" s="2">
        <v>56912695</v>
      </c>
    </row>
    <row r="28" spans="1:3" x14ac:dyDescent="0.25">
      <c r="A28" t="s">
        <v>29</v>
      </c>
      <c r="B28" s="2">
        <f>'Co Prod'!B28</f>
        <v>51885000</v>
      </c>
      <c r="C28" s="2">
        <v>45115003</v>
      </c>
    </row>
    <row r="29" spans="1:3" x14ac:dyDescent="0.25">
      <c r="A29" t="s">
        <v>30</v>
      </c>
      <c r="B29" s="2">
        <f>'Co Prod'!B29</f>
        <v>49694000</v>
      </c>
      <c r="C29" s="2">
        <v>63287064</v>
      </c>
    </row>
    <row r="30" spans="1:3" x14ac:dyDescent="0.25">
      <c r="A30" t="s">
        <v>31</v>
      </c>
      <c r="B30" s="2">
        <f>'Co Prod'!B30</f>
        <v>49481000</v>
      </c>
      <c r="C30" s="2">
        <v>61950995</v>
      </c>
    </row>
    <row r="31" spans="1:3" x14ac:dyDescent="0.25">
      <c r="A31" t="s">
        <v>32</v>
      </c>
      <c r="B31" s="2">
        <f>'Co Prod'!B31</f>
        <v>48701000</v>
      </c>
      <c r="C31" s="2">
        <v>63003039</v>
      </c>
    </row>
    <row r="32" spans="1:3" x14ac:dyDescent="0.25">
      <c r="A32" t="s">
        <v>33</v>
      </c>
      <c r="B32" s="2">
        <f>'Co Prod'!B32</f>
        <v>39670000</v>
      </c>
      <c r="C32" s="2">
        <v>74222918</v>
      </c>
    </row>
    <row r="33" spans="1:13" x14ac:dyDescent="0.25">
      <c r="A33" t="s">
        <v>34</v>
      </c>
      <c r="B33" s="2">
        <f>'Co Prod'!B33</f>
        <v>55576000</v>
      </c>
      <c r="C33" s="2">
        <v>62828533</v>
      </c>
    </row>
    <row r="34" spans="1:13" x14ac:dyDescent="0.25">
      <c r="A34" t="s">
        <v>35</v>
      </c>
      <c r="B34" s="2">
        <f>'Co Prod'!B34</f>
        <v>58432000</v>
      </c>
      <c r="C34" s="2">
        <v>57448633</v>
      </c>
    </row>
    <row r="35" spans="1:13" x14ac:dyDescent="0.25">
      <c r="A35" t="s">
        <v>36</v>
      </c>
      <c r="B35" s="2">
        <f>'Co Prod'!B35</f>
        <v>60422000</v>
      </c>
      <c r="C35" s="2">
        <v>56643058</v>
      </c>
    </row>
    <row r="36" spans="1:13" x14ac:dyDescent="0.25">
      <c r="A36" t="s">
        <v>37</v>
      </c>
      <c r="B36" s="2">
        <f>'Co Prod'!B36</f>
        <v>61306000</v>
      </c>
      <c r="C36" s="2">
        <f>'Purch Gas'!B36</f>
        <v>57100064</v>
      </c>
      <c r="D36" s="12"/>
    </row>
    <row r="37" spans="1:13" x14ac:dyDescent="0.25">
      <c r="A37" t="s">
        <v>38</v>
      </c>
      <c r="B37" s="2">
        <f>'Co Prod'!B37</f>
        <v>70015000</v>
      </c>
      <c r="C37" s="2">
        <f>'Purch Gas'!B37</f>
        <v>33372542</v>
      </c>
      <c r="D37" t="s">
        <v>39</v>
      </c>
    </row>
    <row r="38" spans="1:13" x14ac:dyDescent="0.25">
      <c r="A38" t="s">
        <v>40</v>
      </c>
      <c r="B38" s="2">
        <f>'Co Prod'!B38</f>
        <v>71916000</v>
      </c>
      <c r="C38" s="2">
        <f>'Purch Gas'!B38</f>
        <v>50085436</v>
      </c>
      <c r="E38" s="41"/>
      <c r="F38" s="41"/>
      <c r="G38" s="2"/>
      <c r="H38" s="2"/>
    </row>
    <row r="39" spans="1:13" x14ac:dyDescent="0.25">
      <c r="A39" t="s">
        <v>41</v>
      </c>
      <c r="B39" s="2">
        <v>0</v>
      </c>
      <c r="C39" s="2">
        <f>111000000/0.98-B39</f>
        <v>113265306.12244898</v>
      </c>
      <c r="D39" t="s">
        <v>42</v>
      </c>
      <c r="E39" s="41"/>
      <c r="F39" s="41"/>
      <c r="G39" s="2"/>
      <c r="H39" s="2"/>
    </row>
    <row r="40" spans="1:13" x14ac:dyDescent="0.25">
      <c r="A40" t="s">
        <v>43</v>
      </c>
      <c r="B40" s="2">
        <v>0</v>
      </c>
      <c r="C40" s="2">
        <f>111000000/0.98-B40</f>
        <v>113265306.12244898</v>
      </c>
      <c r="D40" t="s">
        <v>42</v>
      </c>
      <c r="E40" s="41"/>
      <c r="F40" s="41"/>
      <c r="G40" s="2"/>
      <c r="H40" s="2"/>
    </row>
    <row r="41" spans="1:13" x14ac:dyDescent="0.25">
      <c r="A41" t="s">
        <v>44</v>
      </c>
      <c r="B41" s="2">
        <v>0</v>
      </c>
      <c r="C41" s="2">
        <f>111635701-B41</f>
        <v>111635701</v>
      </c>
      <c r="D41" t="s">
        <v>42</v>
      </c>
      <c r="E41" s="41"/>
      <c r="F41" s="41"/>
      <c r="G41" s="2"/>
      <c r="H41" s="2"/>
    </row>
    <row r="42" spans="1:13" x14ac:dyDescent="0.25">
      <c r="A42" t="s">
        <v>112</v>
      </c>
      <c r="B42" s="2">
        <v>0</v>
      </c>
      <c r="C42" s="2">
        <f>111883575-B42</f>
        <v>111883575</v>
      </c>
      <c r="D42" t="s">
        <v>42</v>
      </c>
      <c r="E42" s="41"/>
      <c r="F42" s="41"/>
      <c r="G42" s="2"/>
      <c r="H42" s="12"/>
    </row>
    <row r="43" spans="1:13" x14ac:dyDescent="0.25">
      <c r="A43" t="s">
        <v>127</v>
      </c>
      <c r="B43" s="2">
        <v>0</v>
      </c>
      <c r="C43" s="2">
        <f>113298526-B43</f>
        <v>113298526</v>
      </c>
      <c r="D43" t="s">
        <v>42</v>
      </c>
      <c r="E43" s="41"/>
      <c r="F43" s="41"/>
      <c r="G43" s="2"/>
      <c r="H43" s="12"/>
    </row>
    <row r="44" spans="1:13" x14ac:dyDescent="0.25">
      <c r="G44" s="2"/>
      <c r="H44" s="12"/>
    </row>
    <row r="45" spans="1:13" x14ac:dyDescent="0.25">
      <c r="B45" s="12"/>
      <c r="C45" s="14"/>
      <c r="D45" s="14"/>
    </row>
    <row r="46" spans="1:13" x14ac:dyDescent="0.25">
      <c r="B46" s="12"/>
      <c r="C46" s="14"/>
      <c r="D46" s="14"/>
    </row>
    <row r="47" spans="1:13" x14ac:dyDescent="0.25">
      <c r="B47" s="12"/>
      <c r="C47" s="14"/>
      <c r="D47" s="14"/>
    </row>
    <row r="48" spans="1:13" ht="23.25" x14ac:dyDescent="0.35">
      <c r="B48" t="s">
        <v>60</v>
      </c>
      <c r="E48" t="s">
        <v>64</v>
      </c>
      <c r="M48" s="33"/>
    </row>
    <row r="49" spans="1:7" x14ac:dyDescent="0.25">
      <c r="B49" s="27" t="s">
        <v>17</v>
      </c>
      <c r="C49" s="27" t="s">
        <v>17</v>
      </c>
      <c r="E49" s="27" t="s">
        <v>17</v>
      </c>
      <c r="G49" s="9" t="s">
        <v>17</v>
      </c>
    </row>
    <row r="50" spans="1:7" x14ac:dyDescent="0.25">
      <c r="B50" s="9" t="s">
        <v>67</v>
      </c>
      <c r="C50" s="9" t="s">
        <v>75</v>
      </c>
      <c r="E50" s="9" t="s">
        <v>76</v>
      </c>
      <c r="G50" s="9" t="s">
        <v>74</v>
      </c>
    </row>
    <row r="51" spans="1:7" x14ac:dyDescent="0.25">
      <c r="A51">
        <v>81</v>
      </c>
      <c r="B51" s="8">
        <v>0.49440000000000001</v>
      </c>
      <c r="C51" s="8">
        <v>1.9</v>
      </c>
      <c r="E51" s="8">
        <f>'Co Prod'!K6</f>
        <v>0.50230020790020791</v>
      </c>
    </row>
    <row r="52" spans="1:7" x14ac:dyDescent="0.25">
      <c r="A52">
        <v>82</v>
      </c>
      <c r="B52" s="8">
        <v>0.58440000000000003</v>
      </c>
      <c r="C52" s="8">
        <v>1.9</v>
      </c>
      <c r="E52" s="8">
        <f>'Co Prod'!K7</f>
        <v>0.59585530145530141</v>
      </c>
    </row>
    <row r="53" spans="1:7" x14ac:dyDescent="0.25">
      <c r="A53">
        <v>83</v>
      </c>
      <c r="B53" s="10">
        <f>ROUND('Co Prod'!J8,2)</f>
        <v>1.61</v>
      </c>
      <c r="C53" s="8">
        <v>1.9</v>
      </c>
      <c r="E53" s="8">
        <f>'Co Prod'!K8</f>
        <v>1.665106626331208</v>
      </c>
    </row>
    <row r="54" spans="1:7" x14ac:dyDescent="0.25">
      <c r="A54">
        <v>84</v>
      </c>
      <c r="B54" s="10">
        <f>ROUND('Co Prod'!J9,2)</f>
        <v>1.59</v>
      </c>
      <c r="C54" s="11">
        <f>ROUND('Purch Gas'!F9,2)</f>
        <v>3.41</v>
      </c>
      <c r="E54" s="8">
        <f>'Co Prod'!K9</f>
        <v>1.6425008055406285</v>
      </c>
    </row>
    <row r="55" spans="1:7" x14ac:dyDescent="0.25">
      <c r="A55">
        <v>85</v>
      </c>
      <c r="B55" s="10">
        <f>ROUND('Co Prod'!J10,2)</f>
        <v>1.5</v>
      </c>
      <c r="C55" s="11">
        <f>ROUND('Purch Gas'!F10,2)</f>
        <v>3.66</v>
      </c>
      <c r="E55" s="8">
        <f>'Co Prod'!K10</f>
        <v>1.5432919386922774</v>
      </c>
    </row>
    <row r="56" spans="1:7" x14ac:dyDescent="0.25">
      <c r="A56">
        <v>86</v>
      </c>
      <c r="B56" s="10">
        <f>ROUND('Co Prod'!J11,2)</f>
        <v>1.99</v>
      </c>
      <c r="C56" s="11">
        <f>ROUND('Purch Gas'!F11,2)</f>
        <v>3.36</v>
      </c>
      <c r="E56" s="8">
        <f>'Co Prod'!K11</f>
        <v>2.058911696222069</v>
      </c>
    </row>
    <row r="57" spans="1:7" x14ac:dyDescent="0.25">
      <c r="A57">
        <v>87</v>
      </c>
      <c r="B57" s="10">
        <f>ROUND('Co Prod'!J12,2)</f>
        <v>2.02</v>
      </c>
      <c r="C57" s="11">
        <f>ROUND('Purch Gas'!F12,2)</f>
        <v>2.92</v>
      </c>
      <c r="E57" s="8">
        <f>'Co Prod'!K12</f>
        <v>2.0906357281447261</v>
      </c>
    </row>
    <row r="58" spans="1:7" x14ac:dyDescent="0.25">
      <c r="A58">
        <v>88</v>
      </c>
      <c r="B58" s="10">
        <f>ROUND('Co Prod'!J13,2)</f>
        <v>1.71</v>
      </c>
      <c r="C58" s="11">
        <f>ROUND('Purch Gas'!F13,2)</f>
        <v>2.69</v>
      </c>
      <c r="E58" s="8">
        <f>'Co Prod'!K13</f>
        <v>1.7642077932747395</v>
      </c>
    </row>
    <row r="59" spans="1:7" x14ac:dyDescent="0.25">
      <c r="A59">
        <v>89</v>
      </c>
      <c r="B59" s="10">
        <f>ROUND('Co Prod'!J14,2)</f>
        <v>1.59</v>
      </c>
      <c r="C59" s="11">
        <f>ROUND('Purch Gas'!F14,2)</f>
        <v>3.22</v>
      </c>
      <c r="E59" s="8">
        <f>'Co Prod'!K14</f>
        <v>1.6443986028404507</v>
      </c>
    </row>
    <row r="60" spans="1:7" x14ac:dyDescent="0.25">
      <c r="A60">
        <v>90</v>
      </c>
      <c r="B60" s="10">
        <f>ROUND('Co Prod'!J15,2)</f>
        <v>1.59</v>
      </c>
      <c r="C60" s="11">
        <f>ROUND('Purch Gas'!F15,2)</f>
        <v>3.61</v>
      </c>
      <c r="E60" s="8">
        <f>'Co Prod'!K15</f>
        <v>1.6417932217956843</v>
      </c>
    </row>
    <row r="61" spans="1:7" x14ac:dyDescent="0.25">
      <c r="A61">
        <v>91</v>
      </c>
      <c r="B61" s="10">
        <f>ROUND('Co Prod'!J16,2)</f>
        <v>1.63</v>
      </c>
      <c r="C61" s="11">
        <f>ROUND('Purch Gas'!F16,2)</f>
        <v>3.72</v>
      </c>
      <c r="E61" s="8">
        <f>'Co Prod'!K16</f>
        <v>1.6853432832949524</v>
      </c>
    </row>
    <row r="62" spans="1:7" x14ac:dyDescent="0.25">
      <c r="A62">
        <v>92</v>
      </c>
      <c r="B62" s="10">
        <f>ROUND('Co Prod'!J17,2)</f>
        <v>1.94</v>
      </c>
      <c r="C62" s="11">
        <f>ROUND('Purch Gas'!F17,2)</f>
        <v>2.31</v>
      </c>
      <c r="E62" s="8">
        <f>'Co Prod'!K17</f>
        <v>2.005496590072569</v>
      </c>
    </row>
    <row r="63" spans="1:7" x14ac:dyDescent="0.25">
      <c r="A63">
        <v>93</v>
      </c>
      <c r="B63" s="10">
        <f>ROUND('Co Prod'!J18,2)</f>
        <v>1.57</v>
      </c>
      <c r="C63" s="11">
        <f>ROUND('Purch Gas'!F18,2)</f>
        <v>2.8</v>
      </c>
      <c r="E63" s="8">
        <f>'Co Prod'!K18</f>
        <v>1.6226050480247503</v>
      </c>
    </row>
    <row r="64" spans="1:7" x14ac:dyDescent="0.25">
      <c r="A64">
        <v>94</v>
      </c>
      <c r="B64" s="10">
        <f>ROUND('Co Prod'!J19,2)</f>
        <v>1.85</v>
      </c>
      <c r="C64" s="11">
        <f>ROUND('Purch Gas'!F19,2)</f>
        <v>1.84</v>
      </c>
      <c r="E64" s="8">
        <f>'Co Prod'!K19</f>
        <v>1.92559037103468</v>
      </c>
    </row>
    <row r="65" spans="1:5" x14ac:dyDescent="0.25">
      <c r="A65">
        <v>95</v>
      </c>
      <c r="B65" s="10">
        <f>ROUND('Co Prod'!J20,2)</f>
        <v>1.74</v>
      </c>
      <c r="C65" s="11">
        <f>ROUND('Purch Gas'!F20,2)</f>
        <v>1.48</v>
      </c>
      <c r="E65" s="8">
        <f>'Co Prod'!K20</f>
        <v>1.8037232722768546</v>
      </c>
    </row>
    <row r="66" spans="1:5" x14ac:dyDescent="0.25">
      <c r="A66">
        <v>96</v>
      </c>
      <c r="B66" s="10">
        <f>ROUND('Co Prod'!J21,2)</f>
        <v>1.97</v>
      </c>
      <c r="C66" s="11">
        <f>ROUND('Purch Gas'!F21,2)</f>
        <v>1.79</v>
      </c>
      <c r="E66" s="8">
        <f>'Co Prod'!K21</f>
        <v>2.0515040516646796</v>
      </c>
    </row>
    <row r="67" spans="1:5" x14ac:dyDescent="0.25">
      <c r="A67">
        <v>97</v>
      </c>
      <c r="B67" s="10">
        <f>ROUND('Co Prod'!J22,2)</f>
        <v>1.72</v>
      </c>
      <c r="C67" s="11">
        <f>ROUND('Purch Gas'!F22,2)</f>
        <v>2.27</v>
      </c>
      <c r="E67" s="8">
        <f>'Co Prod'!K22</f>
        <v>1.787189195045785</v>
      </c>
    </row>
    <row r="68" spans="1:5" x14ac:dyDescent="0.25">
      <c r="A68">
        <v>98</v>
      </c>
      <c r="B68" s="10">
        <f>ROUND('Co Prod'!J23,2)</f>
        <v>1.73</v>
      </c>
      <c r="C68" s="11">
        <f>ROUND('Purch Gas'!F23,2)</f>
        <v>1.91</v>
      </c>
      <c r="E68" s="8">
        <f>'Co Prod'!K23</f>
        <v>1.7946958227658125</v>
      </c>
    </row>
    <row r="69" spans="1:5" x14ac:dyDescent="0.25">
      <c r="A69">
        <v>99</v>
      </c>
      <c r="B69" s="10">
        <f>ROUND('Co Prod'!J24,2)</f>
        <v>1.66</v>
      </c>
      <c r="C69" s="11">
        <f>ROUND('Purch Gas'!F24,2)</f>
        <v>2.0099999999999998</v>
      </c>
      <c r="E69" s="8">
        <f>'Co Prod'!K24</f>
        <v>1.7252489055953626</v>
      </c>
    </row>
    <row r="70" spans="1:5" x14ac:dyDescent="0.25">
      <c r="A70" t="s">
        <v>26</v>
      </c>
      <c r="B70" s="10">
        <f>ROUND('Co Prod'!J25,2)</f>
        <v>1.76</v>
      </c>
      <c r="C70" s="11">
        <f>ROUND('Purch Gas'!F25,2)</f>
        <v>3.96</v>
      </c>
      <c r="E70" s="8">
        <f>'Co Prod'!K25</f>
        <v>1.8334627429836885</v>
      </c>
    </row>
    <row r="71" spans="1:5" x14ac:dyDescent="0.25">
      <c r="A71" t="s">
        <v>27</v>
      </c>
      <c r="B71" s="10">
        <f>ROUND('Co Prod'!J26,2)</f>
        <v>2.36</v>
      </c>
      <c r="C71" s="11">
        <f>ROUND('Purch Gas'!F26,2)</f>
        <v>4.9000000000000004</v>
      </c>
      <c r="E71" s="8">
        <f>'Co Prod'!K26</f>
        <v>2.4483275239932283</v>
      </c>
    </row>
    <row r="72" spans="1:5" x14ac:dyDescent="0.25">
      <c r="A72" t="s">
        <v>28</v>
      </c>
      <c r="B72" s="10">
        <f>ROUND('Co Prod'!J27,2)</f>
        <v>2.12</v>
      </c>
      <c r="C72" s="11">
        <f>ROUND('Purch Gas'!F27,2)</f>
        <v>2.5299999999999998</v>
      </c>
      <c r="E72" s="8">
        <f>'Co Prod'!K27</f>
        <v>2.2039468453292321</v>
      </c>
    </row>
    <row r="73" spans="1:5" x14ac:dyDescent="0.25">
      <c r="A73" t="s">
        <v>29</v>
      </c>
      <c r="B73" s="10">
        <f>ROUND('Co Prod'!J28,2)</f>
        <v>2.54</v>
      </c>
      <c r="C73" s="11">
        <f>ROUND('Purch Gas'!F28,2)</f>
        <v>3.94</v>
      </c>
      <c r="E73" s="8">
        <f>'Co Prod'!K28</f>
        <v>2.6438777956687751</v>
      </c>
    </row>
    <row r="74" spans="1:5" x14ac:dyDescent="0.25">
      <c r="A74" t="s">
        <v>30</v>
      </c>
      <c r="B74" s="10">
        <f>ROUND('Co Prod'!J29,2)</f>
        <v>2.78</v>
      </c>
      <c r="C74" s="11">
        <f>ROUND('Purch Gas'!F29,2)</f>
        <v>5.31</v>
      </c>
      <c r="E74" s="8">
        <f>'Co Prod'!K29</f>
        <v>2.8913080026895579</v>
      </c>
    </row>
    <row r="75" spans="1:5" x14ac:dyDescent="0.25">
      <c r="A75" t="s">
        <v>31</v>
      </c>
      <c r="B75" s="10">
        <f>ROUND('Co Prod'!J30,2)</f>
        <v>3.13</v>
      </c>
      <c r="C75" s="11">
        <f>ROUND('Purch Gas'!F30,2)</f>
        <v>7.23</v>
      </c>
      <c r="E75" s="8">
        <f>'Co Prod'!K30</f>
        <v>3.2513512475714124</v>
      </c>
    </row>
    <row r="76" spans="1:5" x14ac:dyDescent="0.25">
      <c r="A76" t="s">
        <v>32</v>
      </c>
      <c r="B76" s="10">
        <f>ROUND('Co Prod'!J31,2)</f>
        <v>3.65</v>
      </c>
      <c r="C76" s="11">
        <f>ROUND('Purch Gas'!F31,2)</f>
        <v>6.82</v>
      </c>
      <c r="E76" s="8">
        <f>'Co Prod'!K31</f>
        <v>3.7915196134450362</v>
      </c>
    </row>
    <row r="77" spans="1:5" x14ac:dyDescent="0.25">
      <c r="A77" t="s">
        <v>33</v>
      </c>
      <c r="B77" s="10">
        <f>ROUND('Co Prod'!J32,2)</f>
        <v>4.38</v>
      </c>
      <c r="C77" s="11">
        <f>ROUND('Purch Gas'!F32,2)</f>
        <v>5.05</v>
      </c>
      <c r="E77" s="8">
        <f>'Co Prod'!K32</f>
        <v>4.5510160893378684</v>
      </c>
    </row>
    <row r="78" spans="1:5" x14ac:dyDescent="0.25">
      <c r="A78" t="s">
        <v>34</v>
      </c>
      <c r="B78" s="10">
        <f>ROUND('Co Prod'!J33,2)</f>
        <v>4.46</v>
      </c>
      <c r="C78" s="11">
        <f>ROUND('Purch Gas'!F33,2)</f>
        <v>6.31</v>
      </c>
      <c r="E78" s="8">
        <f>'Co Prod'!K33</f>
        <v>4.6316103912845303</v>
      </c>
    </row>
    <row r="79" spans="1:5" x14ac:dyDescent="0.25">
      <c r="A79" t="s">
        <v>35</v>
      </c>
      <c r="B79" s="10">
        <f>ROUND('Co Prod'!J34,2)</f>
        <v>4.42</v>
      </c>
      <c r="C79" s="11">
        <f>ROUND('Purch Gas'!F34,2)</f>
        <v>3.92</v>
      </c>
      <c r="E79" s="8">
        <f>'Co Prod'!K34</f>
        <v>4.5921954682863957</v>
      </c>
    </row>
    <row r="80" spans="1:5" x14ac:dyDescent="0.25">
      <c r="A80" t="s">
        <v>36</v>
      </c>
      <c r="B80" s="10">
        <f>ROUND('Co Prod'!J35,2)</f>
        <v>4.5599999999999996</v>
      </c>
      <c r="C80" s="11">
        <f>ROUND('Purch Gas'!F35,2)</f>
        <v>4.33</v>
      </c>
      <c r="E80" s="8">
        <f>'Co Prod'!K35</f>
        <v>4.7395489831360056</v>
      </c>
    </row>
    <row r="81" spans="1:7" x14ac:dyDescent="0.25">
      <c r="A81" t="s">
        <v>37</v>
      </c>
      <c r="B81" s="10">
        <f>ROUND('Co Prod'!J36,2)</f>
        <v>4.74</v>
      </c>
      <c r="C81" s="11">
        <f>ROUND('Purch Gas'!F36,2)</f>
        <v>3.87</v>
      </c>
      <c r="E81" s="8">
        <f>'Co Prod'!K36</f>
        <v>4.6582413226111985</v>
      </c>
    </row>
    <row r="82" spans="1:7" x14ac:dyDescent="0.25">
      <c r="A82" t="s">
        <v>38</v>
      </c>
      <c r="B82" s="10">
        <f>ROUND('Co Prod'!J37,2)</f>
        <v>4.2699999999999996</v>
      </c>
      <c r="C82" s="11">
        <f>ROUND('Purch Gas'!F37,2)</f>
        <v>3.12</v>
      </c>
      <c r="E82" s="8">
        <f>'Co Prod'!K37</f>
        <v>4.2530192932048845</v>
      </c>
    </row>
    <row r="83" spans="1:7" x14ac:dyDescent="0.25">
      <c r="A83" t="s">
        <v>40</v>
      </c>
      <c r="B83" s="10">
        <f>ROUND('Co Prod'!J38,2)</f>
        <v>4.6100000000000003</v>
      </c>
      <c r="C83" s="11">
        <f>ROUND('Purch Gas'!F38,2)</f>
        <v>3.73</v>
      </c>
      <c r="E83" s="8">
        <f>'Co Prod'!K38</f>
        <v>4.6411103901724013</v>
      </c>
    </row>
    <row r="84" spans="1:7" x14ac:dyDescent="0.25">
      <c r="A84" t="s">
        <v>41</v>
      </c>
      <c r="B84" s="10">
        <f>ROUND('Co Prod'!J39,2)</f>
        <v>5.04</v>
      </c>
      <c r="C84" s="11">
        <f>ROUND('Purch Gas'!F39,2)</f>
        <v>4.7699999999999996</v>
      </c>
      <c r="E84" s="8">
        <f>'Co Prod'!K39</f>
        <v>5.1841745280774658</v>
      </c>
    </row>
    <row r="85" spans="1:7" x14ac:dyDescent="0.25">
      <c r="A85" s="17" t="s">
        <v>43</v>
      </c>
      <c r="B85" s="10">
        <f>ROUND('Co Prod'!J40,2)</f>
        <v>5.0999999999999996</v>
      </c>
      <c r="C85" s="11">
        <f>ROUND('Purch Gas'!F40,2)</f>
        <v>2.5099999999999998</v>
      </c>
      <c r="E85" s="8">
        <f>'Co Prod'!K40</f>
        <v>5.1507389472245348</v>
      </c>
    </row>
    <row r="86" spans="1:7" x14ac:dyDescent="0.25">
      <c r="A86" s="17" t="s">
        <v>44</v>
      </c>
      <c r="B86" s="10">
        <f>ROUND('Co Prod'!J41,2)</f>
        <v>0</v>
      </c>
      <c r="C86" s="11">
        <f>ROUND('Purch Gas'!F41,2)</f>
        <v>2.52</v>
      </c>
      <c r="E86" s="8">
        <f>'Co Prod'!K41</f>
        <v>4.923098884523661</v>
      </c>
      <c r="G86" s="8">
        <f>+'Purch Gas'!I41</f>
        <v>2.2326087316655929</v>
      </c>
    </row>
    <row r="87" spans="1:7" x14ac:dyDescent="0.25">
      <c r="A87" s="17" t="s">
        <v>112</v>
      </c>
      <c r="B87" s="10">
        <f>ROUND('Co Prod'!J42,2)</f>
        <v>0</v>
      </c>
      <c r="C87" s="11">
        <f>ROUND('Purch Gas'!F42,2)</f>
        <v>2.9</v>
      </c>
      <c r="E87" s="8">
        <f>'Co Prod'!K42</f>
        <v>4.8935051740123443</v>
      </c>
      <c r="G87" s="8">
        <f>+'Purch Gas'!I42</f>
        <v>2.7251760473211455</v>
      </c>
    </row>
    <row r="88" spans="1:7" x14ac:dyDescent="0.25">
      <c r="A88" s="17" t="s">
        <v>127</v>
      </c>
      <c r="B88" s="10">
        <f>ROUND('Co Prod'!J43,2)</f>
        <v>0</v>
      </c>
      <c r="C88" s="11">
        <f>ROUND('Purch Gas'!F43,2)</f>
        <v>3.56</v>
      </c>
      <c r="E88" s="8">
        <f>'Co Prod'!K43</f>
        <v>3.9401245416090624</v>
      </c>
      <c r="G88" s="8">
        <f>+'Purch Gas'!I43</f>
        <v>2.6386401272066737</v>
      </c>
    </row>
    <row r="89" spans="1:7" x14ac:dyDescent="0.25">
      <c r="A89" s="17" t="s">
        <v>140</v>
      </c>
      <c r="B89" s="10">
        <f>ROUND('Co Prod'!J44,2)</f>
        <v>0</v>
      </c>
      <c r="C89" s="11">
        <f>ROUND('Purch Gas'!F44,2)</f>
        <v>3.59</v>
      </c>
      <c r="E89" s="8">
        <f>'Co Prod'!K44</f>
        <v>3.8767868119999509</v>
      </c>
      <c r="G89" s="8">
        <f>+'Purch Gas'!I44</f>
        <v>2.5990924886696782</v>
      </c>
    </row>
    <row r="90" spans="1:7" x14ac:dyDescent="0.25">
      <c r="A90" s="43">
        <v>20</v>
      </c>
      <c r="B90" s="10">
        <f>ROUND('Co Prod'!J45,2)</f>
        <v>0</v>
      </c>
      <c r="C90" s="11">
        <f>ROUND('Purch Gas'!F45,2)</f>
        <v>2.42</v>
      </c>
      <c r="E90" s="8">
        <f>'Co Prod'!K45</f>
        <v>3.9810974207431293</v>
      </c>
      <c r="G90" s="8">
        <f>+'Purch Gas'!I45</f>
        <v>2.0673717239634941</v>
      </c>
    </row>
    <row r="91" spans="1:7" x14ac:dyDescent="0.25">
      <c r="A91" s="17" t="s">
        <v>164</v>
      </c>
      <c r="B91" s="10">
        <f>ROUND('Co Prod'!J46,2)</f>
        <v>0</v>
      </c>
      <c r="C91" s="11">
        <f>ROUND('Purch Gas'!F46,2)</f>
        <v>5.27</v>
      </c>
      <c r="E91" s="8">
        <f>'Co Prod'!K46</f>
        <v>4.0274168127973047</v>
      </c>
      <c r="G91" s="8">
        <f>+'Purch Gas'!I46</f>
        <v>3.8797869891546291</v>
      </c>
    </row>
    <row r="92" spans="1:7" x14ac:dyDescent="0.25">
      <c r="A92" s="17" t="s">
        <v>175</v>
      </c>
      <c r="B92" s="10">
        <f>ROUND('Co Prod'!J47,2)</f>
        <v>0</v>
      </c>
      <c r="C92" s="11">
        <f>ROUND('Purch Gas'!F47,2)</f>
        <v>8.7899999999999991</v>
      </c>
      <c r="E92" s="8">
        <f>'Co Prod'!K47</f>
        <v>4.7770404727085198</v>
      </c>
      <c r="G92" s="8">
        <f>+'Purch Gas'!I47</f>
        <v>6.9121437827683829</v>
      </c>
    </row>
    <row r="93" spans="1:7" x14ac:dyDescent="0.25">
      <c r="A93" s="17" t="s">
        <v>190</v>
      </c>
      <c r="B93" s="10">
        <f>ROUND('Co Prod'!J48,2)</f>
        <v>0</v>
      </c>
      <c r="C93" s="11">
        <f>ROUND('Purch Gas'!F48,2)</f>
        <v>9.6300000000000008</v>
      </c>
      <c r="E93" s="8">
        <f>'Co Prod'!K48</f>
        <v>4.949581481962392</v>
      </c>
      <c r="G93" s="8">
        <f>+'Purch Gas'!I48</f>
        <v>8.5392530692588782</v>
      </c>
    </row>
    <row r="94" spans="1:7" x14ac:dyDescent="0.25">
      <c r="A94" s="17" t="s">
        <v>210</v>
      </c>
      <c r="B94" s="10">
        <f>ROUND('Co Prod'!J49,2)</f>
        <v>0</v>
      </c>
      <c r="C94" s="11">
        <f>ROUND('Purch Gas'!F49,2)</f>
        <v>3.5</v>
      </c>
      <c r="E94" s="8">
        <f>'Co Prod'!K49</f>
        <v>3.8368206826165934</v>
      </c>
      <c r="G94" s="8">
        <f>+'Purch Gas'!I49</f>
        <v>2.4612110246847201</v>
      </c>
    </row>
    <row r="95" spans="1:7" x14ac:dyDescent="0.25">
      <c r="A95" s="17" t="s">
        <v>211</v>
      </c>
      <c r="B95" s="10">
        <f>ROUND('Co Prod'!J50,2)</f>
        <v>0</v>
      </c>
      <c r="C95" s="11">
        <f>ROUND('Purch Gas'!F50,2)</f>
        <v>3.93</v>
      </c>
      <c r="E95" s="8">
        <f>'Co Prod'!K50</f>
        <v>4.3844653991789624</v>
      </c>
      <c r="G95" s="8">
        <f>+'Purch Gas'!I50</f>
        <v>2.8768903093440423</v>
      </c>
    </row>
    <row r="96" spans="1:7" x14ac:dyDescent="0.25">
      <c r="A96" s="17"/>
      <c r="B96" s="10"/>
      <c r="C96" s="11"/>
      <c r="E96" s="8"/>
      <c r="G96" s="19"/>
    </row>
    <row r="97" spans="1:12" x14ac:dyDescent="0.25">
      <c r="G97" t="s">
        <v>60</v>
      </c>
      <c r="H97" t="s">
        <v>64</v>
      </c>
      <c r="I97" s="34" t="s">
        <v>60</v>
      </c>
      <c r="J97" t="s">
        <v>64</v>
      </c>
    </row>
    <row r="98" spans="1:12" ht="60" x14ac:dyDescent="0.25">
      <c r="B98" s="9" t="s">
        <v>62</v>
      </c>
      <c r="C98" t="s">
        <v>63</v>
      </c>
      <c r="D98" s="35" t="s">
        <v>74</v>
      </c>
      <c r="E98" s="35" t="s">
        <v>212</v>
      </c>
      <c r="G98" s="35" t="s">
        <v>65</v>
      </c>
      <c r="H98" s="35" t="s">
        <v>207</v>
      </c>
      <c r="I98" s="36" t="s">
        <v>66</v>
      </c>
      <c r="J98" s="35" t="s">
        <v>208</v>
      </c>
      <c r="K98" s="35"/>
      <c r="L98" s="35"/>
    </row>
    <row r="99" spans="1:12" x14ac:dyDescent="0.25">
      <c r="A99" t="s">
        <v>47</v>
      </c>
      <c r="B99" s="15">
        <v>4.6100000000000003</v>
      </c>
      <c r="C99" s="15">
        <f>'Purch Gas'!F53</f>
        <v>4.4540116205525679</v>
      </c>
      <c r="E99" s="15">
        <v>4.7869944111949003</v>
      </c>
      <c r="G99" s="15">
        <v>4.6100000000000003</v>
      </c>
      <c r="H99" s="15"/>
      <c r="I99" s="37"/>
      <c r="J99" s="15"/>
    </row>
    <row r="100" spans="1:12" x14ac:dyDescent="0.25">
      <c r="A100" t="s">
        <v>48</v>
      </c>
      <c r="B100" s="15">
        <v>4.6050886235694932</v>
      </c>
      <c r="C100" s="15">
        <f>'Purch Gas'!F54</f>
        <v>7.5642422638697493</v>
      </c>
      <c r="E100" s="15">
        <v>4.7869944111949003</v>
      </c>
      <c r="G100" s="15">
        <v>4.6100000000000003</v>
      </c>
      <c r="H100" s="15"/>
      <c r="I100" s="37"/>
      <c r="J100" s="15"/>
    </row>
    <row r="101" spans="1:12" x14ac:dyDescent="0.25">
      <c r="A101" t="s">
        <v>49</v>
      </c>
      <c r="B101" s="15">
        <v>4.6318469855621709</v>
      </c>
      <c r="C101" s="15">
        <f>'Purch Gas'!F55</f>
        <v>5.1880559405381561</v>
      </c>
      <c r="E101" s="15">
        <v>4.8148239226666192</v>
      </c>
      <c r="G101" s="15">
        <v>4.63</v>
      </c>
      <c r="H101" s="15"/>
      <c r="I101" s="37"/>
      <c r="J101" s="15"/>
    </row>
    <row r="102" spans="1:12" x14ac:dyDescent="0.25">
      <c r="A102" t="s">
        <v>50</v>
      </c>
      <c r="B102" s="15">
        <v>4.6330086054338091</v>
      </c>
      <c r="C102" s="15">
        <f>'Purch Gas'!F56</f>
        <v>4.4093144696459312</v>
      </c>
      <c r="E102" s="15">
        <v>4.816015418519024</v>
      </c>
      <c r="G102" s="15">
        <v>4.63</v>
      </c>
      <c r="H102" s="15"/>
      <c r="I102" s="37"/>
      <c r="J102" s="15"/>
    </row>
    <row r="103" spans="1:12" x14ac:dyDescent="0.25">
      <c r="A103" t="s">
        <v>51</v>
      </c>
      <c r="B103" s="15">
        <v>4.6675412736153721</v>
      </c>
      <c r="C103" s="15">
        <f>'Purch Gas'!F57</f>
        <v>4.620385632653063</v>
      </c>
      <c r="E103" s="15">
        <v>4.8519121803554288</v>
      </c>
      <c r="G103" s="15">
        <v>4.67</v>
      </c>
      <c r="H103" s="15"/>
      <c r="I103" s="37"/>
      <c r="J103" s="15"/>
    </row>
    <row r="104" spans="1:12" x14ac:dyDescent="0.25">
      <c r="A104" t="s">
        <v>52</v>
      </c>
      <c r="B104" s="14">
        <v>4.7016486779768014</v>
      </c>
      <c r="C104" s="15">
        <f>'Purch Gas'!F58</f>
        <v>3.1778537148806714</v>
      </c>
      <c r="E104" s="38">
        <v>4.8873668808995934</v>
      </c>
      <c r="G104" s="15">
        <v>4.8215236462796316</v>
      </c>
      <c r="H104" s="15">
        <v>5.0119788422865197</v>
      </c>
      <c r="I104" s="37">
        <v>5.9064972159292513</v>
      </c>
      <c r="J104" s="15">
        <v>6.1398099957684522</v>
      </c>
    </row>
    <row r="105" spans="1:12" x14ac:dyDescent="0.25">
      <c r="A105" t="s">
        <v>53</v>
      </c>
      <c r="B105" s="14">
        <v>4.7010600350820582</v>
      </c>
      <c r="C105" s="15">
        <f>'Purch Gas'!F59</f>
        <v>4.0414824178349811</v>
      </c>
      <c r="E105" s="14">
        <v>4.8867567932245937</v>
      </c>
      <c r="G105" s="15">
        <v>4.9008146867547806</v>
      </c>
      <c r="H105" s="15">
        <v>5.0944019612835554</v>
      </c>
      <c r="I105" s="37">
        <v>6.1583961981676936</v>
      </c>
      <c r="J105" s="15">
        <v>6.4016592496545668</v>
      </c>
    </row>
    <row r="106" spans="1:12" x14ac:dyDescent="0.25">
      <c r="A106" t="s">
        <v>54</v>
      </c>
      <c r="B106" s="14">
        <v>4.6793226079431784</v>
      </c>
      <c r="C106" s="15">
        <f>'Purch Gas'!F60</f>
        <v>3.8152277201732514</v>
      </c>
      <c r="E106" s="14">
        <v>4.8641607151176496</v>
      </c>
      <c r="G106" s="15">
        <v>4.8873260723708603</v>
      </c>
      <c r="H106" s="15">
        <v>5.0803805326100422</v>
      </c>
      <c r="I106" s="37">
        <v>6.1716251264938711</v>
      </c>
      <c r="J106" s="15">
        <v>6.4154107344011138</v>
      </c>
    </row>
    <row r="107" spans="1:12" x14ac:dyDescent="0.25">
      <c r="A107" t="s">
        <v>55</v>
      </c>
      <c r="B107" s="14">
        <v>4.7</v>
      </c>
      <c r="C107" s="15">
        <f>'Purch Gas'!F61</f>
        <v>3.8803672876205577</v>
      </c>
      <c r="E107" s="14">
        <v>4.8886956749664217</v>
      </c>
      <c r="G107" s="15">
        <v>4.9163149946054974</v>
      </c>
      <c r="H107" s="15">
        <v>5.1105145474069618</v>
      </c>
      <c r="I107" s="37">
        <v>6.0798458533793021</v>
      </c>
      <c r="J107" s="15">
        <v>6.320006084593869</v>
      </c>
    </row>
    <row r="108" spans="1:12" x14ac:dyDescent="0.25">
      <c r="A108" t="s">
        <v>56</v>
      </c>
      <c r="B108" s="14">
        <v>4.75</v>
      </c>
      <c r="C108" s="15">
        <f>'Purch Gas'!F62</f>
        <v>3.2753248571095299</v>
      </c>
      <c r="E108" s="14">
        <v>4.934453141227733</v>
      </c>
      <c r="G108" s="14">
        <v>4.9529240193889432</v>
      </c>
      <c r="H108" s="15">
        <v>5.1485696667244731</v>
      </c>
      <c r="I108" s="37">
        <v>6.1873895413297184</v>
      </c>
      <c r="J108" s="15">
        <v>6.4317978600101027</v>
      </c>
    </row>
    <row r="109" spans="1:12" x14ac:dyDescent="0.25">
      <c r="A109" t="s">
        <v>57</v>
      </c>
      <c r="B109" s="14">
        <v>4.76</v>
      </c>
      <c r="C109" s="15">
        <f>'Purch Gas'!F63</f>
        <v>3.8927810891216348</v>
      </c>
      <c r="E109" s="14">
        <v>4.943571214512902</v>
      </c>
      <c r="G109" s="15">
        <v>4.9345310759540659</v>
      </c>
      <c r="H109" s="15">
        <v>5.129450182904435</v>
      </c>
      <c r="I109" s="37">
        <v>6.1767047608336592</v>
      </c>
      <c r="J109" s="15">
        <v>6.4206910195776086</v>
      </c>
    </row>
    <row r="110" spans="1:12" x14ac:dyDescent="0.25">
      <c r="A110" t="s">
        <v>58</v>
      </c>
      <c r="B110" s="14">
        <v>5.04</v>
      </c>
      <c r="C110" s="15">
        <f>'Purch Gas'!F64</f>
        <v>3.7862184488110757</v>
      </c>
      <c r="E110" s="14">
        <v>5.2412760550939597</v>
      </c>
      <c r="G110" s="15">
        <v>4.9682189677546349</v>
      </c>
      <c r="H110" s="15">
        <v>5.1644687814497257</v>
      </c>
      <c r="I110" s="37">
        <v>6.2656298817243101</v>
      </c>
      <c r="J110" s="15">
        <v>6.5131287751811966</v>
      </c>
    </row>
    <row r="111" spans="1:12" x14ac:dyDescent="0.25">
      <c r="A111" t="s">
        <v>47</v>
      </c>
      <c r="B111" s="14">
        <v>5.1371806357431291</v>
      </c>
      <c r="C111" s="15">
        <f>'Purch Gas'!F65</f>
        <v>2.862590478671275</v>
      </c>
      <c r="E111" s="14">
        <v>5.2624738477935544</v>
      </c>
      <c r="G111" s="14">
        <v>5.061307005148814</v>
      </c>
      <c r="H111" s="14">
        <v>5.1616395227519769</v>
      </c>
      <c r="I111" s="14">
        <v>6.2932125679050168</v>
      </c>
      <c r="J111" s="14">
        <v>6.8841901034138964</v>
      </c>
    </row>
    <row r="112" spans="1:12" x14ac:dyDescent="0.25">
      <c r="A112" t="s">
        <v>71</v>
      </c>
      <c r="B112" s="14">
        <v>5.2265190163887292</v>
      </c>
      <c r="C112" s="15">
        <f>'Purch Gas'!F66</f>
        <v>3.0701957385172909</v>
      </c>
      <c r="E112" s="14">
        <v>5.3395810191252346</v>
      </c>
      <c r="G112" s="14">
        <v>5.1631543053667404</v>
      </c>
      <c r="H112" s="14">
        <v>5.2487094010588384</v>
      </c>
      <c r="I112" s="14">
        <v>6.1013463159622487</v>
      </c>
      <c r="J112" s="14">
        <v>6.6820681844811354</v>
      </c>
    </row>
    <row r="113" spans="1:10" x14ac:dyDescent="0.25">
      <c r="A113" s="17" t="s">
        <v>77</v>
      </c>
      <c r="B113" s="14">
        <v>5.2221927561189272</v>
      </c>
      <c r="C113" s="15">
        <f>'Purch Gas'!F67</f>
        <v>2.7570826673569697</v>
      </c>
      <c r="E113" s="14">
        <v>5.3113656274763761</v>
      </c>
      <c r="G113" s="14">
        <v>5.1540947571108333</v>
      </c>
      <c r="H113" s="14">
        <v>5.2116056170523546</v>
      </c>
      <c r="I113" s="14">
        <v>6.1463963664624259</v>
      </c>
      <c r="J113" s="14">
        <v>6.7957091547676383</v>
      </c>
    </row>
    <row r="114" spans="1:10" x14ac:dyDescent="0.25">
      <c r="A114" s="17" t="s">
        <v>89</v>
      </c>
      <c r="B114" s="14">
        <v>5.22115382558896</v>
      </c>
      <c r="C114" s="15">
        <f>'Purch Gas'!F68</f>
        <v>2.428204423947391</v>
      </c>
      <c r="E114" s="14">
        <v>5.2991114529179546</v>
      </c>
      <c r="G114" s="14">
        <v>5.149198931364463</v>
      </c>
      <c r="H114" s="14">
        <v>5.1947361284113862</v>
      </c>
      <c r="I114" s="14">
        <v>6.1809853278979761</v>
      </c>
      <c r="J114" s="14">
        <v>6.868277325701472</v>
      </c>
    </row>
    <row r="115" spans="1:10" x14ac:dyDescent="0.25">
      <c r="A115" s="17" t="s">
        <v>78</v>
      </c>
      <c r="B115" s="14">
        <v>5.1980316504789998</v>
      </c>
      <c r="C115" s="15">
        <f>'Purch Gas'!F69</f>
        <v>2.3768030951735484</v>
      </c>
      <c r="E115" s="14">
        <v>5.2667016506059516</v>
      </c>
      <c r="G115" s="14">
        <v>5.1233573566142185</v>
      </c>
      <c r="H115" s="14">
        <v>5.1565015996872052</v>
      </c>
      <c r="I115" s="14">
        <v>6.2010662246623047</v>
      </c>
      <c r="J115" s="14">
        <v>6.9518192718375094</v>
      </c>
    </row>
    <row r="116" spans="1:10" x14ac:dyDescent="0.25">
      <c r="A116" s="17" t="s">
        <v>79</v>
      </c>
      <c r="B116" s="14">
        <v>5.1153435128473204</v>
      </c>
      <c r="C116" s="15">
        <f>'Purch Gas'!F70</f>
        <v>2.3819888231932347</v>
      </c>
      <c r="E116" s="14">
        <v>5.1179797336629429</v>
      </c>
      <c r="G116" s="14">
        <v>5.0103875879148445</v>
      </c>
      <c r="H116" s="14">
        <v>4.9830061455756933</v>
      </c>
      <c r="I116" s="14">
        <v>6.7155543663691475</v>
      </c>
      <c r="J116" s="14">
        <v>7.4404664147533932</v>
      </c>
    </row>
    <row r="117" spans="1:10" x14ac:dyDescent="0.25">
      <c r="A117" s="17" t="s">
        <v>80</v>
      </c>
      <c r="B117" s="14">
        <v>5.0559654878257225</v>
      </c>
      <c r="C117" s="15">
        <f>'Purch Gas'!F71</f>
        <v>2.7913701642081823</v>
      </c>
      <c r="E117" s="14">
        <v>5.0411931686324394</v>
      </c>
      <c r="G117" s="14">
        <v>4.956236974505658</v>
      </c>
      <c r="H117" s="14">
        <v>4.9118099179051411</v>
      </c>
      <c r="I117" s="14">
        <v>6.5427045921771745</v>
      </c>
      <c r="J117" s="14">
        <v>7.2284763846002944</v>
      </c>
    </row>
    <row r="118" spans="1:10" x14ac:dyDescent="0.25">
      <c r="A118" s="17" t="s">
        <v>81</v>
      </c>
      <c r="B118" s="14">
        <v>5.0798849201220992</v>
      </c>
      <c r="C118" s="15">
        <f>'Purch Gas'!F72</f>
        <v>2.868590202349663</v>
      </c>
      <c r="E118" s="14">
        <v>5.0376845327660682</v>
      </c>
      <c r="G118" s="14">
        <v>4.9845310935723477</v>
      </c>
      <c r="H118" s="14">
        <v>4.9098134765723405</v>
      </c>
      <c r="I118" s="14">
        <v>6.4899857783935238</v>
      </c>
      <c r="J118" s="14">
        <v>7.212463452534938</v>
      </c>
    </row>
    <row r="119" spans="1:10" x14ac:dyDescent="0.25">
      <c r="A119" s="17" t="s">
        <v>82</v>
      </c>
      <c r="B119" s="14">
        <v>5.1164337168978573</v>
      </c>
      <c r="C119" s="15">
        <f>'Purch Gas'!F73</f>
        <v>1.6315435812108026</v>
      </c>
      <c r="E119" s="14">
        <v>5.0451392080987558</v>
      </c>
      <c r="G119" s="14">
        <v>5.0213447811664009</v>
      </c>
      <c r="H119" s="14">
        <v>4.9198622628723001</v>
      </c>
      <c r="I119" s="14">
        <v>6.5341511807421817</v>
      </c>
      <c r="J119" s="14">
        <v>7.1628020335173694</v>
      </c>
    </row>
    <row r="120" spans="1:10" x14ac:dyDescent="0.25">
      <c r="A120" s="17" t="s">
        <v>83</v>
      </c>
      <c r="B120" s="14">
        <v>5.2196863374901126</v>
      </c>
      <c r="C120" s="15">
        <f>'Purch Gas'!F74</f>
        <v>2.5077777777777777</v>
      </c>
      <c r="E120" s="14">
        <v>5.0988046506886855</v>
      </c>
      <c r="G120" s="14">
        <v>5.135249776223775</v>
      </c>
      <c r="H120" s="14">
        <v>4.9836493114668379</v>
      </c>
      <c r="I120" s="14">
        <v>6.5008892940410368</v>
      </c>
      <c r="J120" s="14">
        <v>7.0333252266704616</v>
      </c>
    </row>
    <row r="121" spans="1:10" x14ac:dyDescent="0.25">
      <c r="A121" s="17" t="s">
        <v>84</v>
      </c>
      <c r="B121" s="14">
        <v>5.256547316923359</v>
      </c>
      <c r="C121" s="15">
        <f>'Purch Gas'!F75</f>
        <v>2.150953871843039</v>
      </c>
      <c r="E121" s="14">
        <v>5.1297251737343057</v>
      </c>
      <c r="G121" s="14">
        <v>5.1713532073975106</v>
      </c>
      <c r="H121" s="14">
        <v>5.0135318665854811</v>
      </c>
      <c r="I121" s="14">
        <v>6.5295453422814322</v>
      </c>
      <c r="J121" s="14">
        <v>7.0543041365889092</v>
      </c>
    </row>
    <row r="122" spans="1:10" x14ac:dyDescent="0.25">
      <c r="A122" s="17" t="s">
        <v>85</v>
      </c>
      <c r="B122" s="14">
        <v>5.244695007644812</v>
      </c>
      <c r="C122" s="15">
        <f>'Purch Gas'!F76</f>
        <v>2.23327552170079</v>
      </c>
      <c r="E122" s="14">
        <v>5.1507389472245348</v>
      </c>
      <c r="G122" s="14">
        <v>0</v>
      </c>
      <c r="H122" s="14">
        <v>0</v>
      </c>
      <c r="I122" s="14">
        <v>0</v>
      </c>
      <c r="J122" s="14">
        <v>0</v>
      </c>
    </row>
    <row r="123" spans="1:10" x14ac:dyDescent="0.25">
      <c r="A123" s="17" t="s">
        <v>86</v>
      </c>
      <c r="B123" s="14">
        <v>5.2064570898669311</v>
      </c>
      <c r="C123" s="15"/>
      <c r="D123" s="14">
        <f>+'Purch Gas'!I77</f>
        <v>2.2799999999999998</v>
      </c>
      <c r="E123" s="14">
        <v>5.1088698253101779</v>
      </c>
      <c r="G123" s="14">
        <v>4.979812272294236</v>
      </c>
      <c r="H123" s="14">
        <v>5.0087007671095467</v>
      </c>
      <c r="I123" s="14">
        <v>6.0343605238782665</v>
      </c>
      <c r="J123" s="14">
        <v>6.5377105563182329</v>
      </c>
    </row>
    <row r="124" spans="1:10" x14ac:dyDescent="0.25">
      <c r="A124" s="17" t="s">
        <v>87</v>
      </c>
      <c r="B124" s="14">
        <v>5.1576967467490134</v>
      </c>
      <c r="C124" s="15"/>
      <c r="D124" s="14">
        <f>+'Purch Gas'!I78</f>
        <v>2.02</v>
      </c>
      <c r="E124" s="14">
        <v>5.0630045220431894</v>
      </c>
      <c r="G124" s="14">
        <v>4.9538277788922906</v>
      </c>
      <c r="H124" s="14">
        <v>4.9733403254235338</v>
      </c>
      <c r="I124" s="14">
        <v>5.7238709260561151</v>
      </c>
      <c r="J124" s="14">
        <v>6.2121701410715389</v>
      </c>
    </row>
    <row r="125" spans="1:10" x14ac:dyDescent="0.25">
      <c r="A125" s="18" t="s">
        <v>90</v>
      </c>
      <c r="B125" s="14">
        <v>4.7530703783385286</v>
      </c>
      <c r="C125" s="15"/>
      <c r="D125" s="14">
        <f>+'Purch Gas'!I79</f>
        <v>1.51</v>
      </c>
      <c r="E125" s="14">
        <v>5.0738958065994142</v>
      </c>
      <c r="G125" s="14">
        <v>4.9950109827009825</v>
      </c>
      <c r="H125" s="14">
        <v>5.0034069432176125</v>
      </c>
      <c r="I125" s="14">
        <v>5.4228136205606177</v>
      </c>
      <c r="J125" s="14">
        <v>5.8844514402014454</v>
      </c>
    </row>
    <row r="126" spans="1:10" x14ac:dyDescent="0.25">
      <c r="A126" s="17" t="s">
        <v>91</v>
      </c>
      <c r="B126" s="14">
        <v>4.3326309840566495</v>
      </c>
      <c r="C126" s="15"/>
      <c r="D126" s="14">
        <f>+'Purch Gas'!I80</f>
        <v>1.51</v>
      </c>
      <c r="E126" s="14">
        <v>5.0450007310654357</v>
      </c>
      <c r="G126" s="14">
        <v>4.9991759406702885</v>
      </c>
      <c r="H126" s="14">
        <v>4.9895654006637491</v>
      </c>
      <c r="I126" s="14">
        <v>5.2028354472811129</v>
      </c>
      <c r="J126" s="14">
        <v>5.626679788025668</v>
      </c>
    </row>
    <row r="127" spans="1:10" x14ac:dyDescent="0.25">
      <c r="A127" s="17" t="s">
        <v>92</v>
      </c>
      <c r="B127" s="14">
        <v>3.8077023251173623</v>
      </c>
      <c r="C127" s="15"/>
      <c r="D127" s="14">
        <f>+'Purch Gas'!I81</f>
        <v>1.77</v>
      </c>
      <c r="E127" s="14">
        <v>5.0561003002841725</v>
      </c>
      <c r="G127" s="14">
        <v>4.995024713952013</v>
      </c>
      <c r="H127" s="14">
        <v>5.02195521571526</v>
      </c>
      <c r="I127" s="14">
        <v>5.0098145731989918</v>
      </c>
      <c r="J127" s="14">
        <v>5.3828084398978566</v>
      </c>
    </row>
    <row r="128" spans="1:10" x14ac:dyDescent="0.25">
      <c r="A128" s="17" t="s">
        <v>93</v>
      </c>
      <c r="B128" s="14">
        <v>3.7896722607737816</v>
      </c>
      <c r="C128" s="15"/>
      <c r="D128" s="14">
        <f>+'Purch Gas'!I82</f>
        <v>1.78</v>
      </c>
      <c r="E128" s="14">
        <v>5.1553882388883778</v>
      </c>
      <c r="G128" s="14">
        <v>5.5561215811810749</v>
      </c>
      <c r="H128" s="14">
        <v>5.1456063315754736</v>
      </c>
      <c r="I128" s="14">
        <v>5.4859883323880574</v>
      </c>
      <c r="J128" s="14">
        <v>5.2411850322926403</v>
      </c>
    </row>
    <row r="129" spans="1:10" x14ac:dyDescent="0.25">
      <c r="A129" s="17" t="s">
        <v>94</v>
      </c>
      <c r="B129" s="14"/>
      <c r="C129" s="15"/>
      <c r="D129" s="14">
        <f>+'Purch Gas'!I83</f>
        <v>2.52</v>
      </c>
      <c r="E129" s="14">
        <v>5.1818778468553912</v>
      </c>
      <c r="G129" s="14"/>
      <c r="H129" s="14">
        <v>5.1924802535743328</v>
      </c>
      <c r="I129" s="14"/>
      <c r="J129" s="14">
        <v>5.0962055939607458</v>
      </c>
    </row>
    <row r="130" spans="1:10" x14ac:dyDescent="0.25">
      <c r="A130" s="17" t="s">
        <v>95</v>
      </c>
      <c r="B130" s="14"/>
      <c r="C130" s="15"/>
      <c r="D130" s="14">
        <f>+'Purch Gas'!I84</f>
        <v>2.5099999999999998</v>
      </c>
      <c r="E130" s="14">
        <v>5.1910007601887544</v>
      </c>
      <c r="G130" s="14"/>
      <c r="H130" s="14">
        <v>5.2127065831784387</v>
      </c>
      <c r="I130" s="14"/>
      <c r="J130" s="14">
        <v>5.0266442907858364</v>
      </c>
    </row>
    <row r="131" spans="1:10" x14ac:dyDescent="0.25">
      <c r="A131" s="17" t="s">
        <v>96</v>
      </c>
      <c r="B131" s="14"/>
      <c r="C131" s="15"/>
      <c r="D131" s="14">
        <f>+'Purch Gas'!I85</f>
        <v>2.62</v>
      </c>
      <c r="E131" s="14">
        <v>5.1851113856901421</v>
      </c>
      <c r="G131" s="14"/>
      <c r="H131" s="14">
        <v>5.2133412515589423</v>
      </c>
      <c r="I131" s="14"/>
      <c r="J131" s="14">
        <v>4.9821994896532953</v>
      </c>
    </row>
    <row r="132" spans="1:10" x14ac:dyDescent="0.25">
      <c r="A132" s="17" t="s">
        <v>97</v>
      </c>
      <c r="B132" s="14"/>
      <c r="D132" s="14">
        <f>+'Purch Gas'!I86</f>
        <v>2.7</v>
      </c>
      <c r="E132" s="14">
        <v>5.0641323869681942</v>
      </c>
      <c r="G132" s="14"/>
      <c r="H132" s="14">
        <v>5.0887746719819207</v>
      </c>
      <c r="I132" s="14"/>
      <c r="J132" s="14">
        <v>4.8948163082139917</v>
      </c>
    </row>
    <row r="133" spans="1:10" x14ac:dyDescent="0.25">
      <c r="A133" s="17" t="s">
        <v>98</v>
      </c>
      <c r="B133" s="14"/>
      <c r="D133" s="14">
        <f>+'Purch Gas'!I87</f>
        <v>2.62</v>
      </c>
      <c r="E133" s="14">
        <v>4.9063635371005603</v>
      </c>
      <c r="G133" s="14"/>
      <c r="H133" s="14">
        <v>4.9292742725017131</v>
      </c>
      <c r="I133" s="14"/>
      <c r="J133" s="14">
        <v>4.7592139738808648</v>
      </c>
    </row>
    <row r="134" spans="1:10" x14ac:dyDescent="0.25">
      <c r="A134" s="17" t="s">
        <v>99</v>
      </c>
      <c r="B134" s="14"/>
      <c r="D134" s="14">
        <f>+'Purch Gas'!I88</f>
        <v>2.99</v>
      </c>
      <c r="E134" s="14">
        <v>4.9230988845236601</v>
      </c>
      <c r="G134" s="14"/>
      <c r="H134" s="14">
        <v>4.9657704301776926</v>
      </c>
      <c r="I134" s="14"/>
      <c r="J134" s="14">
        <v>4.6620518417867443</v>
      </c>
    </row>
    <row r="135" spans="1:10" x14ac:dyDescent="0.25">
      <c r="A135" s="17" t="s">
        <v>100</v>
      </c>
      <c r="D135" s="14">
        <f>+'Purch Gas'!I89</f>
        <v>3.73</v>
      </c>
      <c r="E135" s="14">
        <v>4.9692444799203832</v>
      </c>
      <c r="G135" s="14"/>
      <c r="H135" s="14">
        <v>5.0131504770334354</v>
      </c>
      <c r="I135" s="14"/>
      <c r="J135" s="14">
        <v>4.7006997018413941</v>
      </c>
    </row>
    <row r="136" spans="1:10" x14ac:dyDescent="0.25">
      <c r="A136" s="17" t="s">
        <v>101</v>
      </c>
      <c r="D136" s="14">
        <f>+'Purch Gas'!I90</f>
        <v>3.11</v>
      </c>
      <c r="E136" s="14">
        <v>4.8410981679157024</v>
      </c>
      <c r="H136" s="14">
        <v>4.869872782513287</v>
      </c>
      <c r="J136" s="14">
        <v>4.6647829634619775</v>
      </c>
    </row>
    <row r="137" spans="1:10" x14ac:dyDescent="0.25">
      <c r="A137" s="18" t="s">
        <v>102</v>
      </c>
      <c r="D137" s="14">
        <f>+'Purch Gas'!I91</f>
        <v>2.29</v>
      </c>
      <c r="E137" s="14">
        <v>5.0815762477336959</v>
      </c>
      <c r="H137" s="14">
        <v>5.1441297443460003</v>
      </c>
      <c r="J137" s="14">
        <v>4.6980335497734389</v>
      </c>
    </row>
    <row r="138" spans="1:10" x14ac:dyDescent="0.25">
      <c r="A138" s="18" t="s">
        <v>103</v>
      </c>
      <c r="D138" s="14">
        <f>+'Purch Gas'!I92</f>
        <v>2.64</v>
      </c>
      <c r="E138" s="14">
        <v>5.0862012987508489</v>
      </c>
      <c r="H138" s="14">
        <v>5.1488451152079939</v>
      </c>
      <c r="J138" s="14">
        <v>4.7048535089035397</v>
      </c>
    </row>
    <row r="139" spans="1:10" x14ac:dyDescent="0.25">
      <c r="A139" s="17" t="s">
        <v>104</v>
      </c>
      <c r="D139" s="14">
        <f>+'Purch Gas'!I93</f>
        <v>2.62</v>
      </c>
      <c r="E139" s="14">
        <v>5.0947857116607507</v>
      </c>
      <c r="H139" s="14">
        <v>5.1556404126856288</v>
      </c>
      <c r="J139" s="14">
        <v>4.7247050401567074</v>
      </c>
    </row>
    <row r="140" spans="1:10" x14ac:dyDescent="0.25">
      <c r="A140" s="18" t="s">
        <v>105</v>
      </c>
      <c r="D140" s="14">
        <f>+'Purch Gas'!I94</f>
        <v>2.79</v>
      </c>
      <c r="E140" s="14">
        <v>5.159100927911787</v>
      </c>
      <c r="H140" s="14">
        <v>5.2263749947577915</v>
      </c>
      <c r="J140" s="14">
        <v>4.7506499873267218</v>
      </c>
    </row>
    <row r="141" spans="1:10" x14ac:dyDescent="0.25">
      <c r="A141" s="17" t="s">
        <v>106</v>
      </c>
      <c r="D141" s="14">
        <f>+'Purch Gas'!I95</f>
        <v>2.63</v>
      </c>
      <c r="E141" s="14">
        <v>5.2109707686282301</v>
      </c>
      <c r="H141" s="14">
        <v>5.2926041974866234</v>
      </c>
      <c r="J141" s="14">
        <v>4.7212165431386444</v>
      </c>
    </row>
    <row r="142" spans="1:10" x14ac:dyDescent="0.25">
      <c r="A142" s="18" t="s">
        <v>107</v>
      </c>
      <c r="D142" s="14">
        <f>+'Purch Gas'!I96</f>
        <v>2.59</v>
      </c>
      <c r="E142" s="14">
        <v>5.1505524353854675</v>
      </c>
      <c r="H142" s="14">
        <v>5.2376314806144784</v>
      </c>
      <c r="J142" s="14">
        <v>4.6345051016453596</v>
      </c>
    </row>
    <row r="143" spans="1:10" x14ac:dyDescent="0.25">
      <c r="A143" s="17" t="s">
        <v>108</v>
      </c>
      <c r="D143" s="14">
        <f>+'Purch Gas'!I97</f>
        <v>2.59</v>
      </c>
      <c r="E143" s="14">
        <v>5.0979584492351222</v>
      </c>
      <c r="H143" s="14">
        <v>5.1940075248642152</v>
      </c>
      <c r="J143" s="14">
        <v>4.5397342762970814</v>
      </c>
    </row>
    <row r="144" spans="1:10" x14ac:dyDescent="0.25">
      <c r="A144" s="17" t="s">
        <v>109</v>
      </c>
      <c r="D144" s="14">
        <f>+'Purch Gas'!I98</f>
        <v>2.48</v>
      </c>
      <c r="E144" s="14">
        <v>5.0950761717880741</v>
      </c>
      <c r="H144" s="14">
        <v>5.2031168739027649</v>
      </c>
      <c r="J144" s="14">
        <v>4.4762772746419435</v>
      </c>
    </row>
    <row r="145" spans="1:10" x14ac:dyDescent="0.25">
      <c r="A145" s="17" t="s">
        <v>110</v>
      </c>
      <c r="D145" s="14">
        <f>+'Purch Gas'!I99</f>
        <v>2.63</v>
      </c>
      <c r="E145" s="14">
        <v>4.9737666963187124</v>
      </c>
      <c r="H145" s="14">
        <v>5.0770600095309568</v>
      </c>
      <c r="J145" s="14">
        <v>4.3988779958170099</v>
      </c>
    </row>
    <row r="146" spans="1:10" x14ac:dyDescent="0.25">
      <c r="A146" s="17" t="s">
        <v>111</v>
      </c>
      <c r="D146" s="14">
        <f>+'Purch Gas'!I100</f>
        <v>2.73</v>
      </c>
      <c r="E146" s="14">
        <v>4.8935051740123443</v>
      </c>
      <c r="H146" s="14">
        <v>5.0188690468482795</v>
      </c>
      <c r="J146" s="14">
        <v>4.2382195149682698</v>
      </c>
    </row>
    <row r="147" spans="1:10" x14ac:dyDescent="0.25">
      <c r="A147" s="17" t="s">
        <v>113</v>
      </c>
      <c r="D147" s="14">
        <f>+'Purch Gas'!I101</f>
        <v>2.5</v>
      </c>
      <c r="E147" s="14">
        <v>4.7868600180087277</v>
      </c>
      <c r="H147" s="14">
        <v>4.9381879405898168</v>
      </c>
      <c r="J147" s="14">
        <v>4.0406217023190774</v>
      </c>
    </row>
    <row r="148" spans="1:10" x14ac:dyDescent="0.25">
      <c r="A148" s="17" t="s">
        <v>114</v>
      </c>
      <c r="D148" s="14">
        <f>+'Purch Gas'!I102</f>
        <v>2.8</v>
      </c>
      <c r="E148" s="14">
        <v>4.8247880690958196</v>
      </c>
      <c r="H148" s="14">
        <v>5.0146928742589738</v>
      </c>
      <c r="J148" s="14">
        <v>3.9363811816445446</v>
      </c>
    </row>
    <row r="149" spans="1:10" x14ac:dyDescent="0.25">
      <c r="A149" s="17" t="s">
        <v>115</v>
      </c>
      <c r="D149" s="14">
        <f>+'Purch Gas'!I103</f>
        <v>2.17</v>
      </c>
      <c r="E149" s="14">
        <v>4.6754651569450791</v>
      </c>
      <c r="H149" s="14">
        <v>4.8832721287563947</v>
      </c>
      <c r="J149" s="14">
        <v>3.7604673166645792</v>
      </c>
    </row>
    <row r="150" spans="1:10" x14ac:dyDescent="0.25">
      <c r="A150" s="17" t="s">
        <v>116</v>
      </c>
      <c r="D150" s="14">
        <f>+'Purch Gas'!I104</f>
        <v>1.85</v>
      </c>
      <c r="E150" s="14">
        <v>4.5773771148318998</v>
      </c>
      <c r="H150" s="14">
        <v>4.8013782453727245</v>
      </c>
      <c r="J150" s="14">
        <v>3.6386469358680849</v>
      </c>
    </row>
    <row r="151" spans="1:10" x14ac:dyDescent="0.25">
      <c r="A151" s="17" t="s">
        <v>117</v>
      </c>
      <c r="D151" s="14">
        <f>+'Purch Gas'!I105</f>
        <v>1.9</v>
      </c>
      <c r="E151" s="14">
        <v>4.5109983336195896</v>
      </c>
      <c r="H151" s="14">
        <v>4.7497183186952601</v>
      </c>
      <c r="J151" s="14">
        <v>3.5479234394655887</v>
      </c>
    </row>
    <row r="152" spans="1:10" x14ac:dyDescent="0.25">
      <c r="A152" s="17" t="s">
        <v>118</v>
      </c>
      <c r="D152" s="14">
        <f>+'Purch Gas'!I106</f>
        <v>2.09</v>
      </c>
      <c r="E152" s="14">
        <v>4.3720829382293713</v>
      </c>
      <c r="H152" s="14">
        <v>4.6162875857522856</v>
      </c>
      <c r="J152" s="14">
        <v>3.4246925510512214</v>
      </c>
    </row>
    <row r="153" spans="1:10" x14ac:dyDescent="0.25">
      <c r="A153" s="17" t="s">
        <v>119</v>
      </c>
      <c r="D153" s="14">
        <f>+'Purch Gas'!I107</f>
        <v>2.2400000000000002</v>
      </c>
      <c r="E153" s="14">
        <v>4.2616224851180613</v>
      </c>
      <c r="H153" s="14">
        <v>4.5092486322626906</v>
      </c>
      <c r="J153" s="14">
        <v>3.3383239767115263</v>
      </c>
    </row>
    <row r="154" spans="1:10" x14ac:dyDescent="0.25">
      <c r="A154" s="18" t="s">
        <v>120</v>
      </c>
      <c r="D154" s="14">
        <f>+'Purch Gas'!I108</f>
        <v>2.41</v>
      </c>
      <c r="E154" s="14">
        <v>4.2077847660971672</v>
      </c>
      <c r="H154" s="14">
        <v>4.4717810215742499</v>
      </c>
      <c r="J154" s="14">
        <v>3.2607632050372128</v>
      </c>
    </row>
    <row r="155" spans="1:10" x14ac:dyDescent="0.25">
      <c r="A155" s="17" t="s">
        <v>121</v>
      </c>
      <c r="D155" s="14">
        <f>+'Purch Gas'!I109</f>
        <v>2.3199999999999998</v>
      </c>
      <c r="E155" s="14">
        <v>4.1763756736958033</v>
      </c>
      <c r="H155" s="14">
        <v>4.4527098550043469</v>
      </c>
      <c r="J155" s="14">
        <v>3.2187495764644773</v>
      </c>
    </row>
    <row r="156" spans="1:10" x14ac:dyDescent="0.25">
      <c r="A156" s="18" t="s">
        <v>122</v>
      </c>
      <c r="D156" s="14">
        <f>+'Purch Gas'!I110</f>
        <v>2.3199999999999998</v>
      </c>
      <c r="E156" s="14">
        <v>4.145611093561139</v>
      </c>
      <c r="H156" s="14">
        <v>4.4373729029063709</v>
      </c>
      <c r="J156" s="14">
        <v>3.1652403255275998</v>
      </c>
    </row>
    <row r="157" spans="1:10" x14ac:dyDescent="0.25">
      <c r="A157" s="17" t="s">
        <v>123</v>
      </c>
      <c r="D157" s="14">
        <f>+'Purch Gas'!I111</f>
        <v>3.23</v>
      </c>
      <c r="E157" s="14">
        <v>4.0779561559201465</v>
      </c>
      <c r="H157" s="14">
        <v>4.3669734465262158</v>
      </c>
      <c r="J157" s="14">
        <v>3.1206840435825876</v>
      </c>
    </row>
    <row r="158" spans="1:10" x14ac:dyDescent="0.25">
      <c r="A158" s="18" t="s">
        <v>124</v>
      </c>
      <c r="D158" s="14">
        <f>+'Purch Gas'!I112</f>
        <v>5.7</v>
      </c>
      <c r="E158" s="14">
        <v>3.9401245416090616</v>
      </c>
      <c r="H158" s="14">
        <v>4.2021065479288886</v>
      </c>
      <c r="J158" s="14">
        <v>3.0733084743179124</v>
      </c>
    </row>
    <row r="159" spans="1:10" x14ac:dyDescent="0.25">
      <c r="A159" s="18" t="s">
        <v>125</v>
      </c>
      <c r="D159" s="14">
        <f>+'Purch Gas'!I113</f>
        <v>4.22</v>
      </c>
      <c r="E159" s="14">
        <v>3.9522085234635198</v>
      </c>
      <c r="H159" s="14">
        <v>4.2015352995279409</v>
      </c>
      <c r="J159" s="14">
        <v>3.1257469151736741</v>
      </c>
    </row>
    <row r="160" spans="1:10" x14ac:dyDescent="0.25">
      <c r="A160" s="18" t="s">
        <v>126</v>
      </c>
      <c r="D160" s="14">
        <f>+'Purch Gas'!I114</f>
        <v>3.38</v>
      </c>
      <c r="E160" s="14">
        <v>3.9727825161595378</v>
      </c>
      <c r="H160" s="14">
        <v>4.2111002173785526</v>
      </c>
      <c r="J160" s="14">
        <v>3.1797246340449803</v>
      </c>
    </row>
    <row r="161" spans="1:10" x14ac:dyDescent="0.25">
      <c r="A161" s="18" t="s">
        <v>128</v>
      </c>
      <c r="D161" s="14">
        <f>+'Purch Gas'!I115</f>
        <v>3.77</v>
      </c>
      <c r="E161" s="14">
        <v>3.9511191894171054</v>
      </c>
      <c r="H161" s="14">
        <v>4.1789390467954979</v>
      </c>
      <c r="J161" s="14">
        <v>3.1909558344032134</v>
      </c>
    </row>
    <row r="162" spans="1:10" x14ac:dyDescent="0.25">
      <c r="A162" s="18" t="s">
        <v>129</v>
      </c>
      <c r="D162" s="14">
        <f>+'Purch Gas'!I116</f>
        <v>2.48</v>
      </c>
      <c r="E162" s="14">
        <v>3.9571121398602624</v>
      </c>
      <c r="H162" s="14">
        <v>4.1882885951702047</v>
      </c>
      <c r="J162" s="14">
        <v>3.1828521461463386</v>
      </c>
    </row>
    <row r="163" spans="1:10" x14ac:dyDescent="0.25">
      <c r="A163" s="18" t="s">
        <v>130</v>
      </c>
      <c r="D163" s="14">
        <f>+'Purch Gas'!I117</f>
        <v>1.88</v>
      </c>
      <c r="E163" s="14">
        <v>3.8980127953085666</v>
      </c>
      <c r="H163" s="14">
        <v>4.1172870080658512</v>
      </c>
      <c r="J163" s="14">
        <v>3.1610554940743603</v>
      </c>
    </row>
    <row r="164" spans="1:10" x14ac:dyDescent="0.25">
      <c r="A164" s="18" t="s">
        <v>131</v>
      </c>
      <c r="D164" s="14">
        <f>+'Purch Gas'!I118</f>
        <v>1.89</v>
      </c>
      <c r="E164" s="14">
        <v>3.8964293167649036</v>
      </c>
      <c r="H164" s="14">
        <v>4.1028359678496029</v>
      </c>
      <c r="J164" s="14">
        <v>3.2009472084596728</v>
      </c>
    </row>
    <row r="165" spans="1:10" x14ac:dyDescent="0.25">
      <c r="A165" s="18" t="s">
        <v>132</v>
      </c>
      <c r="D165" s="14">
        <f>+'Purch Gas'!I119</f>
        <v>1.92</v>
      </c>
      <c r="E165" s="14">
        <v>3.8868251164491552</v>
      </c>
      <c r="H165" s="14">
        <v>4.0955920844402627</v>
      </c>
      <c r="J165" s="14">
        <v>3.1867012734081839</v>
      </c>
    </row>
    <row r="166" spans="1:10" x14ac:dyDescent="0.25">
      <c r="A166" s="18" t="s">
        <v>133</v>
      </c>
      <c r="D166" s="14">
        <f>+'Purch Gas'!I120</f>
        <v>2.0099999999999998</v>
      </c>
      <c r="E166" s="14">
        <v>3.8440504169623875</v>
      </c>
      <c r="H166" s="14">
        <v>4.0331346496888045</v>
      </c>
      <c r="J166" s="14">
        <v>3.1939829929313035</v>
      </c>
    </row>
    <row r="167" spans="1:10" x14ac:dyDescent="0.25">
      <c r="A167" s="18" t="s">
        <v>134</v>
      </c>
      <c r="D167" s="14">
        <f>+'Purch Gas'!I121</f>
        <v>1.81</v>
      </c>
      <c r="E167" s="14">
        <v>3.8135060725915033</v>
      </c>
      <c r="H167" s="14">
        <v>3.9951341302271715</v>
      </c>
      <c r="J167" s="14">
        <v>3.1842623316224641</v>
      </c>
    </row>
    <row r="168" spans="1:10" x14ac:dyDescent="0.25">
      <c r="A168" s="18" t="s">
        <v>135</v>
      </c>
      <c r="D168" s="14">
        <f>+'Purch Gas'!I122</f>
        <v>2.0099999999999998</v>
      </c>
      <c r="E168" s="14">
        <v>3.7887514708638497</v>
      </c>
      <c r="H168" s="14">
        <v>3.9582165098114244</v>
      </c>
      <c r="J168" s="14">
        <v>3.197492070735604</v>
      </c>
    </row>
    <row r="169" spans="1:10" x14ac:dyDescent="0.25">
      <c r="A169" s="18" t="s">
        <v>136</v>
      </c>
      <c r="D169" s="14">
        <f>+'Purch Gas'!I123</f>
        <v>2.3199999999999998</v>
      </c>
      <c r="E169" s="14">
        <v>3.7871815632564543</v>
      </c>
      <c r="H169" s="14">
        <v>3.9566574923919093</v>
      </c>
      <c r="J169" s="14">
        <v>3.1950272015168193</v>
      </c>
    </row>
    <row r="170" spans="1:10" x14ac:dyDescent="0.25">
      <c r="A170" s="18" t="s">
        <v>137</v>
      </c>
      <c r="D170" s="14">
        <f>+'Purch Gas'!I124</f>
        <v>3.44</v>
      </c>
      <c r="E170" s="14">
        <v>3.87678681199995</v>
      </c>
      <c r="H170" s="14">
        <v>4.0568725878690204</v>
      </c>
      <c r="J170" s="14">
        <v>3.2407144577593483</v>
      </c>
    </row>
    <row r="171" spans="1:10" x14ac:dyDescent="0.25">
      <c r="A171" s="18" t="s">
        <v>138</v>
      </c>
      <c r="D171" s="14">
        <f>+'Purch Gas'!I125</f>
        <v>3.16</v>
      </c>
      <c r="E171" s="14">
        <v>3.8331541829303317</v>
      </c>
      <c r="H171" s="14">
        <v>4.003195689090858</v>
      </c>
      <c r="J171" s="14">
        <v>3.2270057450163763</v>
      </c>
    </row>
    <row r="172" spans="1:10" x14ac:dyDescent="0.25">
      <c r="A172" s="18" t="s">
        <v>139</v>
      </c>
      <c r="D172" s="14">
        <f>+'Purch Gas'!I126</f>
        <v>1.8</v>
      </c>
      <c r="E172" s="14">
        <v>3.7855742738289395</v>
      </c>
      <c r="H172" s="14">
        <v>3.9536920587129498</v>
      </c>
      <c r="J172" s="14">
        <v>3.1786880189078799</v>
      </c>
    </row>
    <row r="173" spans="1:10" x14ac:dyDescent="0.25">
      <c r="A173" s="18" t="s">
        <v>141</v>
      </c>
      <c r="D173" s="14">
        <f>+'Purch Gas'!I127</f>
        <v>1.56</v>
      </c>
      <c r="E173" s="14">
        <v>3.8466495359834267</v>
      </c>
      <c r="H173" s="14">
        <v>4.0308490244541071</v>
      </c>
      <c r="J173" s="14">
        <v>3.1692667444289575</v>
      </c>
    </row>
    <row r="174" spans="1:10" x14ac:dyDescent="0.25">
      <c r="A174" s="18" t="s">
        <v>142</v>
      </c>
      <c r="D174" s="14">
        <f>+'Purch Gas'!I128</f>
        <v>1.29</v>
      </c>
      <c r="E174" s="14">
        <v>3.8229347890495418</v>
      </c>
      <c r="H174" s="14">
        <v>3.99409256846327</v>
      </c>
      <c r="J174" s="14">
        <v>3.1853495366653628</v>
      </c>
    </row>
    <row r="175" spans="1:10" x14ac:dyDescent="0.25">
      <c r="A175" s="18" t="s">
        <v>143</v>
      </c>
      <c r="D175" s="14">
        <f>+'Purch Gas'!I129</f>
        <v>1.59</v>
      </c>
      <c r="E175" s="14">
        <v>3.8611799133552096</v>
      </c>
      <c r="H175" s="14">
        <v>4.0373757914429795</v>
      </c>
      <c r="J175" s="14">
        <v>3.2019193913605353</v>
      </c>
    </row>
    <row r="176" spans="1:10" x14ac:dyDescent="0.25">
      <c r="A176" s="18" t="s">
        <v>144</v>
      </c>
      <c r="D176" s="14">
        <f>+'Purch Gas'!I130</f>
        <v>1.54</v>
      </c>
      <c r="E176" s="14">
        <v>3.8501090676017569</v>
      </c>
      <c r="H176" s="14">
        <v>4.0279541839325406</v>
      </c>
      <c r="J176" s="14">
        <v>3.1805199818969077</v>
      </c>
    </row>
    <row r="177" spans="1:10" x14ac:dyDescent="0.25">
      <c r="A177" s="18" t="s">
        <v>145</v>
      </c>
      <c r="D177" s="14">
        <f>+'Purch Gas'!I131</f>
        <v>1.53</v>
      </c>
      <c r="E177" s="14">
        <v>3.8488996958640813</v>
      </c>
      <c r="H177" s="14">
        <v>4.0042235835332178</v>
      </c>
      <c r="J177" s="14">
        <v>3.249205472719082</v>
      </c>
    </row>
    <row r="178" spans="1:10" x14ac:dyDescent="0.25">
      <c r="A178" s="18" t="s">
        <v>146</v>
      </c>
      <c r="D178" s="14">
        <f>+'Purch Gas'!I132</f>
        <v>1.69</v>
      </c>
      <c r="E178" s="14">
        <v>3.9086695028876282</v>
      </c>
      <c r="H178" s="14">
        <v>4.0664499172780806</v>
      </c>
      <c r="J178" s="14">
        <v>3.2897178008210433</v>
      </c>
    </row>
    <row r="179" spans="1:10" x14ac:dyDescent="0.25">
      <c r="A179" s="18" t="s">
        <v>147</v>
      </c>
      <c r="D179" s="14">
        <f>+'Purch Gas'!I133</f>
        <v>2.39</v>
      </c>
      <c r="E179" s="14">
        <v>3.9234355206926361</v>
      </c>
      <c r="H179" s="14">
        <v>4.0808443346505019</v>
      </c>
      <c r="J179" s="14">
        <v>3.2991010629017508</v>
      </c>
    </row>
    <row r="180" spans="1:10" x14ac:dyDescent="0.25">
      <c r="A180" s="18" t="s">
        <v>148</v>
      </c>
      <c r="D180" s="14">
        <f>+'Purch Gas'!I134</f>
        <v>2.23</v>
      </c>
      <c r="E180" s="14">
        <v>3.9377827654589921</v>
      </c>
      <c r="H180" s="14">
        <v>4.1006638793888754</v>
      </c>
      <c r="J180" s="14">
        <v>3.2855306951574264</v>
      </c>
    </row>
    <row r="181" spans="1:10" x14ac:dyDescent="0.25">
      <c r="A181" s="18" t="s">
        <v>149</v>
      </c>
      <c r="D181" s="14">
        <f>+'Purch Gas'!I135</f>
        <v>3.03</v>
      </c>
      <c r="E181" s="14">
        <v>3.9759925925196073</v>
      </c>
      <c r="H181" s="14">
        <v>4.1569313226000206</v>
      </c>
      <c r="J181" s="14">
        <v>3.2654378775861939</v>
      </c>
    </row>
    <row r="182" spans="1:10" x14ac:dyDescent="0.25">
      <c r="A182" s="18" t="s">
        <v>150</v>
      </c>
      <c r="D182" s="14">
        <f>+'Purch Gas'!I136</f>
        <v>2.94</v>
      </c>
      <c r="E182" s="14">
        <v>3.9810974207431284</v>
      </c>
      <c r="H182" s="14">
        <v>4.1830316950648614</v>
      </c>
      <c r="J182" s="14">
        <v>3.2093616373809142</v>
      </c>
    </row>
    <row r="183" spans="1:10" x14ac:dyDescent="0.25">
      <c r="A183" s="18" t="s">
        <v>152</v>
      </c>
      <c r="D183" s="14">
        <f>+'Purch Gas'!I137</f>
        <v>3.23</v>
      </c>
      <c r="E183" s="14">
        <v>3.9796282823035347</v>
      </c>
      <c r="H183" s="14">
        <v>4.2058614036830813</v>
      </c>
      <c r="J183" s="14">
        <v>3.1442799794783793</v>
      </c>
    </row>
    <row r="184" spans="1:10" x14ac:dyDescent="0.25">
      <c r="A184" s="18" t="s">
        <v>151</v>
      </c>
      <c r="D184" s="14">
        <f>+'Purch Gas'!I138</f>
        <v>2.75</v>
      </c>
      <c r="E184" s="14">
        <v>3.9674864001882857</v>
      </c>
      <c r="H184" s="14">
        <v>4.2084887174904129</v>
      </c>
      <c r="J184" s="14">
        <v>3.1022513176600239</v>
      </c>
    </row>
    <row r="185" spans="1:10" x14ac:dyDescent="0.25">
      <c r="A185" s="18" t="s">
        <v>153</v>
      </c>
      <c r="D185" s="14">
        <f>+'Purch Gas'!I139</f>
        <v>3.04</v>
      </c>
      <c r="E185" s="14">
        <v>3.9506117607962574</v>
      </c>
      <c r="H185" s="14">
        <v>4.197681019314313</v>
      </c>
      <c r="J185" s="14">
        <v>3.0892186739637921</v>
      </c>
    </row>
    <row r="186" spans="1:10" x14ac:dyDescent="0.25">
      <c r="A186" s="18" t="s">
        <v>154</v>
      </c>
      <c r="D186" s="14">
        <f>+'Purch Gas'!I140</f>
        <v>2.41</v>
      </c>
      <c r="E186" s="14">
        <v>3.9769740689190773</v>
      </c>
      <c r="H186" s="14">
        <v>4.2408899935443474</v>
      </c>
      <c r="J186" s="14">
        <v>3.0760606585096419</v>
      </c>
    </row>
    <row r="187" spans="1:10" x14ac:dyDescent="0.25">
      <c r="A187" s="18" t="s">
        <v>155</v>
      </c>
      <c r="D187" s="14">
        <f>+'Purch Gas'!I141</f>
        <v>2.8</v>
      </c>
      <c r="E187" s="14">
        <v>3.9607001929856551</v>
      </c>
      <c r="H187" s="14">
        <v>4.2292547809383958</v>
      </c>
      <c r="J187" s="14">
        <v>3.0632036522068047</v>
      </c>
    </row>
    <row r="188" spans="1:10" x14ac:dyDescent="0.25">
      <c r="A188" s="18" t="s">
        <v>156</v>
      </c>
      <c r="D188" s="14">
        <f>+'Purch Gas'!I142</f>
        <v>2.91</v>
      </c>
      <c r="E188" s="14">
        <v>4.0950532885037294</v>
      </c>
      <c r="H188" s="14">
        <v>4.3062553310397034</v>
      </c>
      <c r="J188" s="14">
        <v>3.4078501005256427</v>
      </c>
    </row>
    <row r="189" spans="1:10" x14ac:dyDescent="0.25">
      <c r="A189" s="18" t="s">
        <v>157</v>
      </c>
      <c r="D189" s="14">
        <f>+'Purch Gas'!I143</f>
        <v>3.79</v>
      </c>
      <c r="E189" s="14">
        <v>4.2332941173280885</v>
      </c>
      <c r="H189" s="14">
        <v>4.4567849011086134</v>
      </c>
      <c r="J189" s="14">
        <v>3.5739089268789672</v>
      </c>
    </row>
    <row r="190" spans="1:10" x14ac:dyDescent="0.25">
      <c r="A190" s="18" t="s">
        <v>158</v>
      </c>
      <c r="D190" s="14">
        <f>+'Purch Gas'!I144</f>
        <v>4.04</v>
      </c>
      <c r="E190" s="14">
        <v>4.112473313001904</v>
      </c>
      <c r="H190" s="14">
        <v>4.3601705704012437</v>
      </c>
      <c r="J190" s="14">
        <v>3.2487277160261057</v>
      </c>
    </row>
    <row r="191" spans="1:10" x14ac:dyDescent="0.25">
      <c r="A191" s="18" t="s">
        <v>159</v>
      </c>
      <c r="D191" s="14">
        <f>+'Purch Gas'!I145</f>
        <v>4.09</v>
      </c>
      <c r="E191" s="14">
        <v>4.0484630232022392</v>
      </c>
      <c r="H191" s="14">
        <v>4.1407704396622087</v>
      </c>
      <c r="J191" s="14">
        <v>3.7148966548860622</v>
      </c>
    </row>
    <row r="192" spans="1:10" x14ac:dyDescent="0.25">
      <c r="A192" s="18" t="s">
        <v>160</v>
      </c>
      <c r="D192" s="14">
        <f>+'Purch Gas'!I146</f>
        <v>5.6</v>
      </c>
      <c r="E192" s="14">
        <v>4.1861882084201802</v>
      </c>
      <c r="H192" s="14">
        <v>4.3588181999633999</v>
      </c>
      <c r="J192" s="14">
        <v>3.57994303713116</v>
      </c>
    </row>
    <row r="193" spans="1:10" x14ac:dyDescent="0.25">
      <c r="A193" s="18" t="s">
        <v>161</v>
      </c>
      <c r="D193" s="14">
        <f>+'Purch Gas'!I147</f>
        <v>6.34</v>
      </c>
      <c r="E193" s="14">
        <v>3.43209034803004</v>
      </c>
      <c r="H193" s="14">
        <v>3.3829400236070502</v>
      </c>
      <c r="J193" s="14">
        <v>3.6203786136732798</v>
      </c>
    </row>
    <row r="194" spans="1:10" x14ac:dyDescent="0.25">
      <c r="A194" s="18" t="s">
        <v>162</v>
      </c>
      <c r="D194" s="14">
        <f>+'Purch Gas'!I148</f>
        <v>5.78</v>
      </c>
      <c r="E194" s="14">
        <v>4.9516990048334302</v>
      </c>
      <c r="H194" s="14">
        <v>5.1040580791907297</v>
      </c>
      <c r="J194" s="14">
        <v>4.5012605815801203</v>
      </c>
    </row>
    <row r="195" spans="1:10" x14ac:dyDescent="0.25">
      <c r="A195" s="18" t="s">
        <v>163</v>
      </c>
      <c r="D195" s="14">
        <f>+'Purch Gas'!I149</f>
        <v>7.87</v>
      </c>
      <c r="E195" s="14">
        <v>4.0506851834243545</v>
      </c>
      <c r="H195" s="14">
        <v>4.2522734214837863</v>
      </c>
      <c r="J195" s="14">
        <v>3.4142968439236228</v>
      </c>
    </row>
    <row r="196" spans="1:10" x14ac:dyDescent="0.25">
      <c r="A196" s="18" t="s">
        <v>165</v>
      </c>
      <c r="D196" s="14">
        <f>+'Purch Gas'!I150</f>
        <v>5.04</v>
      </c>
      <c r="E196" s="14">
        <v>4.0664431008074944</v>
      </c>
      <c r="H196" s="14">
        <v>4.2522037548797691</v>
      </c>
      <c r="J196" s="14">
        <v>3.4815029125060968</v>
      </c>
    </row>
    <row r="197" spans="1:10" x14ac:dyDescent="0.25">
      <c r="A197" s="18" t="s">
        <v>166</v>
      </c>
      <c r="D197" s="14">
        <f>+'Purch Gas'!I151</f>
        <v>4.38</v>
      </c>
      <c r="E197" s="14">
        <v>4.0728147224207261</v>
      </c>
      <c r="H197" s="14">
        <v>4.238268616868857</v>
      </c>
      <c r="J197" s="14">
        <v>3.5501419387097495</v>
      </c>
    </row>
    <row r="198" spans="1:10" x14ac:dyDescent="0.25">
      <c r="A198" s="18" t="s">
        <v>167</v>
      </c>
      <c r="D198" s="14">
        <f>+'Purch Gas'!I152</f>
        <v>4.8600000000000003</v>
      </c>
      <c r="E198" s="14">
        <v>4.0728588040819327</v>
      </c>
      <c r="H198" s="14">
        <v>4.2200673224126479</v>
      </c>
      <c r="J198" s="14">
        <v>3.6079853785504694</v>
      </c>
    </row>
    <row r="199" spans="1:10" x14ac:dyDescent="0.25">
      <c r="A199" s="18" t="s">
        <v>168</v>
      </c>
      <c r="D199" s="14">
        <f>+'Purch Gas'!I153</f>
        <v>6.4</v>
      </c>
      <c r="E199" s="14">
        <v>4.000479701254859</v>
      </c>
      <c r="H199" s="14">
        <v>4.1210586290355407</v>
      </c>
      <c r="J199" s="14">
        <v>3.6206779595151675</v>
      </c>
    </row>
    <row r="200" spans="1:10" x14ac:dyDescent="0.25">
      <c r="A200" s="18" t="s">
        <v>169</v>
      </c>
      <c r="D200" s="14">
        <f>+'Purch Gas'!I154</f>
        <v>8.8000000000000007</v>
      </c>
      <c r="E200" s="14">
        <v>4.003584637298065</v>
      </c>
      <c r="H200" s="14">
        <v>4.1109034400528515</v>
      </c>
      <c r="J200" s="14">
        <v>3.6665627721230161</v>
      </c>
    </row>
    <row r="201" spans="1:10" x14ac:dyDescent="0.25">
      <c r="A201" s="18" t="s">
        <v>170</v>
      </c>
      <c r="D201" s="14">
        <f>+'Purch Gas'!I155</f>
        <v>6.18</v>
      </c>
      <c r="E201" s="14">
        <v>4.1997395973770795</v>
      </c>
      <c r="H201" s="14">
        <v>4.3712432038142666</v>
      </c>
      <c r="J201" s="14">
        <v>3.6757907892969377</v>
      </c>
    </row>
    <row r="202" spans="1:10" x14ac:dyDescent="0.25">
      <c r="A202" s="18" t="s">
        <v>171</v>
      </c>
      <c r="D202" s="14">
        <f>+'Purch Gas'!I156</f>
        <v>8.4499999999999993</v>
      </c>
      <c r="E202" s="14">
        <v>4.2926168278055643</v>
      </c>
      <c r="H202" s="14">
        <v>4.4557953120092879</v>
      </c>
      <c r="J202" s="14">
        <v>3.8052121056583754</v>
      </c>
    </row>
    <row r="203" spans="1:10" x14ac:dyDescent="0.25">
      <c r="A203" s="18" t="s">
        <v>172</v>
      </c>
      <c r="D203" s="14">
        <f>+'Purch Gas'!I157</f>
        <v>8.73</v>
      </c>
      <c r="E203" s="14">
        <v>4.3147455049798271</v>
      </c>
      <c r="H203" s="14">
        <v>4.4786938152126066</v>
      </c>
      <c r="J203" s="14">
        <v>3.8392067320123835</v>
      </c>
    </row>
    <row r="204" spans="1:10" x14ac:dyDescent="0.25">
      <c r="A204" s="18" t="s">
        <v>173</v>
      </c>
      <c r="D204" s="14">
        <f>+'Purch Gas'!I158</f>
        <v>5.51</v>
      </c>
      <c r="E204" s="14">
        <v>4.3547333382896802</v>
      </c>
      <c r="H204" s="14">
        <v>4.5291600719773131</v>
      </c>
      <c r="J204" s="14">
        <v>3.8670470766356111</v>
      </c>
    </row>
    <row r="205" spans="1:10" x14ac:dyDescent="0.25">
      <c r="A205" s="18" t="s">
        <v>174</v>
      </c>
      <c r="D205" s="14">
        <f>+'Purch Gas'!I159</f>
        <v>5.73</v>
      </c>
      <c r="E205" s="14">
        <v>4.4728813885946233</v>
      </c>
      <c r="H205" s="14">
        <v>4.700606270150586</v>
      </c>
      <c r="J205" s="14">
        <v>3.8718731391570032</v>
      </c>
    </row>
    <row r="206" spans="1:10" x14ac:dyDescent="0.25">
      <c r="A206" s="18" t="s">
        <v>176</v>
      </c>
      <c r="D206" s="14">
        <f>+'Purch Gas'!I160</f>
        <v>11.39</v>
      </c>
      <c r="E206" s="14">
        <v>4.7770404727085207</v>
      </c>
      <c r="H206" s="14">
        <v>5.1155086987775791</v>
      </c>
      <c r="J206" s="14">
        <v>3.9176421988653964</v>
      </c>
    </row>
    <row r="207" spans="1:10" x14ac:dyDescent="0.25">
      <c r="A207" s="18" t="s">
        <v>177</v>
      </c>
      <c r="D207" s="14">
        <f>+'Purch Gas'!I161</f>
        <v>49.57</v>
      </c>
      <c r="E207" s="14">
        <v>4.9720889776106372</v>
      </c>
      <c r="H207" s="14">
        <v>5.1426408052254411</v>
      </c>
      <c r="J207" s="14">
        <v>4.548808166272118</v>
      </c>
    </row>
    <row r="208" spans="1:10" x14ac:dyDescent="0.25">
      <c r="A208" s="18" t="s">
        <v>178</v>
      </c>
      <c r="D208" s="14">
        <f>+'Purch Gas'!I162</f>
        <v>12.44</v>
      </c>
      <c r="E208" s="14">
        <v>5.3276440920055341</v>
      </c>
      <c r="H208" s="14">
        <v>5.5532520114745916</v>
      </c>
      <c r="J208" s="14">
        <v>4.7825689864248409</v>
      </c>
    </row>
    <row r="209" spans="1:10" x14ac:dyDescent="0.25">
      <c r="A209" s="18" t="s">
        <v>179</v>
      </c>
      <c r="D209" s="14">
        <f>+'Purch Gas'!I163</f>
        <v>5.0730000000000004</v>
      </c>
      <c r="E209" s="14">
        <v>5.7597356091222824</v>
      </c>
      <c r="H209" s="14">
        <v>6.0694779013661764</v>
      </c>
      <c r="J209" s="14">
        <v>5.0381506624849424</v>
      </c>
    </row>
    <row r="210" spans="1:10" x14ac:dyDescent="0.25">
      <c r="A210" s="18" t="s">
        <v>180</v>
      </c>
      <c r="D210" s="14">
        <f>+'Purch Gas'!I164</f>
        <v>3.87</v>
      </c>
      <c r="E210" s="14">
        <v>5.7873627354025352</v>
      </c>
      <c r="H210" s="14">
        <v>6.0774156583970065</v>
      </c>
      <c r="J210" s="14">
        <v>5.131404216596593</v>
      </c>
    </row>
    <row r="211" spans="1:10" x14ac:dyDescent="0.25">
      <c r="A211" s="18" t="s">
        <v>181</v>
      </c>
      <c r="D211" s="14">
        <f>+'Purch Gas'!I165</f>
        <v>2.36</v>
      </c>
      <c r="E211" s="14">
        <v>5.8067709976082345</v>
      </c>
      <c r="H211" s="14">
        <v>6.1484946821272439</v>
      </c>
      <c r="J211" s="14">
        <v>5.0536888163453968</v>
      </c>
    </row>
    <row r="212" spans="1:10" x14ac:dyDescent="0.25">
      <c r="A212" s="18" t="s">
        <v>182</v>
      </c>
      <c r="D212" s="14">
        <f>+'Purch Gas'!I166</f>
        <v>2.3199999999999998</v>
      </c>
      <c r="E212" s="14">
        <v>5.8044066435270958</v>
      </c>
      <c r="H212" s="14">
        <v>6.1710207071393191</v>
      </c>
      <c r="J212" s="14">
        <v>5.0144753803538009</v>
      </c>
    </row>
    <row r="213" spans="1:10" x14ac:dyDescent="0.25">
      <c r="A213" s="18" t="s">
        <v>183</v>
      </c>
      <c r="D213" s="14">
        <f>+'Purch Gas'!I167</f>
        <v>2.95</v>
      </c>
      <c r="E213" s="14">
        <v>5.5896754173687002</v>
      </c>
      <c r="H213" s="14">
        <v>5.8715131110118319</v>
      </c>
      <c r="J213" s="14">
        <v>4.9875787722835883</v>
      </c>
    </row>
    <row r="214" spans="1:10" x14ac:dyDescent="0.25">
      <c r="A214" s="18" t="s">
        <v>184</v>
      </c>
      <c r="D214" s="14">
        <f>+'Purch Gas'!I168</f>
        <v>3.98</v>
      </c>
      <c r="E214" s="14">
        <v>5.5166157036655328</v>
      </c>
      <c r="H214" s="14">
        <v>5.8015742686670517</v>
      </c>
      <c r="J214" s="14">
        <v>4.9102280140461243</v>
      </c>
    </row>
    <row r="215" spans="1:10" x14ac:dyDescent="0.25">
      <c r="A215" s="18" t="s">
        <v>185</v>
      </c>
      <c r="D215" s="14">
        <f>+'Purch Gas'!I169</f>
        <v>3.26</v>
      </c>
      <c r="E215" s="14">
        <v>5.5037335052850818</v>
      </c>
      <c r="H215" s="14">
        <v>5.7844019158212054</v>
      </c>
      <c r="J215" s="14">
        <v>4.9040877206812965</v>
      </c>
    </row>
    <row r="216" spans="1:10" x14ac:dyDescent="0.25">
      <c r="A216" s="18" t="s">
        <v>186</v>
      </c>
      <c r="D216" s="14">
        <f>+'Purch Gas'!I170</f>
        <v>2.6</v>
      </c>
      <c r="E216" s="14">
        <v>5.4626917491960301</v>
      </c>
      <c r="H216" s="14">
        <v>5.7246023890798048</v>
      </c>
      <c r="J216" s="14">
        <v>4.8968588650686451</v>
      </c>
    </row>
    <row r="217" spans="1:10" x14ac:dyDescent="0.25">
      <c r="A217" s="18" t="s">
        <v>187</v>
      </c>
      <c r="D217" s="14">
        <f>+'Purch Gas'!I171</f>
        <v>5.09</v>
      </c>
      <c r="E217" s="14">
        <v>5.3841805175228927</v>
      </c>
      <c r="H217" s="14">
        <v>5.6169251751972107</v>
      </c>
      <c r="J217" s="14">
        <v>4.8760834628145187</v>
      </c>
    </row>
    <row r="218" spans="1:10" x14ac:dyDescent="0.25">
      <c r="A218" s="18" t="s">
        <v>188</v>
      </c>
      <c r="D218" s="14">
        <f>+'Purch Gas'!I172</f>
        <v>5.9</v>
      </c>
      <c r="E218" s="14">
        <v>4.9495814819623911</v>
      </c>
      <c r="H218" s="14">
        <v>5.0319823537453363</v>
      </c>
      <c r="J218" s="14">
        <v>4.7684999795237699</v>
      </c>
    </row>
    <row r="219" spans="1:10" x14ac:dyDescent="0.25">
      <c r="A219" s="18" t="s">
        <v>189</v>
      </c>
      <c r="D219" s="14">
        <f>+'Purch Gas'!I173</f>
        <v>3.56</v>
      </c>
      <c r="E219" s="14">
        <v>4.7035500913369255</v>
      </c>
      <c r="H219" s="14">
        <v>4.9562427444397583</v>
      </c>
      <c r="J219" s="14">
        <v>4.1426700108758503</v>
      </c>
    </row>
    <row r="220" spans="1:10" x14ac:dyDescent="0.25">
      <c r="A220" s="18" t="s">
        <v>191</v>
      </c>
      <c r="D220" s="14">
        <f>+'Purch Gas'!I174</f>
        <v>4.88</v>
      </c>
      <c r="E220" s="14">
        <v>4.3293224061618671</v>
      </c>
      <c r="H220" s="14">
        <v>4.5173889618692193</v>
      </c>
      <c r="J220" s="14">
        <v>3.9140308754605444</v>
      </c>
    </row>
    <row r="221" spans="1:10" x14ac:dyDescent="0.25">
      <c r="A221" s="18" t="s">
        <v>192</v>
      </c>
      <c r="D221" s="14">
        <f>+'Purch Gas'!I175</f>
        <v>1.64</v>
      </c>
      <c r="E221" s="14">
        <v>3.8572315733206697</v>
      </c>
      <c r="H221" s="14">
        <v>3.9815436324069324</v>
      </c>
      <c r="J221" s="14">
        <v>3.5819927810632697</v>
      </c>
    </row>
    <row r="222" spans="1:10" x14ac:dyDescent="0.25">
      <c r="A222" s="18" t="s">
        <v>193</v>
      </c>
      <c r="D222" s="14">
        <f>+'Purch Gas'!I176</f>
        <v>1.44</v>
      </c>
      <c r="E222" s="14">
        <v>3.8088935454306929</v>
      </c>
      <c r="H222" s="14">
        <v>3.9840876661808111</v>
      </c>
      <c r="J222" s="14">
        <v>3.424110080867099</v>
      </c>
    </row>
    <row r="223" spans="1:10" x14ac:dyDescent="0.25">
      <c r="A223" s="18" t="s">
        <v>194</v>
      </c>
      <c r="D223" s="14">
        <f>+'Purch Gas'!I177</f>
        <v>1.29</v>
      </c>
      <c r="E223" s="14">
        <v>3.8564798467699215</v>
      </c>
      <c r="H223" s="14">
        <v>4.0131603681613859</v>
      </c>
      <c r="J223" s="14">
        <v>3.5139788643955208</v>
      </c>
    </row>
    <row r="224" spans="1:10" x14ac:dyDescent="0.25">
      <c r="A224" s="18" t="s">
        <v>195</v>
      </c>
      <c r="D224" s="14">
        <f>+'Purch Gas'!I178</f>
        <v>1.47</v>
      </c>
      <c r="E224" s="14">
        <v>3.8387576473599809</v>
      </c>
      <c r="H224" s="14">
        <v>3.9890933885472943</v>
      </c>
      <c r="J224" s="14">
        <v>3.5125269648123725</v>
      </c>
    </row>
    <row r="225" spans="1:10" x14ac:dyDescent="0.25">
      <c r="A225" s="18" t="s">
        <v>196</v>
      </c>
      <c r="D225" s="14">
        <f>+'Purch Gas'!I179</f>
        <v>2.4</v>
      </c>
      <c r="E225" s="14">
        <v>3.9066113789199504</v>
      </c>
      <c r="H225" s="14">
        <v>4.0951929337608339</v>
      </c>
      <c r="J225" s="14">
        <v>3.5082245014436024</v>
      </c>
    </row>
    <row r="226" spans="1:10" x14ac:dyDescent="0.25">
      <c r="A226" s="18" t="s">
        <v>197</v>
      </c>
      <c r="D226" s="14">
        <f>+'Purch Gas'!I180</f>
        <v>1.93</v>
      </c>
      <c r="E226" s="14">
        <v>3.8616092853135018</v>
      </c>
      <c r="H226" s="14">
        <v>4.0341347638762013</v>
      </c>
      <c r="J226" s="14">
        <v>3.5021382310145581</v>
      </c>
    </row>
    <row r="227" spans="1:10" x14ac:dyDescent="0.25">
      <c r="A227" s="18" t="s">
        <v>198</v>
      </c>
      <c r="D227" s="14">
        <f>+'Purch Gas'!I181</f>
        <v>1.42</v>
      </c>
      <c r="E227" s="14">
        <v>3.7985289742343564</v>
      </c>
      <c r="H227" s="14">
        <v>3.9727177650987344</v>
      </c>
      <c r="J227" s="14">
        <v>3.4373735919465429</v>
      </c>
    </row>
    <row r="228" spans="1:10" x14ac:dyDescent="0.25">
      <c r="A228" s="18" t="s">
        <v>199</v>
      </c>
      <c r="D228" s="14">
        <f>+'Purch Gas'!I182</f>
        <v>2.15</v>
      </c>
      <c r="E228" s="14">
        <v>3.8087428284828362</v>
      </c>
      <c r="H228" s="14">
        <v>3.9583852176688423</v>
      </c>
      <c r="J228" s="14">
        <v>3.5023766281897473</v>
      </c>
    </row>
    <row r="229" spans="1:10" x14ac:dyDescent="0.25">
      <c r="A229" s="18" t="s">
        <v>200</v>
      </c>
      <c r="D229" s="14">
        <f>+'Purch Gas'!I183</f>
        <v>3.18</v>
      </c>
      <c r="E229" s="14">
        <v>3.7989162050504293</v>
      </c>
      <c r="H229" s="14">
        <v>3.9554778679073181</v>
      </c>
      <c r="J229" s="14">
        <v>3.4870620815546718</v>
      </c>
    </row>
    <row r="230" spans="1:10" x14ac:dyDescent="0.25">
      <c r="A230" s="18" t="s">
        <v>201</v>
      </c>
      <c r="D230" s="14">
        <f>+'Purch Gas'!I184</f>
        <v>3.95</v>
      </c>
      <c r="E230" s="14">
        <v>3.8368206826165934</v>
      </c>
      <c r="H230" s="14">
        <v>4.027576444147754</v>
      </c>
      <c r="J230" s="14">
        <v>3.4643187128171093</v>
      </c>
    </row>
    <row r="231" spans="1:10" x14ac:dyDescent="0.25">
      <c r="A231" s="18" t="s">
        <v>202</v>
      </c>
      <c r="D231" s="14">
        <f>+'Purch Gas'!I185</f>
        <v>4.42</v>
      </c>
      <c r="E231" s="14">
        <v>3.8664090513980507</v>
      </c>
      <c r="H231" s="14">
        <v>4.0458558446530724</v>
      </c>
      <c r="J231" s="14">
        <v>3.5238240234268927</v>
      </c>
    </row>
    <row r="232" spans="1:10" x14ac:dyDescent="0.25">
      <c r="A232" s="18" t="s">
        <v>203</v>
      </c>
      <c r="D232" s="14">
        <f>+'Purch Gas'!I186</f>
        <v>3.85</v>
      </c>
      <c r="E232" s="14">
        <v>3.8877341624443331</v>
      </c>
      <c r="H232" s="14">
        <v>4.0681380552997419</v>
      </c>
      <c r="J232" s="14">
        <v>3.5468661474307273</v>
      </c>
    </row>
    <row r="233" spans="1:10" x14ac:dyDescent="0.25">
      <c r="A233" s="18" t="s">
        <v>204</v>
      </c>
      <c r="D233" s="14">
        <f>+'Purch Gas'!I187</f>
        <v>3.36</v>
      </c>
      <c r="E233" s="14">
        <v>4.0007054159134334</v>
      </c>
      <c r="H233" s="14">
        <v>4.1454849980667374</v>
      </c>
      <c r="J233" s="14">
        <v>3.7328834558969124</v>
      </c>
    </row>
    <row r="234" spans="1:10" x14ac:dyDescent="0.25">
      <c r="A234" s="18" t="s">
        <v>205</v>
      </c>
      <c r="D234" s="14">
        <f>+'Purch Gas'!I188</f>
        <v>2.21</v>
      </c>
      <c r="E234" s="14">
        <v>4.0540427045661049</v>
      </c>
      <c r="H234" s="14">
        <v>4.2074100120107722</v>
      </c>
      <c r="J234" s="14">
        <v>3.7732741670911243</v>
      </c>
    </row>
    <row r="235" spans="1:10" x14ac:dyDescent="0.25">
      <c r="A235" s="18" t="s">
        <v>206</v>
      </c>
      <c r="D235" s="14">
        <f>+'Purch Gas'!I189</f>
        <v>1.8</v>
      </c>
      <c r="E235" s="14">
        <v>4.107899717493896</v>
      </c>
      <c r="H235" s="14">
        <v>4.2824028041891671</v>
      </c>
      <c r="J235" s="14">
        <v>3.7920567158888239</v>
      </c>
    </row>
    <row r="236" spans="1:10" x14ac:dyDescent="0.25">
      <c r="A236" s="18" t="s">
        <v>213</v>
      </c>
      <c r="D236" s="14">
        <f>+'Purch Gas'!I190</f>
        <v>2.52</v>
      </c>
      <c r="E236" s="14">
        <v>4.2206719169006783</v>
      </c>
      <c r="H236" s="14">
        <v>4.4309978676465773</v>
      </c>
      <c r="J236" s="14">
        <v>3.8438587064154812</v>
      </c>
    </row>
    <row r="237" spans="1:10" x14ac:dyDescent="0.25">
      <c r="A237" s="18" t="s">
        <v>214</v>
      </c>
      <c r="D237" s="14">
        <f>+'Purch Gas'!I191</f>
        <v>2.71</v>
      </c>
      <c r="E237" s="14">
        <v>4.1742880685134063</v>
      </c>
      <c r="H237" s="14">
        <v>4.3357164763442677</v>
      </c>
      <c r="J237" s="14">
        <v>3.8787033555956203</v>
      </c>
    </row>
    <row r="238" spans="1:10" x14ac:dyDescent="0.25">
      <c r="A238" s="18" t="s">
        <v>215</v>
      </c>
      <c r="D238" s="14">
        <f>+'Purch Gas'!I192</f>
        <v>2.66</v>
      </c>
      <c r="E238" s="14">
        <v>4.2532651366622662</v>
      </c>
      <c r="H238" s="14">
        <v>4.4580940218592593</v>
      </c>
      <c r="J238" s="14">
        <v>3.8879054889793228</v>
      </c>
    </row>
    <row r="239" spans="1:10" x14ac:dyDescent="0.25">
      <c r="A239" s="18" t="s">
        <v>217</v>
      </c>
      <c r="D239" s="14">
        <f>+'Purch Gas'!I193</f>
        <v>2.33</v>
      </c>
      <c r="E239" s="14">
        <v>4.3986722215681491</v>
      </c>
      <c r="H239" s="14">
        <v>4.6338795182134689</v>
      </c>
      <c r="J239" s="14">
        <v>3.9919729257652365</v>
      </c>
    </row>
    <row r="240" spans="1:10" x14ac:dyDescent="0.25">
      <c r="A240" s="18" t="s">
        <v>218</v>
      </c>
      <c r="D240" s="14">
        <f>+'Purch Gas'!I194</f>
        <v>2.4900000000000002</v>
      </c>
      <c r="E240" s="14">
        <v>4.3847744913248459</v>
      </c>
      <c r="H240" s="14">
        <v>4.6763591076739415</v>
      </c>
      <c r="J240" s="14">
        <v>3.8935322890778497</v>
      </c>
    </row>
    <row r="241" spans="1:10" x14ac:dyDescent="0.25">
      <c r="A241" s="18" t="s">
        <v>216</v>
      </c>
      <c r="D241" s="14">
        <f>+'Purch Gas'!I195</f>
        <v>2.9</v>
      </c>
      <c r="E241" s="14">
        <v>4.37188889030526</v>
      </c>
      <c r="H241" s="14">
        <v>4.6378030359970399</v>
      </c>
      <c r="J241" s="14">
        <v>3.9189286271809674</v>
      </c>
    </row>
  </sheetData>
  <phoneticPr fontId="10" type="noConversion"/>
  <pageMargins left="0" right="0" top="0.75" bottom="0.25" header="0.3" footer="0.3"/>
  <pageSetup scale="50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0:AM55"/>
  <sheetViews>
    <sheetView topLeftCell="A22" zoomScale="70" zoomScaleNormal="70" workbookViewId="0">
      <selection activeCell="AL49" sqref="AL49"/>
    </sheetView>
  </sheetViews>
  <sheetFormatPr defaultRowHeight="15" x14ac:dyDescent="0.25"/>
  <cols>
    <col min="1" max="32" width="6.42578125" customWidth="1"/>
    <col min="33" max="33" width="5.5703125" customWidth="1"/>
    <col min="36" max="36" width="9.5703125" customWidth="1"/>
    <col min="39" max="39" width="10.5703125" bestFit="1" customWidth="1"/>
  </cols>
  <sheetData>
    <row r="30" spans="39:39" x14ac:dyDescent="0.25">
      <c r="AM30" s="13"/>
    </row>
    <row r="31" spans="39:39" x14ac:dyDescent="0.25">
      <c r="AM31" s="13"/>
    </row>
    <row r="40" ht="132" customHeight="1" x14ac:dyDescent="0.25"/>
    <row r="52" spans="2:36" ht="22.5" customHeight="1" x14ac:dyDescent="0.25"/>
    <row r="53" spans="2:36" x14ac:dyDescent="0.25">
      <c r="B53" t="s">
        <v>88</v>
      </c>
    </row>
    <row r="54" spans="2:36" x14ac:dyDescent="0.25">
      <c r="B54" s="45" t="s">
        <v>209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</row>
    <row r="55" spans="2:36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</row>
  </sheetData>
  <mergeCells count="1">
    <mergeCell ref="B54:AJ55"/>
  </mergeCells>
  <pageMargins left="0" right="0" top="0.75" bottom="0.75" header="0.3" footer="0.3"/>
  <pageSetup scale="5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M30:AM53"/>
  <sheetViews>
    <sheetView zoomScale="70" zoomScaleNormal="70" workbookViewId="0">
      <selection activeCell="AN20" sqref="AN20"/>
    </sheetView>
  </sheetViews>
  <sheetFormatPr defaultRowHeight="15" x14ac:dyDescent="0.25"/>
  <cols>
    <col min="1" max="32" width="6.42578125" customWidth="1"/>
    <col min="33" max="33" width="5.5703125" customWidth="1"/>
    <col min="36" max="36" width="9.5703125" customWidth="1"/>
    <col min="39" max="39" width="10.5703125" bestFit="1" customWidth="1"/>
  </cols>
  <sheetData>
    <row r="30" spans="39:39" x14ac:dyDescent="0.25">
      <c r="AM30" s="13"/>
    </row>
    <row r="31" spans="39:39" x14ac:dyDescent="0.25">
      <c r="AM31" s="13"/>
    </row>
    <row r="40" ht="132" customHeight="1" x14ac:dyDescent="0.25"/>
    <row r="53" ht="26.25" customHeight="1" x14ac:dyDescent="0.25"/>
  </sheetData>
  <pageMargins left="0" right="0" top="0.75" bottom="0.75" header="0.3" footer="0.3"/>
  <pageSetup scale="5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topLeftCell="A4" zoomScale="70" zoomScaleNormal="70" workbookViewId="0">
      <selection activeCell="V4" sqref="V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 Prod</vt:lpstr>
      <vt:lpstr>Purch Gas</vt:lpstr>
      <vt:lpstr>Summary</vt:lpstr>
      <vt:lpstr>Ex 10.1 pg1</vt:lpstr>
      <vt:lpstr>Ex 10.1 pg2</vt:lpstr>
      <vt:lpstr>Sheet1</vt:lpstr>
      <vt:lpstr>'Co Prod'!Print_Area</vt:lpstr>
      <vt:lpstr>'Ex 10.1 pg1'!Print_Area</vt:lpstr>
      <vt:lpstr>'Ex 10.1 pg2'!Print_Area</vt:lpstr>
      <vt:lpstr>'Purch Gas'!Print_Area</vt:lpstr>
      <vt:lpstr>'Co Prod'!Print_Titles</vt:lpstr>
    </vt:vector>
  </TitlesOfParts>
  <Company>QUESTAR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Summers</dc:creator>
  <cp:lastModifiedBy>Fred Nass</cp:lastModifiedBy>
  <cp:lastPrinted>2019-08-19T21:14:38Z</cp:lastPrinted>
  <dcterms:created xsi:type="dcterms:W3CDTF">2014-02-11T20:59:32Z</dcterms:created>
  <dcterms:modified xsi:type="dcterms:W3CDTF">2026-02-27T16:31:29Z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2026-02-16T15:44:05Z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fdd4a0f7-e4ef-4e9a-be99-bce872ff7df1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_AdHocReviewCycleID">
    <vt:i4>1786458526</vt:i4>
  </property>
  <property fmtid="{D5CDD505-2E9C-101B-9397-08002B2CF9AE}" pid="11" name="_NewReviewCycle">
    <vt:lpwstr/>
  </property>
  <property fmtid="{D5CDD505-2E9C-101B-9397-08002B2CF9AE}" pid="12" name="_EmailSubject">
    <vt:lpwstr>Docket No. 25-057-02 - Enbridge Gas Utah's Second Quarter Variance Report </vt:lpwstr>
  </property>
  <property fmtid="{D5CDD505-2E9C-101B-9397-08002B2CF9AE}" pid="13" name="_AuthorEmail">
    <vt:lpwstr>ginger.johnson@enbridge.com</vt:lpwstr>
  </property>
  <property fmtid="{D5CDD505-2E9C-101B-9397-08002B2CF9AE}" pid="14" name="_AuthorEmailDisplayName">
    <vt:lpwstr>Ginger Johnson</vt:lpwstr>
  </property>
  <property fmtid="{D5CDD505-2E9C-101B-9397-08002B2CF9AE}" pid="15" name="_ReviewingToolsShownOnce">
    <vt:lpwstr/>
  </property>
</Properties>
</file>