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K:\State\Filings General\2025 Rate Case Utah\Testimony\Direct\ACS\"/>
    </mc:Choice>
  </mc:AlternateContent>
  <xr:revisionPtr revIDLastSave="0" documentId="13_ncr:1_{7DB7DD94-73FE-4F37-BCE3-4C943AA690EA}" xr6:coauthVersionLast="47" xr6:coauthVersionMax="47" xr10:uidLastSave="{00000000-0000-0000-0000-000000000000}"/>
  <bookViews>
    <workbookView xWindow="-108" yWindow="-108" windowWidth="23256" windowHeight="12576" activeTab="1" xr2:uid="{E7DD44B6-2D08-464B-8048-45A574F013A0}"/>
  </bookViews>
  <sheets>
    <sheet name="EGU 5.08p1" sheetId="1" r:id="rId1"/>
    <sheet name="EGU 5.08p2" sheetId="2" r:id="rId2"/>
  </sheets>
  <definedNames>
    <definedName name="\P">#REF!</definedName>
    <definedName name="_xlnm.Database">#REF!</definedName>
    <definedName name="DataBase1">#REF!</definedName>
    <definedName name="DataBase2">#REF!</definedName>
    <definedName name="DataBase3">#REF!</definedName>
    <definedName name="Main">#REF!</definedName>
    <definedName name="MeterAndReg">#REF!</definedName>
    <definedName name="mtrpercent">#REF!</definedName>
    <definedName name="nominal">#REF!</definedName>
    <definedName name="PAGE1">#REF!</definedName>
    <definedName name="PAGE2">#REF!</definedName>
    <definedName name="_xlnm.Print_Area" localSheetId="0">'EGU 5.08p1'!$A$1:$H$50</definedName>
    <definedName name="_xlnm.Print_Area" localSheetId="1">'EGU 5.08p2'!$A$1:$I$78</definedName>
    <definedName name="_xlnm.Print_Area">#REF!</definedName>
    <definedName name="PRINT_AREA_MI">#REF!</definedName>
    <definedName name="Service">#REF!</definedName>
    <definedName name="serviceHP">#REF!</definedName>
    <definedName name="SPIDTABLE">#REF!</definedName>
    <definedName name="spidtable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2" i="2" l="1"/>
  <c r="F35" i="1"/>
  <c r="D60" i="2"/>
  <c r="G67" i="2"/>
  <c r="G68" i="2" s="1"/>
  <c r="F54" i="2"/>
  <c r="B57" i="2" s="1"/>
  <c r="F47" i="2"/>
  <c r="B46" i="2"/>
  <c r="F43" i="2"/>
  <c r="E32" i="2"/>
  <c r="F29" i="2"/>
  <c r="I28" i="2"/>
  <c r="G18" i="2"/>
  <c r="I18" i="2" s="1"/>
  <c r="D18" i="2"/>
  <c r="G17" i="2"/>
  <c r="I17" i="2" s="1"/>
  <c r="D17" i="2"/>
  <c r="F19" i="2"/>
  <c r="E19" i="2"/>
  <c r="B33" i="2" s="1"/>
  <c r="I3" i="2"/>
  <c r="I2" i="2"/>
  <c r="E70" i="2"/>
  <c r="A55" i="1"/>
  <c r="A56" i="1" s="1"/>
  <c r="A57" i="1" s="1"/>
  <c r="A58" i="1" s="1"/>
  <c r="A59" i="1" s="1"/>
  <c r="A60" i="1" s="1"/>
  <c r="E29" i="2"/>
  <c r="A54" i="1"/>
  <c r="A44" i="1"/>
  <c r="C37" i="1"/>
  <c r="H35" i="1"/>
  <c r="G35" i="1"/>
  <c r="E35" i="1"/>
  <c r="A21" i="1"/>
  <c r="A22" i="1" s="1"/>
  <c r="A25" i="1" s="1"/>
  <c r="A26" i="1" s="1"/>
  <c r="A27" i="1" s="1"/>
  <c r="A28" i="1" s="1"/>
  <c r="A32" i="1" s="1"/>
  <c r="A33" i="1" s="1"/>
  <c r="A34" i="1" s="1"/>
  <c r="A35" i="1" s="1"/>
  <c r="A36" i="1" s="1"/>
  <c r="A37" i="1" s="1"/>
  <c r="A38" i="1" s="1"/>
  <c r="A20" i="1"/>
  <c r="F22" i="1"/>
  <c r="E37" i="1"/>
  <c r="H37" i="1" l="1"/>
  <c r="F37" i="1"/>
  <c r="G22" i="1"/>
  <c r="E22" i="1"/>
  <c r="G37" i="1"/>
  <c r="H22" i="1"/>
  <c r="H27" i="1"/>
  <c r="E27" i="1"/>
  <c r="F27" i="1"/>
  <c r="G27" i="1"/>
  <c r="H26" i="1"/>
  <c r="E26" i="1"/>
  <c r="G16" i="2"/>
  <c r="F26" i="1"/>
  <c r="G26" i="1"/>
  <c r="G19" i="2" l="1"/>
  <c r="I19" i="2" s="1"/>
  <c r="I16" i="2"/>
  <c r="G25" i="1" l="1"/>
  <c r="G28" i="1" s="1"/>
  <c r="F25" i="1"/>
  <c r="F28" i="1" s="1"/>
  <c r="H25" i="1"/>
  <c r="H28" i="1" s="1"/>
  <c r="E25" i="1"/>
  <c r="E28" i="1" s="1"/>
  <c r="H36" i="1" l="1"/>
  <c r="H32" i="1"/>
  <c r="H33" i="1"/>
  <c r="F32" i="1"/>
  <c r="F36" i="1"/>
  <c r="F33" i="1"/>
  <c r="E32" i="1"/>
  <c r="E36" i="1"/>
  <c r="E33" i="1"/>
  <c r="G32" i="1"/>
  <c r="G36" i="1"/>
  <c r="G33" i="1"/>
  <c r="E38" i="1" l="1"/>
  <c r="E42" i="1" s="1"/>
  <c r="E44" i="1" s="1"/>
  <c r="G38" i="1"/>
  <c r="G42" i="1" s="1"/>
  <c r="G44" i="1" s="1"/>
  <c r="F38" i="1"/>
  <c r="F42" i="1" s="1"/>
  <c r="F44" i="1" s="1"/>
  <c r="H38" i="1"/>
  <c r="H42" i="1" s="1"/>
  <c r="H44" i="1" s="1"/>
</calcChain>
</file>

<file path=xl/sharedStrings.xml><?xml version="1.0" encoding="utf-8"?>
<sst xmlns="http://schemas.openxmlformats.org/spreadsheetml/2006/main" count="142" uniqueCount="133">
  <si>
    <t>Enbridge Gas Utah</t>
  </si>
  <si>
    <t>Docket No. 25-057-06</t>
  </si>
  <si>
    <t>Page 1 of 2</t>
  </si>
  <si>
    <t>Proposed</t>
  </si>
  <si>
    <t>Utah Basic Service Fee</t>
  </si>
  <si>
    <t>Updated for 2024 Distribution Plant Study</t>
  </si>
  <si>
    <t>(A)</t>
  </si>
  <si>
    <t>(B)</t>
  </si>
  <si>
    <t>(C)</t>
  </si>
  <si>
    <t>(D)</t>
  </si>
  <si>
    <t>(E)</t>
  </si>
  <si>
    <t>(F)</t>
  </si>
  <si>
    <t>METER CATEGORY</t>
  </si>
  <si>
    <t>Gross Average Investment</t>
  </si>
  <si>
    <t>% of Plant</t>
  </si>
  <si>
    <t xml:space="preserve">       IV      </t>
  </si>
  <si>
    <t>Service Lines</t>
  </si>
  <si>
    <t>Mains</t>
  </si>
  <si>
    <t>Meters &amp; Regulators</t>
  </si>
  <si>
    <t xml:space="preserve">     Average Gross Investment</t>
  </si>
  <si>
    <t>Net Average Investment</t>
  </si>
  <si>
    <t xml:space="preserve">     Average Net Investment</t>
  </si>
  <si>
    <t>Basic Service Fee Costs</t>
  </si>
  <si>
    <t>Return on Net Investment</t>
  </si>
  <si>
    <t>Grossed Up Income Tax</t>
  </si>
  <si>
    <t>O&amp;M: Based on Gross Plant</t>
  </si>
  <si>
    <t>Weighted Avg Billing Cost/Meter</t>
  </si>
  <si>
    <t>Property Tax on Net Investment</t>
  </si>
  <si>
    <t xml:space="preserve">     Annual Total Costs</t>
  </si>
  <si>
    <t>0 - 899</t>
  </si>
  <si>
    <t>900 - 6,999</t>
  </si>
  <si>
    <t>7,000 - 23,999</t>
  </si>
  <si>
    <t xml:space="preserve">24,000 +  </t>
  </si>
  <si>
    <t>Monthly Charge</t>
  </si>
  <si>
    <t>Annual Charge</t>
  </si>
  <si>
    <t>Total Meters</t>
  </si>
  <si>
    <t>Current BSF</t>
  </si>
  <si>
    <t>Cost of Capital and Tax Rates</t>
  </si>
  <si>
    <t>Overall Cost of Capital</t>
  </si>
  <si>
    <t>Weighted Equity Cost</t>
  </si>
  <si>
    <t>Income Tax Rate</t>
  </si>
  <si>
    <t>Property Tax Rate</t>
  </si>
  <si>
    <t>O&amp;M per Gross Investment Factor</t>
  </si>
  <si>
    <t>Service Lines Depr.</t>
  </si>
  <si>
    <t>Mains Depr.</t>
  </si>
  <si>
    <t>Meters &amp; Regulators Depr.</t>
  </si>
  <si>
    <t>Page 2 of 2</t>
  </si>
  <si>
    <t xml:space="preserve">Explanation of Utah Basic Service Fee </t>
  </si>
  <si>
    <t>EGU Dec. 2024 plant investment &amp; reserve schedules and Dec. 2025 forecasted O &amp; M:</t>
  </si>
  <si>
    <t>Utah Gross</t>
  </si>
  <si>
    <t>Utah Accum</t>
  </si>
  <si>
    <t>Utah Net</t>
  </si>
  <si>
    <t>% Net Inv.</t>
  </si>
  <si>
    <t>2024 Utah Investment</t>
  </si>
  <si>
    <t>Investment</t>
  </si>
  <si>
    <t>Depreciation</t>
  </si>
  <si>
    <t>of Gross</t>
  </si>
  <si>
    <t>Service Lines (Acct. 380)</t>
  </si>
  <si>
    <t>Plant Inv. &amp; Res.</t>
  </si>
  <si>
    <t>Mains (Acct. 376)</t>
  </si>
  <si>
    <t>Meters &amp; Regulators (Accts. 381, 383)</t>
  </si>
  <si>
    <t xml:space="preserve">     Total</t>
  </si>
  <si>
    <t>Lines 1-4</t>
  </si>
  <si>
    <t>Average gross investment for each meter category (extracted from Distribution_Plant_Factor.xls) times percent in Col. B.</t>
  </si>
  <si>
    <t>Which represents the percent of the plant included in the study.</t>
  </si>
  <si>
    <t>Lines 5-8</t>
  </si>
  <si>
    <t>Lines 1  through 4 (Avg. gross investment), times the corresponding  % Net investment of Gross from table above.</t>
  </si>
  <si>
    <t>Line 9</t>
  </si>
  <si>
    <t>Line 8 times filed Overall cost of capital of:</t>
  </si>
  <si>
    <t xml:space="preserve"> QGC filed capital structure.</t>
  </si>
  <si>
    <t>Line 10</t>
  </si>
  <si>
    <t>Income tax associated with taxable return is computed as: T x ((R/1-T) x I ), where T=income tax rate is:</t>
  </si>
  <si>
    <t xml:space="preserve"> R = taxable return of:</t>
  </si>
  <si>
    <t>and I = total average net investment from line 8.</t>
  </si>
  <si>
    <t>Line 11</t>
  </si>
  <si>
    <t>Line 4 times O&amp;M per Gross Investment Factor</t>
  </si>
  <si>
    <t xml:space="preserve"> calculated as follows:</t>
  </si>
  <si>
    <t xml:space="preserve"> Dec 2025</t>
  </si>
  <si>
    <t>Account</t>
  </si>
  <si>
    <t>Description</t>
  </si>
  <si>
    <t xml:space="preserve">   Utah fcst.</t>
  </si>
  <si>
    <t xml:space="preserve">874  </t>
  </si>
  <si>
    <t>Mains &amp; Services Expenses</t>
  </si>
  <si>
    <t xml:space="preserve">878  </t>
  </si>
  <si>
    <t>Meter &amp; Regulator Expenses</t>
  </si>
  <si>
    <t xml:space="preserve">879  </t>
  </si>
  <si>
    <t>Customer Installations Expenses</t>
  </si>
  <si>
    <t xml:space="preserve">887  </t>
  </si>
  <si>
    <t>Maintenance of Mains</t>
  </si>
  <si>
    <t xml:space="preserve">892  </t>
  </si>
  <si>
    <t>Maintenance of Services</t>
  </si>
  <si>
    <t xml:space="preserve">893  </t>
  </si>
  <si>
    <t>Maintenance of Meters &amp; House Regulators</t>
  </si>
  <si>
    <t xml:space="preserve">     Total System Related O&amp;M</t>
  </si>
  <si>
    <t>Line 12</t>
  </si>
  <si>
    <t xml:space="preserve">  Description  </t>
  </si>
  <si>
    <t xml:space="preserve">    Utah fcst.</t>
  </si>
  <si>
    <t xml:space="preserve">901  </t>
  </si>
  <si>
    <t>Supervision</t>
  </si>
  <si>
    <t xml:space="preserve">902  </t>
  </si>
  <si>
    <t>Meter Reading Exp</t>
  </si>
  <si>
    <t>903-1</t>
  </si>
  <si>
    <t>Cust Records &amp; Collection Exp</t>
  </si>
  <si>
    <t>903-2</t>
  </si>
  <si>
    <t>Collection Expense</t>
  </si>
  <si>
    <t>903-3</t>
  </si>
  <si>
    <t>Interest Exp - Customer Security Deposits</t>
  </si>
  <si>
    <t xml:space="preserve">     Total Billing Expenses</t>
  </si>
  <si>
    <t>Cost per Telemetry/flow meter:   Twelve times dial meter cost. (next line down)</t>
  </si>
  <si>
    <t xml:space="preserve">of: </t>
  </si>
  <si>
    <t>Dial meters</t>
  </si>
  <si>
    <t xml:space="preserve">+  </t>
  </si>
  <si>
    <t>Flow meters * 12</t>
  </si>
  <si>
    <t xml:space="preserve">=  </t>
  </si>
  <si>
    <t>Total meters</t>
  </si>
  <si>
    <t>Percent of dial meters by category.</t>
  </si>
  <si>
    <t>Percent of telemetry/flow meters by category.</t>
  </si>
  <si>
    <t>Weighted average billing cost by meter category.</t>
  </si>
  <si>
    <t>From line 12 explanation (above), difference between telemetry and dial meter costs.</t>
  </si>
  <si>
    <t>Converted to a monthly basis by dividing by 12.  Then rounding to nearest $.</t>
  </si>
  <si>
    <t>Line 13</t>
  </si>
  <si>
    <t>Line 8 times property tax rate of:</t>
  </si>
  <si>
    <t>Line 14</t>
  </si>
  <si>
    <t>Line 17</t>
  </si>
  <si>
    <t>Line 15 divided by 12 months, rounded to $0.50 for type I &amp; II and $1.00 for type III &amp; IV.</t>
  </si>
  <si>
    <t>Line 18</t>
  </si>
  <si>
    <t>Line 17 times 12 months.</t>
  </si>
  <si>
    <t>EGU Exhibit 5.08</t>
  </si>
  <si>
    <t xml:space="preserve">        I       </t>
  </si>
  <si>
    <t xml:space="preserve">       II        </t>
  </si>
  <si>
    <t xml:space="preserve">       III       </t>
  </si>
  <si>
    <t>IV</t>
  </si>
  <si>
    <t>Capacity in CFH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</si>
</sst>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7" formatCode="&quot;$&quot;#,##0.00_);\(&quot;$&quot;#,##0.00\)"/>
    <numFmt numFmtId="164" formatCode="0_)"/>
    <numFmt numFmtId="165" formatCode="0.000000_)"/>
    <numFmt numFmtId="166" formatCode="0.0000%"/>
    <numFmt numFmtId="167" formatCode="0.00000"/>
    <numFmt numFmtId="168" formatCode="0.000000"/>
  </numFmts>
  <fonts count="18" x14ac:knownFonts="1">
    <font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b/>
      <sz val="18"/>
      <color indexed="8"/>
      <name val="Arial"/>
      <family val="2"/>
    </font>
    <font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0"/>
      <color theme="1"/>
      <name val="Arial"/>
      <family val="2"/>
    </font>
    <font>
      <u/>
      <sz val="10"/>
      <color indexed="8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name val="Arial"/>
      <family val="2"/>
    </font>
    <font>
      <b/>
      <u val="double"/>
      <sz val="10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sz val="12"/>
      <name val="Arial"/>
      <family val="2"/>
    </font>
    <font>
      <u/>
      <sz val="12"/>
      <color indexed="8"/>
      <name val="Arial"/>
      <family val="2"/>
    </font>
    <font>
      <b/>
      <u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9" fontId="1" fillId="0" borderId="0" applyFont="0" applyFill="0" applyBorder="0" applyAlignment="0" applyProtection="0"/>
  </cellStyleXfs>
  <cellXfs count="91">
    <xf numFmtId="164" fontId="0" fillId="0" borderId="0" xfId="0"/>
    <xf numFmtId="164" fontId="2" fillId="0" borderId="0" xfId="0" applyFont="1"/>
    <xf numFmtId="164" fontId="2" fillId="0" borderId="0" xfId="0" applyFont="1" applyAlignment="1">
      <alignment horizontal="right"/>
    </xf>
    <xf numFmtId="164" fontId="3" fillId="0" borderId="0" xfId="0" applyFont="1"/>
    <xf numFmtId="164" fontId="4" fillId="0" borderId="0" xfId="0" applyFont="1" applyAlignment="1">
      <alignment horizontal="centerContinuous"/>
    </xf>
    <xf numFmtId="164" fontId="2" fillId="0" borderId="0" xfId="0" applyFont="1" applyAlignment="1">
      <alignment horizontal="centerContinuous"/>
    </xf>
    <xf numFmtId="164" fontId="5" fillId="0" borderId="0" xfId="0" applyFont="1"/>
    <xf numFmtId="164" fontId="5" fillId="0" borderId="0" xfId="0" applyFont="1" applyAlignment="1">
      <alignment horizontal="center"/>
    </xf>
    <xf numFmtId="10" fontId="5" fillId="0" borderId="0" xfId="0" applyNumberFormat="1" applyFont="1"/>
    <xf numFmtId="164" fontId="2" fillId="0" borderId="0" xfId="0" applyFont="1" applyAlignment="1">
      <alignment horizontal="center"/>
    </xf>
    <xf numFmtId="164" fontId="2" fillId="0" borderId="0" xfId="0" quotePrefix="1" applyFont="1" applyAlignment="1">
      <alignment horizontal="center"/>
    </xf>
    <xf numFmtId="39" fontId="3" fillId="0" borderId="0" xfId="0" applyNumberFormat="1" applyFont="1"/>
    <xf numFmtId="164" fontId="6" fillId="0" borderId="0" xfId="0" applyFont="1"/>
    <xf numFmtId="164" fontId="6" fillId="0" borderId="0" xfId="0" applyFont="1" applyAlignment="1">
      <alignment horizontal="center"/>
    </xf>
    <xf numFmtId="164" fontId="6" fillId="0" borderId="0" xfId="0" applyFont="1" applyAlignment="1">
      <alignment horizontal="right"/>
    </xf>
    <xf numFmtId="10" fontId="5" fillId="0" borderId="0" xfId="0" applyNumberFormat="1" applyFont="1" applyAlignment="1">
      <alignment horizontal="center"/>
    </xf>
    <xf numFmtId="7" fontId="5" fillId="0" borderId="0" xfId="0" applyNumberFormat="1" applyFont="1"/>
    <xf numFmtId="39" fontId="5" fillId="0" borderId="0" xfId="0" applyNumberFormat="1" applyFont="1"/>
    <xf numFmtId="39" fontId="7" fillId="0" borderId="0" xfId="0" applyNumberFormat="1" applyFont="1"/>
    <xf numFmtId="39" fontId="8" fillId="0" borderId="0" xfId="0" applyNumberFormat="1" applyFont="1"/>
    <xf numFmtId="39" fontId="9" fillId="0" borderId="0" xfId="0" applyNumberFormat="1" applyFont="1"/>
    <xf numFmtId="7" fontId="7" fillId="0" borderId="0" xfId="0" applyNumberFormat="1" applyFont="1"/>
    <xf numFmtId="164" fontId="10" fillId="0" borderId="0" xfId="0" applyFont="1" applyAlignment="1">
      <alignment horizontal="right"/>
    </xf>
    <xf numFmtId="165" fontId="5" fillId="0" borderId="0" xfId="0" applyNumberFormat="1" applyFont="1"/>
    <xf numFmtId="164" fontId="5" fillId="0" borderId="0" xfId="0" quotePrefix="1" applyFont="1"/>
    <xf numFmtId="164" fontId="11" fillId="0" borderId="0" xfId="0" quotePrefix="1" applyFont="1" applyAlignment="1">
      <alignment horizontal="right"/>
    </xf>
    <xf numFmtId="7" fontId="12" fillId="0" borderId="0" xfId="0" applyNumberFormat="1" applyFont="1"/>
    <xf numFmtId="5" fontId="12" fillId="0" borderId="0" xfId="0" applyNumberFormat="1" applyFont="1"/>
    <xf numFmtId="5" fontId="2" fillId="0" borderId="0" xfId="0" applyNumberFormat="1" applyFont="1"/>
    <xf numFmtId="5" fontId="5" fillId="0" borderId="0" xfId="0" applyNumberFormat="1" applyFont="1"/>
    <xf numFmtId="3" fontId="2" fillId="0" borderId="0" xfId="0" applyNumberFormat="1" applyFont="1"/>
    <xf numFmtId="9" fontId="0" fillId="0" borderId="0" xfId="1" applyFont="1"/>
    <xf numFmtId="164" fontId="5" fillId="0" borderId="0" xfId="0" applyFont="1" applyAlignment="1">
      <alignment horizontal="left"/>
    </xf>
    <xf numFmtId="166" fontId="5" fillId="0" borderId="0" xfId="0" applyNumberFormat="1" applyFont="1"/>
    <xf numFmtId="10" fontId="0" fillId="0" borderId="0" xfId="1" applyNumberFormat="1" applyFont="1"/>
    <xf numFmtId="164" fontId="5" fillId="0" borderId="0" xfId="0" applyFont="1" applyAlignment="1">
      <alignment horizontal="right"/>
    </xf>
    <xf numFmtId="164" fontId="16" fillId="0" borderId="0" xfId="0" applyFont="1" applyFill="1" applyAlignment="1">
      <alignment horizontal="center"/>
    </xf>
    <xf numFmtId="166" fontId="3" fillId="0" borderId="0" xfId="0" applyNumberFormat="1" applyFont="1" applyFill="1"/>
    <xf numFmtId="164" fontId="3" fillId="0" borderId="0" xfId="0" applyFont="1" applyFill="1"/>
    <xf numFmtId="7" fontId="3" fillId="0" borderId="0" xfId="0" applyNumberFormat="1" applyFont="1" applyFill="1"/>
    <xf numFmtId="164" fontId="0" fillId="0" borderId="0" xfId="0" applyFill="1"/>
    <xf numFmtId="164" fontId="2" fillId="0" borderId="0" xfId="0" applyFont="1" applyFill="1"/>
    <xf numFmtId="164" fontId="3" fillId="0" borderId="0" xfId="0" applyFont="1" applyFill="1" applyAlignment="1">
      <alignment horizontal="right"/>
    </xf>
    <xf numFmtId="164" fontId="13" fillId="0" borderId="0" xfId="0" applyFont="1" applyFill="1" applyAlignment="1">
      <alignment horizontal="right"/>
    </xf>
    <xf numFmtId="164" fontId="4" fillId="0" borderId="0" xfId="0" applyFont="1" applyFill="1" applyAlignment="1">
      <alignment horizontal="centerContinuous"/>
    </xf>
    <xf numFmtId="164" fontId="0" fillId="0" borderId="0" xfId="0" applyFill="1" applyAlignment="1">
      <alignment horizontal="centerContinuous"/>
    </xf>
    <xf numFmtId="164" fontId="2" fillId="0" borderId="0" xfId="0" applyFont="1" applyFill="1" applyAlignment="1">
      <alignment horizontal="centerContinuous"/>
    </xf>
    <xf numFmtId="164" fontId="5" fillId="0" borderId="0" xfId="0" applyFont="1" applyFill="1"/>
    <xf numFmtId="164" fontId="3" fillId="0" borderId="0" xfId="0" applyFont="1" applyFill="1" applyAlignment="1">
      <alignment horizontal="left"/>
    </xf>
    <xf numFmtId="164" fontId="5" fillId="0" borderId="0" xfId="0" applyFont="1" applyFill="1" applyAlignment="1">
      <alignment horizontal="centerContinuous"/>
    </xf>
    <xf numFmtId="164" fontId="1" fillId="0" borderId="0" xfId="0" applyFont="1" applyFill="1"/>
    <xf numFmtId="164" fontId="5" fillId="0" borderId="0" xfId="0" applyFont="1" applyFill="1" applyAlignment="1">
      <alignment horizontal="right"/>
    </xf>
    <xf numFmtId="164" fontId="5" fillId="0" borderId="0" xfId="0" applyFont="1" applyFill="1" applyAlignment="1">
      <alignment horizontal="center"/>
    </xf>
    <xf numFmtId="164" fontId="5" fillId="0" borderId="0" xfId="0" quotePrefix="1" applyFont="1" applyFill="1" applyAlignment="1">
      <alignment horizontal="left"/>
    </xf>
    <xf numFmtId="164" fontId="8" fillId="0" borderId="0" xfId="0" applyFont="1" applyFill="1" applyAlignment="1">
      <alignment horizontal="right"/>
    </xf>
    <xf numFmtId="164" fontId="8" fillId="0" borderId="0" xfId="0" applyFont="1" applyFill="1" applyAlignment="1">
      <alignment horizontal="centerContinuous"/>
    </xf>
    <xf numFmtId="164" fontId="8" fillId="0" borderId="0" xfId="0" applyFont="1" applyFill="1" applyAlignment="1">
      <alignment horizontal="center"/>
    </xf>
    <xf numFmtId="37" fontId="5" fillId="0" borderId="0" xfId="0" applyNumberFormat="1" applyFont="1" applyFill="1"/>
    <xf numFmtId="10" fontId="5" fillId="0" borderId="0" xfId="0" applyNumberFormat="1" applyFont="1" applyFill="1"/>
    <xf numFmtId="164" fontId="5" fillId="0" borderId="0" xfId="0" applyFont="1" applyFill="1" applyAlignment="1">
      <alignment horizontal="left"/>
    </xf>
    <xf numFmtId="37" fontId="8" fillId="0" borderId="0" xfId="0" applyNumberFormat="1" applyFont="1" applyFill="1"/>
    <xf numFmtId="10" fontId="8" fillId="0" borderId="0" xfId="0" applyNumberFormat="1" applyFont="1" applyFill="1"/>
    <xf numFmtId="5" fontId="5" fillId="0" borderId="0" xfId="0" applyNumberFormat="1" applyFont="1" applyFill="1"/>
    <xf numFmtId="10" fontId="14" fillId="0" borderId="0" xfId="0" applyNumberFormat="1" applyFont="1" applyFill="1"/>
    <xf numFmtId="164" fontId="3" fillId="0" borderId="0" xfId="0" quotePrefix="1" applyFont="1" applyFill="1"/>
    <xf numFmtId="164" fontId="3" fillId="0" borderId="0" xfId="0" quotePrefix="1" applyFont="1" applyFill="1" applyAlignment="1">
      <alignment horizontal="left"/>
    </xf>
    <xf numFmtId="5" fontId="3" fillId="0" borderId="0" xfId="0" applyNumberFormat="1" applyFont="1" applyFill="1"/>
    <xf numFmtId="164" fontId="15" fillId="0" borderId="0" xfId="0" applyFont="1" applyFill="1"/>
    <xf numFmtId="164" fontId="3" fillId="0" borderId="0" xfId="0" applyFont="1" applyFill="1" applyAlignment="1">
      <alignment horizontal="center"/>
    </xf>
    <xf numFmtId="164" fontId="16" fillId="0" borderId="0" xfId="0" applyFont="1" applyFill="1"/>
    <xf numFmtId="164" fontId="15" fillId="0" borderId="0" xfId="0" quotePrefix="1" applyFont="1" applyFill="1" applyAlignment="1">
      <alignment horizontal="left"/>
    </xf>
    <xf numFmtId="37" fontId="3" fillId="0" borderId="0" xfId="0" applyNumberFormat="1" applyFont="1" applyFill="1"/>
    <xf numFmtId="164" fontId="15" fillId="0" borderId="0" xfId="0" applyFont="1" applyFill="1" applyAlignment="1">
      <alignment horizontal="left"/>
    </xf>
    <xf numFmtId="37" fontId="16" fillId="0" borderId="0" xfId="0" applyNumberFormat="1" applyFont="1" applyFill="1"/>
    <xf numFmtId="37" fontId="3" fillId="0" borderId="0" xfId="0" applyNumberFormat="1" applyFont="1" applyFill="1" applyAlignment="1">
      <alignment horizontal="center"/>
    </xf>
    <xf numFmtId="10" fontId="14" fillId="0" borderId="0" xfId="0" applyNumberFormat="1" applyFont="1" applyFill="1" applyAlignment="1">
      <alignment horizontal="right"/>
    </xf>
    <xf numFmtId="164" fontId="17" fillId="0" borderId="0" xfId="0" applyFont="1" applyFill="1" applyAlignment="1">
      <alignment horizontal="center"/>
    </xf>
    <xf numFmtId="164" fontId="17" fillId="0" borderId="0" xfId="0" applyFont="1" applyFill="1"/>
    <xf numFmtId="167" fontId="0" fillId="0" borderId="0" xfId="0" applyNumberFormat="1" applyFill="1"/>
    <xf numFmtId="10" fontId="3" fillId="0" borderId="0" xfId="0" applyNumberFormat="1" applyFont="1" applyFill="1"/>
    <xf numFmtId="7" fontId="14" fillId="0" borderId="0" xfId="0" applyNumberFormat="1" applyFont="1" applyFill="1" applyAlignment="1">
      <alignment horizontal="right"/>
    </xf>
    <xf numFmtId="164" fontId="15" fillId="0" borderId="0" xfId="0" quotePrefix="1" applyFont="1" applyFill="1"/>
    <xf numFmtId="2" fontId="15" fillId="0" borderId="0" xfId="0" applyNumberFormat="1" applyFont="1" applyFill="1"/>
    <xf numFmtId="3" fontId="3" fillId="0" borderId="0" xfId="0" applyNumberFormat="1" applyFont="1" applyFill="1"/>
    <xf numFmtId="165" fontId="3" fillId="0" borderId="0" xfId="0" applyNumberFormat="1" applyFont="1" applyFill="1"/>
    <xf numFmtId="164" fontId="0" fillId="0" borderId="0" xfId="0" quotePrefix="1" applyFill="1" applyAlignment="1">
      <alignment horizontal="right"/>
    </xf>
    <xf numFmtId="3" fontId="3" fillId="0" borderId="1" xfId="0" applyNumberFormat="1" applyFont="1" applyFill="1" applyBorder="1"/>
    <xf numFmtId="39" fontId="3" fillId="0" borderId="0" xfId="0" applyNumberFormat="1" applyFont="1" applyFill="1"/>
    <xf numFmtId="166" fontId="14" fillId="0" borderId="0" xfId="0" applyNumberFormat="1" applyFont="1" applyFill="1"/>
    <xf numFmtId="168" fontId="5" fillId="0" borderId="0" xfId="0" applyNumberFormat="1" applyFont="1" applyFill="1"/>
    <xf numFmtId="164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A5533-E111-4B16-AA02-9BD3ABFFA940}">
  <sheetPr transitionEvaluation="1" transitionEntry="1">
    <pageSetUpPr fitToPage="1"/>
  </sheetPr>
  <dimension ref="A1:I60"/>
  <sheetViews>
    <sheetView topLeftCell="A44" zoomScaleNormal="100" workbookViewId="0">
      <selection activeCell="C60" sqref="C60"/>
    </sheetView>
  </sheetViews>
  <sheetFormatPr defaultColWidth="12.6640625" defaultRowHeight="13.2" x14ac:dyDescent="0.25"/>
  <cols>
    <col min="1" max="1" width="3.6640625" customWidth="1"/>
    <col min="2" max="2" width="2.5546875" customWidth="1"/>
    <col min="3" max="3" width="22.5546875" customWidth="1"/>
    <col min="4" max="4" width="18.5546875" customWidth="1"/>
    <col min="5" max="5" width="14" customWidth="1"/>
    <col min="6" max="6" width="14.109375" customWidth="1"/>
    <col min="7" max="8" width="14.33203125" customWidth="1"/>
    <col min="9" max="9" width="14" bestFit="1" customWidth="1"/>
  </cols>
  <sheetData>
    <row r="1" spans="1:9" x14ac:dyDescent="0.25">
      <c r="A1" s="1"/>
      <c r="C1" s="1"/>
      <c r="D1" s="1"/>
      <c r="E1" s="1"/>
      <c r="F1" s="1"/>
      <c r="G1" s="1"/>
      <c r="H1" s="35" t="s">
        <v>0</v>
      </c>
      <c r="I1" s="2"/>
    </row>
    <row r="2" spans="1:9" x14ac:dyDescent="0.25">
      <c r="A2" s="1"/>
      <c r="C2" s="1"/>
      <c r="D2" s="1"/>
      <c r="E2" s="1"/>
      <c r="F2" s="1"/>
      <c r="G2" s="1"/>
      <c r="H2" s="35" t="s">
        <v>1</v>
      </c>
      <c r="I2" s="2"/>
    </row>
    <row r="3" spans="1:9" x14ac:dyDescent="0.25">
      <c r="A3" s="1"/>
      <c r="C3" s="1"/>
      <c r="D3" s="1"/>
      <c r="E3" s="1"/>
      <c r="F3" s="1"/>
      <c r="G3" s="1"/>
      <c r="H3" s="35" t="s">
        <v>127</v>
      </c>
      <c r="I3" s="2"/>
    </row>
    <row r="4" spans="1:9" x14ac:dyDescent="0.25">
      <c r="A4" s="1"/>
      <c r="C4" s="1"/>
      <c r="D4" s="1"/>
      <c r="E4" s="1"/>
      <c r="F4" s="1"/>
      <c r="G4" s="1"/>
      <c r="H4" s="35" t="s">
        <v>2</v>
      </c>
      <c r="I4" s="2"/>
    </row>
    <row r="5" spans="1:9" x14ac:dyDescent="0.25">
      <c r="A5" s="1"/>
      <c r="C5" s="1"/>
      <c r="D5" s="1"/>
      <c r="E5" s="1"/>
      <c r="F5" s="1"/>
      <c r="G5" s="1"/>
      <c r="H5" s="1"/>
      <c r="I5" s="2"/>
    </row>
    <row r="6" spans="1:9" ht="15" x14ac:dyDescent="0.25">
      <c r="A6" s="1"/>
      <c r="C6" s="1"/>
      <c r="D6" s="1"/>
      <c r="E6" s="1"/>
      <c r="F6" s="1"/>
      <c r="G6" s="1"/>
      <c r="H6" s="1"/>
      <c r="I6" s="3"/>
    </row>
    <row r="7" spans="1:9" ht="15" x14ac:dyDescent="0.25">
      <c r="A7" s="1"/>
      <c r="C7" s="1"/>
      <c r="D7" s="1"/>
      <c r="E7" s="1"/>
      <c r="F7" s="1"/>
      <c r="G7" s="1"/>
      <c r="H7" s="1"/>
      <c r="I7" s="3"/>
    </row>
    <row r="8" spans="1:9" ht="22.8" x14ac:dyDescent="0.4">
      <c r="A8" s="4" t="s">
        <v>3</v>
      </c>
      <c r="B8" s="4"/>
      <c r="C8" s="4"/>
      <c r="D8" s="4"/>
      <c r="E8" s="4"/>
      <c r="F8" s="4"/>
      <c r="G8" s="4"/>
      <c r="H8" s="4"/>
      <c r="I8" s="3"/>
    </row>
    <row r="9" spans="1:9" ht="22.8" x14ac:dyDescent="0.4">
      <c r="A9" s="4" t="s">
        <v>4</v>
      </c>
      <c r="B9" s="4"/>
      <c r="C9" s="5"/>
      <c r="D9" s="5"/>
      <c r="E9" s="5"/>
      <c r="F9" s="5"/>
      <c r="G9" s="5"/>
      <c r="H9" s="5"/>
      <c r="I9" s="3"/>
    </row>
    <row r="10" spans="1:9" ht="15" x14ac:dyDescent="0.25">
      <c r="A10" s="90" t="s">
        <v>5</v>
      </c>
      <c r="B10" s="90"/>
      <c r="C10" s="90"/>
      <c r="D10" s="90"/>
      <c r="E10" s="90"/>
      <c r="F10" s="90"/>
      <c r="G10" s="90"/>
      <c r="H10" s="90"/>
      <c r="I10" s="3"/>
    </row>
    <row r="11" spans="1:9" ht="15" x14ac:dyDescent="0.25">
      <c r="A11" s="1"/>
      <c r="B11" s="1"/>
      <c r="C11" s="1"/>
      <c r="D11" s="1"/>
      <c r="E11" s="1"/>
      <c r="F11" s="1"/>
      <c r="G11" s="1"/>
      <c r="H11" s="1"/>
      <c r="I11" s="3"/>
    </row>
    <row r="12" spans="1:9" ht="15" x14ac:dyDescent="0.25">
      <c r="A12" s="1"/>
      <c r="B12" s="1"/>
      <c r="C12" s="1"/>
      <c r="I12" s="3"/>
    </row>
    <row r="13" spans="1:9" ht="15" x14ac:dyDescent="0.25">
      <c r="A13" s="1"/>
      <c r="B13" s="1"/>
      <c r="C13" s="1"/>
      <c r="D13" s="1"/>
      <c r="E13" s="1"/>
      <c r="F13" s="6"/>
      <c r="G13" s="6"/>
      <c r="H13" s="6"/>
      <c r="I13" s="3"/>
    </row>
    <row r="14" spans="1:9" ht="15" x14ac:dyDescent="0.25">
      <c r="A14" s="7"/>
      <c r="B14" s="6"/>
      <c r="C14" s="6"/>
      <c r="D14" s="6"/>
      <c r="E14" s="6"/>
      <c r="F14" s="6"/>
      <c r="G14" s="8"/>
      <c r="H14" s="8"/>
      <c r="I14" s="3"/>
    </row>
    <row r="15" spans="1:9" ht="15" x14ac:dyDescent="0.25">
      <c r="A15" s="7"/>
      <c r="B15" s="6"/>
      <c r="C15" s="9" t="s">
        <v>6</v>
      </c>
      <c r="D15" s="9" t="s">
        <v>7</v>
      </c>
      <c r="E15" s="9" t="s">
        <v>8</v>
      </c>
      <c r="F15" s="9" t="s">
        <v>9</v>
      </c>
      <c r="G15" s="10" t="s">
        <v>10</v>
      </c>
      <c r="H15" s="10" t="s">
        <v>11</v>
      </c>
      <c r="I15" s="3"/>
    </row>
    <row r="16" spans="1:9" ht="15" x14ac:dyDescent="0.25">
      <c r="A16" s="7"/>
      <c r="B16" s="6"/>
      <c r="C16" s="6"/>
      <c r="D16" s="6"/>
      <c r="E16" s="6"/>
      <c r="F16" s="6"/>
      <c r="G16" s="6"/>
      <c r="H16" s="6"/>
      <c r="I16" s="3"/>
    </row>
    <row r="17" spans="1:9" ht="15" x14ac:dyDescent="0.25">
      <c r="A17" s="7"/>
      <c r="B17" s="1"/>
      <c r="C17" s="1"/>
      <c r="D17" s="1"/>
      <c r="E17" s="1"/>
      <c r="F17" s="9" t="s">
        <v>12</v>
      </c>
      <c r="I17" s="11"/>
    </row>
    <row r="18" spans="1:9" x14ac:dyDescent="0.25">
      <c r="A18" s="7"/>
      <c r="B18" s="12" t="s">
        <v>13</v>
      </c>
      <c r="C18" s="1"/>
      <c r="D18" s="13" t="s">
        <v>14</v>
      </c>
      <c r="E18" s="14" t="s">
        <v>128</v>
      </c>
      <c r="F18" s="14" t="s">
        <v>129</v>
      </c>
      <c r="G18" s="14" t="s">
        <v>130</v>
      </c>
      <c r="H18" s="14" t="s">
        <v>15</v>
      </c>
    </row>
    <row r="19" spans="1:9" x14ac:dyDescent="0.25">
      <c r="A19" s="7">
        <v>1</v>
      </c>
      <c r="B19" s="6"/>
      <c r="C19" s="6" t="s">
        <v>16</v>
      </c>
      <c r="D19" s="15">
        <v>0.85</v>
      </c>
      <c r="E19" s="16">
        <v>340.12395530268554</v>
      </c>
      <c r="F19" s="16">
        <v>797.12751548988592</v>
      </c>
      <c r="G19" s="16">
        <v>2005.5584507792757</v>
      </c>
      <c r="H19" s="16">
        <v>12810.887123837172</v>
      </c>
    </row>
    <row r="20" spans="1:9" x14ac:dyDescent="0.25">
      <c r="A20" s="7">
        <f>A19+1</f>
        <v>2</v>
      </c>
      <c r="B20" s="6"/>
      <c r="C20" s="6" t="s">
        <v>17</v>
      </c>
      <c r="D20" s="15">
        <v>0.1</v>
      </c>
      <c r="E20" s="17">
        <v>78.574468984111093</v>
      </c>
      <c r="F20" s="17">
        <v>180.74189928354559</v>
      </c>
      <c r="G20" s="17">
        <v>373.11647625936314</v>
      </c>
      <c r="H20" s="18">
        <v>468.78573324311384</v>
      </c>
    </row>
    <row r="21" spans="1:9" x14ac:dyDescent="0.25">
      <c r="A21" s="7">
        <f>A20+1</f>
        <v>3</v>
      </c>
      <c r="B21" s="6"/>
      <c r="C21" s="6" t="s">
        <v>18</v>
      </c>
      <c r="D21" s="15">
        <v>1</v>
      </c>
      <c r="E21" s="19">
        <v>354.99978398521455</v>
      </c>
      <c r="F21" s="19">
        <v>1369.0108495096194</v>
      </c>
      <c r="G21" s="19">
        <v>8568.516478573827</v>
      </c>
      <c r="H21" s="20">
        <v>75660.218971614027</v>
      </c>
    </row>
    <row r="22" spans="1:9" x14ac:dyDescent="0.25">
      <c r="A22" s="7">
        <f>A21+1</f>
        <v>4</v>
      </c>
      <c r="B22" s="6"/>
      <c r="C22" s="6" t="s">
        <v>19</v>
      </c>
      <c r="D22" s="6"/>
      <c r="E22" s="16">
        <f>SUM(E19:E21)</f>
        <v>773.69820827201124</v>
      </c>
      <c r="F22" s="16">
        <f>SUM(F19:F21)</f>
        <v>2346.880264283051</v>
      </c>
      <c r="G22" s="16">
        <f>SUM(G19:G21)</f>
        <v>10947.191405612466</v>
      </c>
      <c r="H22" s="21">
        <f>SUM(H19:H21)</f>
        <v>88939.891828694308</v>
      </c>
    </row>
    <row r="23" spans="1:9" x14ac:dyDescent="0.25">
      <c r="A23" s="7"/>
      <c r="B23" s="6"/>
      <c r="C23" s="6"/>
      <c r="D23" s="6"/>
      <c r="E23" s="6"/>
      <c r="F23" s="6"/>
      <c r="G23" s="17"/>
      <c r="H23" s="18"/>
    </row>
    <row r="24" spans="1:9" x14ac:dyDescent="0.25">
      <c r="A24" s="7"/>
      <c r="B24" s="12" t="s">
        <v>20</v>
      </c>
      <c r="C24" s="6"/>
      <c r="D24" s="6"/>
      <c r="E24" s="6"/>
      <c r="F24" s="6"/>
      <c r="G24" s="14"/>
      <c r="H24" s="22"/>
    </row>
    <row r="25" spans="1:9" x14ac:dyDescent="0.25">
      <c r="A25" s="7">
        <f>A22+1</f>
        <v>5</v>
      </c>
      <c r="B25" s="6"/>
      <c r="C25" s="6" t="s">
        <v>16</v>
      </c>
      <c r="D25" s="23"/>
      <c r="E25" s="16">
        <f>+E19*'EGU 5.08p2'!$I$16</f>
        <v>140.43718114447887</v>
      </c>
      <c r="F25" s="16">
        <f>+F19*'EGU 5.08p2'!$I$16</f>
        <v>329.13395114577389</v>
      </c>
      <c r="G25" s="16">
        <f>+G19*'EGU 5.08p2'!$I$16</f>
        <v>828.09508432676296</v>
      </c>
      <c r="H25" s="21">
        <f>+H19*'EGU 5.08p2'!$I$16</f>
        <v>5289.6152934323682</v>
      </c>
    </row>
    <row r="26" spans="1:9" x14ac:dyDescent="0.25">
      <c r="A26" s="7">
        <f>A25+1</f>
        <v>6</v>
      </c>
      <c r="B26" s="6"/>
      <c r="C26" s="6" t="s">
        <v>17</v>
      </c>
      <c r="D26" s="23"/>
      <c r="E26" s="16">
        <f>+E20*'EGU 5.08p2'!$I$17</f>
        <v>56.21217511123308</v>
      </c>
      <c r="F26" s="16">
        <f>+F20*'EGU 5.08p2'!$I$17</f>
        <v>129.30275474744852</v>
      </c>
      <c r="G26" s="16">
        <f>+G20*'EGU 5.08p2'!$I$17</f>
        <v>266.92752711594841</v>
      </c>
      <c r="H26" s="21">
        <f>+H20*'EGU 5.08p2'!$I$17</f>
        <v>335.36931356212364</v>
      </c>
    </row>
    <row r="27" spans="1:9" x14ac:dyDescent="0.25">
      <c r="A27" s="7">
        <f>A26+1</f>
        <v>7</v>
      </c>
      <c r="B27" s="6"/>
      <c r="C27" s="6" t="s">
        <v>18</v>
      </c>
      <c r="D27" s="23"/>
      <c r="E27" s="19">
        <f>+E21*'EGU 5.08p2'!$I$18</f>
        <v>255.81284433974562</v>
      </c>
      <c r="F27" s="19">
        <f>+F21*'EGU 5.08p2'!$I$18</f>
        <v>986.50921815663185</v>
      </c>
      <c r="G27" s="19">
        <f>+G21*'EGU 5.08p2'!$I$18</f>
        <v>6174.4729744603001</v>
      </c>
      <c r="H27" s="20">
        <f>+H21*'EGU 5.08p2'!$I$18</f>
        <v>54520.753790945069</v>
      </c>
    </row>
    <row r="28" spans="1:9" x14ac:dyDescent="0.25">
      <c r="A28" s="7">
        <f>A27+1</f>
        <v>8</v>
      </c>
      <c r="B28" s="6"/>
      <c r="C28" s="6" t="s">
        <v>21</v>
      </c>
      <c r="D28" s="6"/>
      <c r="E28" s="16">
        <f>SUM(E25:E27)</f>
        <v>452.4622005954576</v>
      </c>
      <c r="F28" s="16">
        <f>SUM(F25:F27)</f>
        <v>1444.9459240498543</v>
      </c>
      <c r="G28" s="16">
        <f>SUM(G25:G27)</f>
        <v>7269.4955859030115</v>
      </c>
      <c r="H28" s="21">
        <f>SUM(H25:H27)</f>
        <v>60145.73839793956</v>
      </c>
    </row>
    <row r="29" spans="1:9" x14ac:dyDescent="0.25">
      <c r="A29" s="7"/>
      <c r="B29" s="6"/>
      <c r="C29" s="6"/>
      <c r="D29" s="6"/>
      <c r="E29" s="6"/>
      <c r="F29" s="6"/>
      <c r="G29" s="17"/>
      <c r="H29" s="18"/>
    </row>
    <row r="30" spans="1:9" x14ac:dyDescent="0.25">
      <c r="A30" s="7"/>
      <c r="B30" s="6"/>
      <c r="C30" s="6"/>
      <c r="D30" s="6"/>
      <c r="E30" s="6"/>
      <c r="F30" s="6"/>
      <c r="G30" s="6"/>
      <c r="H30" s="6"/>
    </row>
    <row r="31" spans="1:9" x14ac:dyDescent="0.25">
      <c r="A31" s="7"/>
      <c r="B31" s="12" t="s">
        <v>22</v>
      </c>
      <c r="C31" s="6"/>
      <c r="D31" s="6"/>
      <c r="E31" s="6"/>
      <c r="F31" s="6"/>
      <c r="G31" s="14"/>
      <c r="H31" s="14"/>
    </row>
    <row r="32" spans="1:9" x14ac:dyDescent="0.25">
      <c r="A32" s="7">
        <f>A28+1</f>
        <v>9</v>
      </c>
      <c r="B32" s="6"/>
      <c r="C32" s="6" t="s">
        <v>23</v>
      </c>
      <c r="D32" s="6"/>
      <c r="E32" s="16">
        <f>E28*$G$53</f>
        <v>34.448862577819504</v>
      </c>
      <c r="F32" s="16">
        <f>F28*$G$53</f>
        <v>110.0130430883856</v>
      </c>
      <c r="G32" s="16">
        <f>G28*$G$53</f>
        <v>553.47353683748236</v>
      </c>
      <c r="H32" s="16">
        <f>H28*$G$53</f>
        <v>4579.2825875516965</v>
      </c>
      <c r="I32" s="16"/>
    </row>
    <row r="33" spans="1:8" x14ac:dyDescent="0.25">
      <c r="A33" s="7">
        <f t="shared" ref="A33:A38" si="0">A32+1</f>
        <v>10</v>
      </c>
      <c r="B33" s="6"/>
      <c r="C33" s="6" t="s">
        <v>24</v>
      </c>
      <c r="D33" s="6"/>
      <c r="E33" s="17">
        <f>$G$55*($G$54/(1-$G$55)*E28)</f>
        <v>8.2266832207186678</v>
      </c>
      <c r="F33" s="17">
        <f>$G$55*($G$54/(1-$G$55)*F28)</f>
        <v>26.272056257037324</v>
      </c>
      <c r="G33" s="17">
        <f>$G$55*($G$54/(1-$G$55)*G28)</f>
        <v>132.1742176052112</v>
      </c>
      <c r="H33" s="17">
        <f>$G$55*($G$54/(1-$G$55)*H28)</f>
        <v>1093.5718745673964</v>
      </c>
    </row>
    <row r="34" spans="1:8" x14ac:dyDescent="0.25">
      <c r="A34" s="7">
        <f t="shared" si="0"/>
        <v>11</v>
      </c>
      <c r="B34" s="6"/>
      <c r="C34" s="6" t="s">
        <v>25</v>
      </c>
      <c r="D34" s="6"/>
      <c r="E34" s="17">
        <v>14.905739335604316</v>
      </c>
      <c r="F34" s="17">
        <v>45.213993127122002</v>
      </c>
      <c r="G34" s="17">
        <v>210.90391551179474</v>
      </c>
      <c r="H34" s="17">
        <v>1713.4779814163358</v>
      </c>
    </row>
    <row r="35" spans="1:8" x14ac:dyDescent="0.25">
      <c r="A35" s="7">
        <f t="shared" si="0"/>
        <v>12</v>
      </c>
      <c r="B35" s="6"/>
      <c r="C35" s="6" t="s">
        <v>26</v>
      </c>
      <c r="D35" s="6"/>
      <c r="E35" s="17">
        <f>'EGU 5.08p2'!E65</f>
        <v>0.04</v>
      </c>
      <c r="F35" s="17">
        <f>'EGU 5.08p2'!F65</f>
        <v>2.33</v>
      </c>
      <c r="G35" s="17">
        <f>'EGU 5.08p2'!G65</f>
        <v>97.38</v>
      </c>
      <c r="H35" s="17">
        <f>'EGU 5.08p2'!H65</f>
        <v>268.67</v>
      </c>
    </row>
    <row r="36" spans="1:8" x14ac:dyDescent="0.25">
      <c r="A36" s="7">
        <f t="shared" si="0"/>
        <v>13</v>
      </c>
      <c r="B36" s="6"/>
      <c r="C36" s="6" t="s">
        <v>27</v>
      </c>
      <c r="D36" s="6"/>
      <c r="E36" s="17">
        <f>+E28*$G$56</f>
        <v>3.0912217544681666</v>
      </c>
      <c r="F36" s="17">
        <f>+F28*$G$56</f>
        <v>9.8718705531086055</v>
      </c>
      <c r="G36" s="17">
        <f>+G28*$G$56</f>
        <v>49.66519384288938</v>
      </c>
      <c r="H36" s="17">
        <f>+H28*$G$56</f>
        <v>410.91568473472307</v>
      </c>
    </row>
    <row r="37" spans="1:8" x14ac:dyDescent="0.25">
      <c r="A37" s="7">
        <f t="shared" si="0"/>
        <v>14</v>
      </c>
      <c r="B37" s="6"/>
      <c r="C37" s="24" t="str">
        <f>"Annual Depreciation"</f>
        <v>Annual Depreciation</v>
      </c>
      <c r="D37" s="6"/>
      <c r="E37" s="19">
        <f>E19*G58+E20*G59+E21*G60</f>
        <v>30.425279229816287</v>
      </c>
      <c r="F37" s="19">
        <f>F19*G58+F20*G59+F21*G60</f>
        <v>95.643813910697276</v>
      </c>
      <c r="G37" s="19">
        <f>G19*G58+G20*G59+G21*G60</f>
        <v>471.67658368495051</v>
      </c>
      <c r="H37" s="19">
        <f>H19*G58+H20*G59+H21*G60</f>
        <v>3918.2347543795904</v>
      </c>
    </row>
    <row r="38" spans="1:8" x14ac:dyDescent="0.25">
      <c r="A38" s="7">
        <f t="shared" si="0"/>
        <v>15</v>
      </c>
      <c r="B38" s="6"/>
      <c r="C38" s="6" t="s">
        <v>28</v>
      </c>
      <c r="D38" s="6"/>
      <c r="E38" s="16">
        <f>SUM(E32:E37)</f>
        <v>91.137786118426945</v>
      </c>
      <c r="F38" s="16">
        <f>SUM(F32:F37)</f>
        <v>289.34477693635085</v>
      </c>
      <c r="G38" s="16">
        <f>SUM(G32:G37)</f>
        <v>1515.2734474823283</v>
      </c>
      <c r="H38" s="16">
        <f>SUM(H32:H37)</f>
        <v>11984.152882649742</v>
      </c>
    </row>
    <row r="39" spans="1:8" x14ac:dyDescent="0.25">
      <c r="A39" s="7"/>
      <c r="B39" s="6"/>
      <c r="C39" s="6"/>
      <c r="D39" s="6"/>
      <c r="E39" s="6"/>
      <c r="F39" s="6"/>
      <c r="G39" s="6"/>
      <c r="H39" s="6"/>
    </row>
    <row r="40" spans="1:8" x14ac:dyDescent="0.25">
      <c r="A40" s="6">
        <v>16</v>
      </c>
      <c r="B40" s="6"/>
      <c r="C40" s="9" t="s">
        <v>132</v>
      </c>
      <c r="D40" s="6"/>
      <c r="E40" s="25" t="s">
        <v>29</v>
      </c>
      <c r="F40" s="25" t="s">
        <v>30</v>
      </c>
      <c r="G40" s="25" t="s">
        <v>31</v>
      </c>
      <c r="H40" s="25" t="s">
        <v>32</v>
      </c>
    </row>
    <row r="41" spans="1:8" x14ac:dyDescent="0.25">
      <c r="A41" s="7"/>
      <c r="B41" s="6"/>
      <c r="C41" s="6"/>
      <c r="D41" s="6"/>
      <c r="E41" s="6"/>
      <c r="F41" s="6"/>
      <c r="G41" s="6"/>
      <c r="H41" s="6"/>
    </row>
    <row r="42" spans="1:8" x14ac:dyDescent="0.25">
      <c r="A42" s="7">
        <v>17</v>
      </c>
      <c r="B42" s="6"/>
      <c r="C42" s="1" t="s">
        <v>33</v>
      </c>
      <c r="D42" s="1"/>
      <c r="E42" s="26">
        <f>MROUND(+E38/12,0.5)</f>
        <v>7.5</v>
      </c>
      <c r="F42" s="26">
        <f>MROUND(+F38/12,0.5)</f>
        <v>24</v>
      </c>
      <c r="G42" s="27">
        <f>ROUND(+G38/12,0)</f>
        <v>126</v>
      </c>
      <c r="H42" s="27">
        <f>ROUND(+H38/12,-1.5)</f>
        <v>1000</v>
      </c>
    </row>
    <row r="43" spans="1:8" x14ac:dyDescent="0.25">
      <c r="A43" s="7"/>
      <c r="B43" s="6"/>
      <c r="C43" s="1"/>
      <c r="D43" s="1"/>
      <c r="E43" s="1"/>
      <c r="F43" s="1"/>
      <c r="G43" s="28"/>
      <c r="H43" s="28"/>
    </row>
    <row r="44" spans="1:8" x14ac:dyDescent="0.25">
      <c r="A44" s="7">
        <f>A42+1</f>
        <v>18</v>
      </c>
      <c r="B44" s="6"/>
      <c r="C44" s="1" t="s">
        <v>34</v>
      </c>
      <c r="D44" s="1"/>
      <c r="E44" s="27">
        <f>E42*12</f>
        <v>90</v>
      </c>
      <c r="F44" s="27">
        <f>F42*12</f>
        <v>288</v>
      </c>
      <c r="G44" s="27">
        <f>G42*12</f>
        <v>1512</v>
      </c>
      <c r="H44" s="27">
        <f>H42*12</f>
        <v>12000</v>
      </c>
    </row>
    <row r="45" spans="1:8" x14ac:dyDescent="0.25">
      <c r="A45" s="6"/>
      <c r="B45" s="6"/>
      <c r="C45" s="6"/>
      <c r="D45" s="6"/>
      <c r="E45" s="6"/>
      <c r="F45" s="29"/>
      <c r="G45" s="6"/>
      <c r="H45" s="6"/>
    </row>
    <row r="46" spans="1:8" x14ac:dyDescent="0.25">
      <c r="A46" s="6">
        <v>19</v>
      </c>
      <c r="B46" s="6"/>
      <c r="C46" s="9" t="s">
        <v>35</v>
      </c>
      <c r="D46" s="6"/>
      <c r="E46" s="30">
        <v>512870430</v>
      </c>
      <c r="F46" s="30">
        <v>23924300</v>
      </c>
      <c r="G46" s="30">
        <v>987376</v>
      </c>
      <c r="H46" s="30">
        <v>294350</v>
      </c>
    </row>
    <row r="47" spans="1:8" x14ac:dyDescent="0.25">
      <c r="A47" s="6"/>
      <c r="B47" s="6"/>
      <c r="C47" s="9"/>
      <c r="D47" s="6"/>
      <c r="E47" s="30"/>
      <c r="F47" s="30"/>
      <c r="G47" s="30"/>
      <c r="H47" s="30"/>
    </row>
    <row r="48" spans="1:8" x14ac:dyDescent="0.25">
      <c r="A48" s="6">
        <v>20</v>
      </c>
      <c r="B48" s="6"/>
      <c r="C48" s="9" t="s">
        <v>36</v>
      </c>
      <c r="D48" s="6"/>
      <c r="E48" s="26">
        <v>6.75</v>
      </c>
      <c r="F48" s="26">
        <v>18.25</v>
      </c>
      <c r="G48" s="26">
        <v>63.5</v>
      </c>
      <c r="H48" s="26">
        <v>420.25</v>
      </c>
    </row>
    <row r="49" spans="1:8" x14ac:dyDescent="0.25">
      <c r="E49" s="31"/>
      <c r="F49" s="31"/>
      <c r="G49" s="31"/>
      <c r="H49" s="31"/>
    </row>
    <row r="51" spans="1:8" x14ac:dyDescent="0.25">
      <c r="A51" s="6"/>
      <c r="B51" s="12" t="s">
        <v>37</v>
      </c>
      <c r="C51" s="6"/>
      <c r="D51" s="6"/>
      <c r="E51" s="6"/>
      <c r="F51" s="6"/>
      <c r="G51" s="6"/>
      <c r="H51" s="6"/>
    </row>
    <row r="52" spans="1:8" x14ac:dyDescent="0.25">
      <c r="A52" s="6"/>
      <c r="B52" s="6"/>
      <c r="C52" s="6"/>
      <c r="D52" s="6"/>
      <c r="E52" s="6"/>
      <c r="F52" s="6"/>
      <c r="G52" s="6"/>
      <c r="H52" s="6"/>
    </row>
    <row r="53" spans="1:8" x14ac:dyDescent="0.25">
      <c r="A53" s="32">
        <v>21</v>
      </c>
      <c r="B53" s="6"/>
      <c r="C53" s="6" t="s">
        <v>38</v>
      </c>
      <c r="D53" s="6"/>
      <c r="E53" s="6"/>
      <c r="F53" s="6"/>
      <c r="G53" s="8">
        <v>7.6136443071893031E-2</v>
      </c>
      <c r="H53" s="8"/>
    </row>
    <row r="54" spans="1:8" x14ac:dyDescent="0.25">
      <c r="A54" s="32">
        <f t="shared" ref="A54:A60" si="1">A53+1</f>
        <v>22</v>
      </c>
      <c r="B54" s="6"/>
      <c r="C54" s="6" t="s">
        <v>39</v>
      </c>
      <c r="D54" s="6"/>
      <c r="E54" s="6"/>
      <c r="F54" s="6"/>
      <c r="G54" s="8">
        <v>5.6181935214384422E-2</v>
      </c>
      <c r="H54" s="8"/>
    </row>
    <row r="55" spans="1:8" x14ac:dyDescent="0.25">
      <c r="A55" s="32">
        <f t="shared" si="1"/>
        <v>23</v>
      </c>
      <c r="B55" s="6"/>
      <c r="C55" s="6" t="s">
        <v>40</v>
      </c>
      <c r="D55" s="6"/>
      <c r="E55" s="6"/>
      <c r="F55" s="6"/>
      <c r="G55" s="8">
        <v>0.24450058769999999</v>
      </c>
      <c r="H55" s="8"/>
    </row>
    <row r="56" spans="1:8" x14ac:dyDescent="0.25">
      <c r="A56" s="32">
        <f t="shared" si="1"/>
        <v>24</v>
      </c>
      <c r="B56" s="6"/>
      <c r="C56" s="6" t="s">
        <v>41</v>
      </c>
      <c r="D56" s="6"/>
      <c r="E56" s="6"/>
      <c r="F56" s="6"/>
      <c r="G56" s="33">
        <v>6.8320000000000004E-3</v>
      </c>
      <c r="H56" s="33"/>
    </row>
    <row r="57" spans="1:8" x14ac:dyDescent="0.25">
      <c r="A57" s="32">
        <f t="shared" si="1"/>
        <v>25</v>
      </c>
      <c r="B57" s="6"/>
      <c r="C57" s="32" t="s">
        <v>42</v>
      </c>
      <c r="D57" s="6"/>
      <c r="E57" s="6"/>
      <c r="F57" s="6"/>
      <c r="G57" s="33">
        <v>1.9265573031240449E-2</v>
      </c>
      <c r="H57" s="33"/>
    </row>
    <row r="58" spans="1:8" x14ac:dyDescent="0.25">
      <c r="A58" s="32">
        <f t="shared" si="1"/>
        <v>26</v>
      </c>
      <c r="C58" s="6" t="s">
        <v>43</v>
      </c>
      <c r="G58" s="34">
        <v>3.6400000000000002E-2</v>
      </c>
    </row>
    <row r="59" spans="1:8" x14ac:dyDescent="0.25">
      <c r="A59" s="32">
        <f t="shared" si="1"/>
        <v>27</v>
      </c>
      <c r="C59" s="6" t="s">
        <v>44</v>
      </c>
      <c r="G59" s="34">
        <v>2.4199999999999999E-2</v>
      </c>
    </row>
    <row r="60" spans="1:8" x14ac:dyDescent="0.25">
      <c r="A60" s="32">
        <f t="shared" si="1"/>
        <v>28</v>
      </c>
      <c r="C60" s="6" t="s">
        <v>45</v>
      </c>
      <c r="G60" s="34">
        <v>4.5474013888570135E-2</v>
      </c>
    </row>
  </sheetData>
  <mergeCells count="1">
    <mergeCell ref="A10:H10"/>
  </mergeCells>
  <pageMargins left="0.71" right="0.37" top="0.5" bottom="0.5" header="0.5" footer="0.5"/>
  <pageSetup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F0CBB-FBB8-483E-9848-68A715F3F20B}">
  <sheetPr transitionEvaluation="1" transitionEntry="1">
    <pageSetUpPr fitToPage="1"/>
  </sheetPr>
  <dimension ref="A1:X106"/>
  <sheetViews>
    <sheetView tabSelected="1" topLeftCell="A23" zoomScale="90" zoomScaleNormal="90" workbookViewId="0">
      <selection activeCell="F48" sqref="F48"/>
    </sheetView>
  </sheetViews>
  <sheetFormatPr defaultColWidth="12.6640625" defaultRowHeight="13.2" x14ac:dyDescent="0.25"/>
  <cols>
    <col min="1" max="1" width="13.88671875" style="40" customWidth="1"/>
    <col min="2" max="2" width="18" style="40" customWidth="1"/>
    <col min="3" max="3" width="19.6640625" style="40" customWidth="1"/>
    <col min="4" max="4" width="14.6640625" style="40" customWidth="1"/>
    <col min="5" max="5" width="24.109375" style="40" customWidth="1"/>
    <col min="6" max="6" width="16.109375" style="40" bestFit="1" customWidth="1"/>
    <col min="7" max="7" width="17" style="40" customWidth="1"/>
    <col min="8" max="8" width="14.88671875" style="40" customWidth="1"/>
    <col min="9" max="9" width="13.88671875" style="40" customWidth="1"/>
    <col min="10" max="10" width="14.6640625" style="40" customWidth="1"/>
    <col min="11" max="11" width="10.6640625" style="40" customWidth="1"/>
    <col min="12" max="16384" width="12.6640625" style="40"/>
  </cols>
  <sheetData>
    <row r="1" spans="1:24" ht="15" x14ac:dyDescent="0.25">
      <c r="A1" s="41"/>
      <c r="B1" s="41"/>
      <c r="C1" s="41"/>
      <c r="D1" s="41"/>
      <c r="E1" s="41"/>
      <c r="F1" s="41"/>
      <c r="G1" s="41"/>
      <c r="H1" s="41"/>
      <c r="I1" s="42" t="s">
        <v>0</v>
      </c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</row>
    <row r="2" spans="1:24" ht="15" x14ac:dyDescent="0.25">
      <c r="A2" s="41"/>
      <c r="B2" s="41"/>
      <c r="C2" s="41"/>
      <c r="D2" s="41"/>
      <c r="E2" s="41"/>
      <c r="F2" s="41"/>
      <c r="G2" s="41"/>
      <c r="H2" s="41"/>
      <c r="I2" s="42" t="str">
        <f>'EGU 5.08p1'!H2</f>
        <v>Docket No. 25-057-06</v>
      </c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1:24" ht="15" x14ac:dyDescent="0.25">
      <c r="A3" s="41"/>
      <c r="B3" s="41"/>
      <c r="C3" s="41"/>
      <c r="D3" s="41"/>
      <c r="E3" s="41"/>
      <c r="F3" s="41"/>
      <c r="G3" s="41"/>
      <c r="H3" s="41"/>
      <c r="I3" s="42" t="str">
        <f>'EGU 5.08p1'!H3</f>
        <v>EGU Exhibit 5.08</v>
      </c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</row>
    <row r="4" spans="1:24" ht="15" x14ac:dyDescent="0.25">
      <c r="A4" s="41"/>
      <c r="B4" s="41"/>
      <c r="C4" s="41"/>
      <c r="D4" s="41"/>
      <c r="E4" s="41"/>
      <c r="F4" s="41"/>
      <c r="G4" s="41"/>
      <c r="H4" s="41"/>
      <c r="I4" s="42" t="s">
        <v>46</v>
      </c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</row>
    <row r="5" spans="1:24" ht="15.6" x14ac:dyDescent="0.3">
      <c r="A5" s="41"/>
      <c r="B5" s="41"/>
      <c r="C5" s="41"/>
      <c r="D5" s="41"/>
      <c r="E5" s="41"/>
      <c r="F5" s="41"/>
      <c r="G5" s="41"/>
      <c r="H5" s="41"/>
      <c r="I5" s="38"/>
      <c r="J5" s="43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</row>
    <row r="6" spans="1:24" ht="15.6" x14ac:dyDescent="0.3">
      <c r="A6" s="41"/>
      <c r="B6" s="41"/>
      <c r="C6" s="41"/>
      <c r="D6" s="41"/>
      <c r="E6" s="41"/>
      <c r="F6" s="41"/>
      <c r="G6" s="41"/>
      <c r="H6" s="41"/>
      <c r="I6" s="38"/>
      <c r="L6" s="43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</row>
    <row r="7" spans="1:24" ht="15.6" x14ac:dyDescent="0.3">
      <c r="A7" s="41"/>
      <c r="B7" s="41"/>
      <c r="C7" s="41"/>
      <c r="D7" s="41"/>
      <c r="E7" s="41"/>
      <c r="F7" s="41"/>
      <c r="G7" s="41"/>
      <c r="H7" s="41"/>
      <c r="I7" s="38"/>
      <c r="L7" s="43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</row>
    <row r="8" spans="1:24" ht="15.6" x14ac:dyDescent="0.3">
      <c r="A8" s="41"/>
      <c r="B8" s="41"/>
      <c r="C8" s="41"/>
      <c r="D8" s="41"/>
      <c r="E8" s="41"/>
      <c r="F8" s="41"/>
      <c r="G8" s="41"/>
      <c r="H8" s="41"/>
      <c r="I8" s="38"/>
      <c r="L8" s="43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</row>
    <row r="9" spans="1:24" ht="22.8" x14ac:dyDescent="0.4">
      <c r="A9" s="44" t="s">
        <v>47</v>
      </c>
      <c r="B9" s="45"/>
      <c r="C9" s="46"/>
      <c r="D9" s="46"/>
      <c r="E9" s="46"/>
      <c r="F9" s="46"/>
      <c r="G9" s="46"/>
      <c r="H9" s="46"/>
      <c r="I9" s="46"/>
      <c r="J9" s="46"/>
      <c r="K9" s="47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</row>
    <row r="10" spans="1:24" ht="13.5" customHeight="1" x14ac:dyDescent="0.4">
      <c r="A10" s="44"/>
      <c r="B10" s="46"/>
      <c r="C10" s="46"/>
      <c r="D10" s="46"/>
      <c r="E10" s="46"/>
      <c r="F10" s="46"/>
      <c r="G10" s="46"/>
      <c r="H10" s="46"/>
      <c r="I10" s="46"/>
      <c r="J10" s="46"/>
      <c r="K10" s="47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</row>
    <row r="11" spans="1:24" ht="13.5" customHeight="1" x14ac:dyDescent="0.4">
      <c r="A11" s="44"/>
      <c r="J11" s="46"/>
      <c r="K11" s="47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</row>
    <row r="12" spans="1:24" ht="13.5" customHeight="1" x14ac:dyDescent="0.4">
      <c r="A12" s="44"/>
      <c r="K12" s="47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</row>
    <row r="13" spans="1:24" ht="15" customHeight="1" x14ac:dyDescent="0.25">
      <c r="B13" s="38" t="s">
        <v>48</v>
      </c>
      <c r="C13" s="46"/>
      <c r="D13" s="46"/>
      <c r="E13" s="46"/>
      <c r="F13" s="46"/>
      <c r="G13" s="46"/>
      <c r="H13" s="46"/>
      <c r="I13" s="46"/>
      <c r="K13" s="47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</row>
    <row r="14" spans="1:24" ht="13.5" customHeight="1" x14ac:dyDescent="0.25">
      <c r="A14" s="48"/>
      <c r="B14" s="49"/>
      <c r="C14" s="49"/>
      <c r="D14" s="50"/>
      <c r="E14" s="51" t="s">
        <v>49</v>
      </c>
      <c r="F14" s="49" t="s">
        <v>50</v>
      </c>
      <c r="G14" s="52" t="s">
        <v>51</v>
      </c>
      <c r="H14" s="49"/>
      <c r="I14" s="49" t="s">
        <v>52</v>
      </c>
      <c r="K14" s="47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</row>
    <row r="15" spans="1:24" ht="13.5" customHeight="1" x14ac:dyDescent="0.25">
      <c r="A15" s="48"/>
      <c r="B15" s="53" t="s">
        <v>53</v>
      </c>
      <c r="C15" s="53"/>
      <c r="D15" s="50"/>
      <c r="E15" s="54" t="s">
        <v>54</v>
      </c>
      <c r="F15" s="55" t="s">
        <v>55</v>
      </c>
      <c r="G15" s="56" t="s">
        <v>54</v>
      </c>
      <c r="H15" s="55"/>
      <c r="I15" s="55" t="s">
        <v>56</v>
      </c>
      <c r="K15" s="47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</row>
    <row r="16" spans="1:24" ht="13.5" customHeight="1" x14ac:dyDescent="0.25">
      <c r="A16" s="48"/>
      <c r="B16" s="47" t="s">
        <v>57</v>
      </c>
      <c r="C16" s="50"/>
      <c r="D16" s="50" t="s">
        <v>58</v>
      </c>
      <c r="E16" s="57">
        <v>526170953.66000003</v>
      </c>
      <c r="F16" s="57">
        <v>308937878.48000002</v>
      </c>
      <c r="G16" s="57">
        <f>E16-F16</f>
        <v>217233075.18000001</v>
      </c>
      <c r="H16" s="57"/>
      <c r="I16" s="58">
        <f>ROUND(G16/E16,4)</f>
        <v>0.41289999999999999</v>
      </c>
      <c r="K16" s="47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</row>
    <row r="17" spans="1:24" ht="13.5" customHeight="1" x14ac:dyDescent="0.25">
      <c r="A17" s="48"/>
      <c r="B17" s="47" t="s">
        <v>59</v>
      </c>
      <c r="C17" s="50"/>
      <c r="D17" s="50" t="str">
        <f>D16</f>
        <v>Plant Inv. &amp; Res.</v>
      </c>
      <c r="E17" s="57">
        <v>1318378605.9099998</v>
      </c>
      <c r="F17" s="57">
        <v>375163286.11239332</v>
      </c>
      <c r="G17" s="57">
        <f>E17-F17</f>
        <v>943215319.79760647</v>
      </c>
      <c r="H17" s="57"/>
      <c r="I17" s="58">
        <f>ROUND(G17/E17,4)</f>
        <v>0.71540000000000004</v>
      </c>
      <c r="K17" s="47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</row>
    <row r="18" spans="1:24" ht="15" x14ac:dyDescent="0.25">
      <c r="A18" s="41"/>
      <c r="B18" s="59" t="s">
        <v>60</v>
      </c>
      <c r="C18" s="50"/>
      <c r="D18" s="50" t="str">
        <f>D17</f>
        <v>Plant Inv. &amp; Res.</v>
      </c>
      <c r="E18" s="60">
        <v>522245888.69</v>
      </c>
      <c r="F18" s="60">
        <v>145906950.21000001</v>
      </c>
      <c r="G18" s="60">
        <f>E18-F18</f>
        <v>376338938.48000002</v>
      </c>
      <c r="H18" s="60"/>
      <c r="I18" s="61">
        <f>ROUND(G18/E18,4)</f>
        <v>0.72060000000000002</v>
      </c>
      <c r="J18" s="41"/>
      <c r="K18" s="47"/>
      <c r="L18" s="38"/>
      <c r="M18" s="38"/>
      <c r="N18" s="38"/>
      <c r="O18" s="38"/>
      <c r="P18" s="38"/>
      <c r="Q18" s="38"/>
      <c r="R18" s="38"/>
      <c r="S18" s="38"/>
      <c r="T18" s="38"/>
      <c r="U18" s="38"/>
    </row>
    <row r="19" spans="1:24" ht="15" x14ac:dyDescent="0.25">
      <c r="A19" s="48"/>
      <c r="B19" s="49" t="s">
        <v>61</v>
      </c>
      <c r="C19" s="50"/>
      <c r="D19" s="50"/>
      <c r="E19" s="62">
        <f>SUM(E16:E18)</f>
        <v>2366795448.2599998</v>
      </c>
      <c r="F19" s="62">
        <f>SUM(F16:F18)</f>
        <v>830008114.80239344</v>
      </c>
      <c r="G19" s="62">
        <f>SUM(G16:G18)</f>
        <v>1536787333.4576066</v>
      </c>
      <c r="H19" s="62"/>
      <c r="I19" s="58">
        <f>ROUND(G19/E19,4)</f>
        <v>0.64929999999999999</v>
      </c>
      <c r="J19" s="38"/>
      <c r="K19" s="47"/>
      <c r="L19" s="38"/>
      <c r="M19" s="38"/>
      <c r="N19" s="38"/>
      <c r="O19" s="38"/>
      <c r="P19" s="38"/>
      <c r="Q19" s="38"/>
      <c r="R19" s="38"/>
      <c r="S19" s="38"/>
      <c r="T19" s="38"/>
      <c r="U19" s="38"/>
    </row>
    <row r="20" spans="1:24" ht="15" x14ac:dyDescent="0.25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47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47"/>
      <c r="X20" s="47"/>
    </row>
    <row r="21" spans="1:24" ht="15" x14ac:dyDescent="0.25">
      <c r="A21" s="38" t="s">
        <v>62</v>
      </c>
      <c r="B21" s="38" t="s">
        <v>63</v>
      </c>
      <c r="C21" s="38"/>
      <c r="D21" s="38"/>
      <c r="E21" s="38"/>
      <c r="F21" s="38"/>
      <c r="G21" s="38"/>
      <c r="H21" s="38"/>
      <c r="I21" s="38"/>
      <c r="J21" s="38"/>
      <c r="K21" s="47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</row>
    <row r="22" spans="1:24" ht="15" x14ac:dyDescent="0.25">
      <c r="A22" s="38"/>
      <c r="B22" s="38" t="s">
        <v>64</v>
      </c>
      <c r="C22" s="38"/>
      <c r="D22" s="38"/>
      <c r="E22" s="38"/>
      <c r="F22" s="38"/>
      <c r="G22" s="38"/>
      <c r="H22" s="38"/>
      <c r="I22" s="38"/>
      <c r="J22" s="38"/>
      <c r="K22" s="47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</row>
    <row r="23" spans="1:24" ht="15" x14ac:dyDescent="0.25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47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</row>
    <row r="24" spans="1:24" ht="15" x14ac:dyDescent="0.25">
      <c r="A24" s="38" t="s">
        <v>65</v>
      </c>
      <c r="B24" s="38" t="s">
        <v>66</v>
      </c>
      <c r="C24" s="38"/>
      <c r="D24" s="38"/>
      <c r="E24" s="38"/>
      <c r="F24" s="38"/>
      <c r="G24" s="38"/>
      <c r="H24" s="38"/>
      <c r="I24" s="38"/>
      <c r="J24" s="38"/>
      <c r="K24" s="47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</row>
    <row r="25" spans="1:24" ht="15" x14ac:dyDescent="0.25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47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</row>
    <row r="26" spans="1:24" ht="15" x14ac:dyDescent="0.25">
      <c r="A26" s="38" t="s">
        <v>67</v>
      </c>
      <c r="B26" s="38" t="s">
        <v>68</v>
      </c>
      <c r="C26" s="38"/>
      <c r="D26" s="38"/>
      <c r="E26" s="63">
        <v>7.6136443071893031E-2</v>
      </c>
      <c r="F26" s="64" t="s">
        <v>69</v>
      </c>
      <c r="G26" s="38"/>
      <c r="H26" s="38"/>
      <c r="I26" s="38"/>
      <c r="J26" s="38"/>
      <c r="K26" s="47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</row>
    <row r="27" spans="1:24" ht="15" x14ac:dyDescent="0.25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47"/>
    </row>
    <row r="28" spans="1:24" ht="15" x14ac:dyDescent="0.25">
      <c r="A28" s="38" t="s">
        <v>70</v>
      </c>
      <c r="B28" s="38" t="s">
        <v>71</v>
      </c>
      <c r="C28" s="38"/>
      <c r="D28" s="38"/>
      <c r="E28" s="38"/>
      <c r="F28" s="38"/>
      <c r="G28" s="38"/>
      <c r="H28" s="38"/>
      <c r="I28" s="63">
        <f>'EGU 5.08p1'!G55</f>
        <v>0.24450058769999999</v>
      </c>
      <c r="J28" s="38"/>
      <c r="K28" s="47"/>
    </row>
    <row r="29" spans="1:24" ht="15" x14ac:dyDescent="0.25">
      <c r="A29" s="38"/>
      <c r="B29" s="38" t="s">
        <v>72</v>
      </c>
      <c r="C29" s="38"/>
      <c r="D29" s="38"/>
      <c r="E29" s="63">
        <f>'EGU 5.08p1'!G54</f>
        <v>5.6181935214384422E-2</v>
      </c>
      <c r="F29" s="64" t="str">
        <f>F26</f>
        <v xml:space="preserve"> QGC filed capital structure.</v>
      </c>
      <c r="G29" s="38"/>
      <c r="H29" s="38"/>
      <c r="I29" s="38"/>
      <c r="J29" s="38"/>
      <c r="K29" s="47"/>
    </row>
    <row r="30" spans="1:24" ht="15" x14ac:dyDescent="0.25">
      <c r="A30" s="38"/>
      <c r="B30" s="38" t="s">
        <v>73</v>
      </c>
      <c r="C30" s="38"/>
      <c r="D30" s="38"/>
      <c r="E30" s="38"/>
      <c r="F30" s="38"/>
      <c r="G30" s="38"/>
      <c r="H30" s="38"/>
      <c r="I30" s="38"/>
      <c r="J30" s="38"/>
      <c r="K30" s="47"/>
    </row>
    <row r="31" spans="1:24" ht="15" x14ac:dyDescent="0.25">
      <c r="A31" s="38"/>
      <c r="B31" s="38"/>
      <c r="C31" s="38"/>
      <c r="D31" s="38"/>
      <c r="E31" s="38"/>
      <c r="F31" s="38"/>
      <c r="G31" s="38"/>
      <c r="H31" s="38"/>
      <c r="I31" s="38"/>
      <c r="J31" s="38"/>
      <c r="K31" s="47"/>
    </row>
    <row r="32" spans="1:24" ht="15" x14ac:dyDescent="0.25">
      <c r="A32" s="38" t="s">
        <v>74</v>
      </c>
      <c r="B32" s="38" t="s">
        <v>75</v>
      </c>
      <c r="C32" s="38"/>
      <c r="D32" s="38"/>
      <c r="E32" s="63">
        <f>'EGU 5.08p1'!G57</f>
        <v>1.9265573031240449E-2</v>
      </c>
      <c r="F32" s="64" t="s">
        <v>76</v>
      </c>
      <c r="G32" s="38"/>
      <c r="H32" s="38"/>
      <c r="I32" s="38"/>
      <c r="J32" s="38"/>
      <c r="K32" s="47"/>
    </row>
    <row r="33" spans="1:11" ht="15" x14ac:dyDescent="0.25">
      <c r="A33" s="64"/>
      <c r="B33" s="65" t="str">
        <f>"Ratio of total adjusted filed O&amp;M Expenses (below) to total gross Investment of "&amp;DOLLAR('EGU 5.08p2'!E19,0)&amp;" from table above."</f>
        <v>Ratio of total adjusted filed O&amp;M Expenses (below) to total gross Investment of $2,366,795,448 from table above.</v>
      </c>
      <c r="C33" s="38"/>
      <c r="D33" s="38"/>
      <c r="E33" s="38"/>
      <c r="F33" s="66"/>
      <c r="G33" s="67"/>
      <c r="H33" s="67"/>
      <c r="I33" s="38"/>
      <c r="J33" s="38"/>
      <c r="K33" s="47"/>
    </row>
    <row r="34" spans="1:11" ht="15" x14ac:dyDescent="0.25">
      <c r="A34" s="38"/>
      <c r="B34" s="38"/>
      <c r="C34" s="38"/>
      <c r="D34" s="38"/>
      <c r="E34" s="38"/>
      <c r="F34" s="67"/>
      <c r="G34" s="67"/>
      <c r="H34" s="67"/>
      <c r="I34" s="68"/>
      <c r="J34" s="38"/>
      <c r="K34" s="47"/>
    </row>
    <row r="35" spans="1:11" ht="15" x14ac:dyDescent="0.25">
      <c r="A35" s="38"/>
      <c r="B35" s="38"/>
      <c r="C35" s="38"/>
      <c r="D35" s="38"/>
      <c r="E35" s="38"/>
      <c r="F35" s="68" t="s">
        <v>77</v>
      </c>
      <c r="G35" s="67"/>
      <c r="H35" s="67"/>
      <c r="I35" s="68"/>
      <c r="J35" s="38"/>
      <c r="K35" s="47"/>
    </row>
    <row r="36" spans="1:11" ht="15" x14ac:dyDescent="0.25">
      <c r="A36" s="38"/>
      <c r="B36" s="36" t="s">
        <v>78</v>
      </c>
      <c r="C36" s="69" t="s">
        <v>79</v>
      </c>
      <c r="D36" s="69"/>
      <c r="E36" s="69"/>
      <c r="F36" s="36" t="s">
        <v>80</v>
      </c>
      <c r="G36" s="67"/>
      <c r="H36" s="67"/>
      <c r="I36" s="68"/>
      <c r="J36" s="38"/>
      <c r="K36" s="47"/>
    </row>
    <row r="37" spans="1:11" ht="15" x14ac:dyDescent="0.25">
      <c r="A37" s="38"/>
      <c r="B37" s="68" t="s">
        <v>81</v>
      </c>
      <c r="C37" s="38" t="s">
        <v>82</v>
      </c>
      <c r="D37" s="38"/>
      <c r="E37" s="38"/>
      <c r="F37" s="66">
        <v>22555834.213313218</v>
      </c>
      <c r="G37" s="70"/>
      <c r="H37" s="70"/>
      <c r="I37" s="71"/>
      <c r="J37" s="38"/>
      <c r="K37" s="47"/>
    </row>
    <row r="38" spans="1:11" ht="15" x14ac:dyDescent="0.25">
      <c r="A38" s="38"/>
      <c r="B38" s="68" t="s">
        <v>83</v>
      </c>
      <c r="C38" s="38" t="s">
        <v>84</v>
      </c>
      <c r="D38" s="38"/>
      <c r="E38" s="38"/>
      <c r="F38" s="71">
        <v>3169781.8930740254</v>
      </c>
      <c r="G38" s="72"/>
      <c r="H38" s="72"/>
      <c r="I38" s="71"/>
      <c r="J38" s="38"/>
      <c r="K38" s="47"/>
    </row>
    <row r="39" spans="1:11" ht="15" x14ac:dyDescent="0.25">
      <c r="A39" s="38"/>
      <c r="B39" s="68" t="s">
        <v>85</v>
      </c>
      <c r="C39" s="38" t="s">
        <v>86</v>
      </c>
      <c r="D39" s="38"/>
      <c r="E39" s="38"/>
      <c r="F39" s="71">
        <v>2754144.4613588825</v>
      </c>
      <c r="G39" s="72"/>
      <c r="H39" s="72"/>
      <c r="I39" s="71"/>
      <c r="J39" s="38"/>
      <c r="K39" s="47"/>
    </row>
    <row r="40" spans="1:11" ht="15" x14ac:dyDescent="0.25">
      <c r="A40" s="38"/>
      <c r="B40" s="68" t="s">
        <v>87</v>
      </c>
      <c r="C40" s="38" t="s">
        <v>88</v>
      </c>
      <c r="D40" s="38"/>
      <c r="E40" s="38"/>
      <c r="F40" s="71">
        <v>14610308.284408176</v>
      </c>
      <c r="G40" s="72"/>
      <c r="H40" s="72"/>
      <c r="I40" s="71"/>
      <c r="J40" s="38"/>
      <c r="K40" s="47"/>
    </row>
    <row r="41" spans="1:11" ht="15" x14ac:dyDescent="0.25">
      <c r="A41" s="38"/>
      <c r="B41" s="68" t="s">
        <v>89</v>
      </c>
      <c r="C41" s="38" t="s">
        <v>90</v>
      </c>
      <c r="D41" s="38"/>
      <c r="E41" s="38"/>
      <c r="F41" s="71">
        <v>1359392.5534076209</v>
      </c>
      <c r="G41" s="72"/>
      <c r="H41" s="72"/>
      <c r="I41" s="71"/>
      <c r="J41" s="38"/>
      <c r="K41" s="47"/>
    </row>
    <row r="42" spans="1:11" ht="15" x14ac:dyDescent="0.25">
      <c r="A42" s="38"/>
      <c r="B42" s="68" t="s">
        <v>91</v>
      </c>
      <c r="C42" s="38" t="s">
        <v>92</v>
      </c>
      <c r="D42" s="38"/>
      <c r="E42" s="38"/>
      <c r="F42" s="73">
        <v>1148209.1528985801</v>
      </c>
      <c r="G42" s="72"/>
      <c r="H42" s="72"/>
      <c r="I42" s="74"/>
      <c r="J42" s="38"/>
      <c r="K42" s="47"/>
    </row>
    <row r="43" spans="1:11" ht="15" x14ac:dyDescent="0.25">
      <c r="A43" s="38"/>
      <c r="B43" s="67"/>
      <c r="C43" s="38" t="s">
        <v>93</v>
      </c>
      <c r="D43" s="38"/>
      <c r="E43" s="38"/>
      <c r="F43" s="66">
        <f>SUM(F37:F42)</f>
        <v>45597670.558460504</v>
      </c>
      <c r="G43" s="72"/>
      <c r="H43" s="72"/>
      <c r="I43" s="66"/>
      <c r="J43" s="38"/>
      <c r="K43" s="47"/>
    </row>
    <row r="44" spans="1:11" ht="15" x14ac:dyDescent="0.25">
      <c r="A44" s="38"/>
      <c r="B44" s="38"/>
      <c r="C44" s="38"/>
      <c r="D44" s="38"/>
      <c r="E44" s="75"/>
      <c r="F44" s="64"/>
      <c r="G44" s="48"/>
      <c r="H44" s="48"/>
      <c r="I44" s="38"/>
      <c r="J44" s="38"/>
      <c r="K44" s="47"/>
    </row>
    <row r="45" spans="1:11" ht="15" x14ac:dyDescent="0.25">
      <c r="A45" s="38"/>
      <c r="B45" s="38"/>
      <c r="C45" s="38"/>
      <c r="D45" s="38"/>
      <c r="E45" s="38"/>
      <c r="F45" s="38"/>
      <c r="G45" s="48"/>
      <c r="H45" s="48"/>
      <c r="I45" s="38"/>
      <c r="J45" s="38"/>
      <c r="K45" s="47"/>
    </row>
    <row r="46" spans="1:11" ht="15" x14ac:dyDescent="0.25">
      <c r="A46" s="38" t="s">
        <v>94</v>
      </c>
      <c r="B46" s="65" t="str">
        <f>"Billing expense 12 months ended"&amp;F35</f>
        <v>Billing expense 12 months ended Dec 2025</v>
      </c>
      <c r="C46" s="38"/>
      <c r="D46" s="38"/>
      <c r="E46" s="38"/>
      <c r="F46" s="68"/>
      <c r="G46" s="48"/>
      <c r="H46" s="48"/>
      <c r="I46" s="38"/>
      <c r="J46" s="38"/>
      <c r="K46" s="47"/>
    </row>
    <row r="47" spans="1:11" ht="15" x14ac:dyDescent="0.25">
      <c r="A47" s="38"/>
      <c r="B47" s="38"/>
      <c r="C47" s="38"/>
      <c r="D47" s="38"/>
      <c r="E47" s="68"/>
      <c r="F47" s="68" t="str">
        <f>F35</f>
        <v xml:space="preserve"> Dec 2025</v>
      </c>
      <c r="G47" s="72"/>
      <c r="H47" s="72"/>
      <c r="I47" s="68"/>
      <c r="J47" s="38"/>
      <c r="K47" s="47"/>
    </row>
    <row r="48" spans="1:11" ht="15.6" x14ac:dyDescent="0.3">
      <c r="A48" s="38"/>
      <c r="B48" s="76" t="s">
        <v>78</v>
      </c>
      <c r="C48" s="77" t="s">
        <v>95</v>
      </c>
      <c r="D48" s="38"/>
      <c r="E48" s="68"/>
      <c r="F48" s="36" t="s">
        <v>96</v>
      </c>
      <c r="G48" s="72"/>
      <c r="H48" s="72"/>
      <c r="I48" s="68"/>
      <c r="J48" s="38"/>
      <c r="K48" s="47"/>
    </row>
    <row r="49" spans="1:12" ht="15" x14ac:dyDescent="0.25">
      <c r="A49" s="38"/>
      <c r="B49" s="68" t="s">
        <v>97</v>
      </c>
      <c r="C49" s="38" t="s">
        <v>98</v>
      </c>
      <c r="D49" s="38"/>
      <c r="E49" s="67"/>
      <c r="F49" s="66">
        <v>897211.26126671885</v>
      </c>
      <c r="G49" s="72"/>
      <c r="H49" s="72"/>
      <c r="I49" s="38"/>
      <c r="J49" s="38"/>
      <c r="K49" s="47"/>
    </row>
    <row r="50" spans="1:12" ht="15" x14ac:dyDescent="0.25">
      <c r="A50" s="38"/>
      <c r="B50" s="68" t="s">
        <v>99</v>
      </c>
      <c r="C50" s="38" t="s">
        <v>100</v>
      </c>
      <c r="D50" s="38"/>
      <c r="E50" s="67"/>
      <c r="F50" s="71">
        <v>1643372.8720880582</v>
      </c>
      <c r="G50" s="72"/>
      <c r="H50" s="72"/>
      <c r="I50" s="71"/>
      <c r="J50" s="71"/>
      <c r="K50" s="47"/>
      <c r="L50" s="78"/>
    </row>
    <row r="51" spans="1:12" ht="15" x14ac:dyDescent="0.25">
      <c r="A51" s="38"/>
      <c r="B51" s="74" t="s">
        <v>101</v>
      </c>
      <c r="C51" s="71" t="s">
        <v>102</v>
      </c>
      <c r="D51" s="38"/>
      <c r="E51" s="67"/>
      <c r="F51" s="71">
        <v>16037620.294650892</v>
      </c>
      <c r="G51" s="72"/>
      <c r="H51" s="72"/>
      <c r="I51" s="71"/>
      <c r="J51" s="71"/>
      <c r="K51" s="47"/>
    </row>
    <row r="52" spans="1:12" ht="15" x14ac:dyDescent="0.25">
      <c r="A52" s="38"/>
      <c r="B52" s="74" t="s">
        <v>103</v>
      </c>
      <c r="C52" s="71" t="s">
        <v>104</v>
      </c>
      <c r="D52" s="38"/>
      <c r="E52" s="67"/>
      <c r="F52" s="71">
        <v>1019766.4885245363</v>
      </c>
      <c r="G52" s="72"/>
      <c r="H52" s="72"/>
      <c r="I52" s="71"/>
      <c r="J52" s="71"/>
      <c r="K52" s="47"/>
    </row>
    <row r="53" spans="1:12" ht="15" x14ac:dyDescent="0.25">
      <c r="A53" s="38"/>
      <c r="B53" s="74" t="s">
        <v>105</v>
      </c>
      <c r="C53" s="71" t="s">
        <v>106</v>
      </c>
      <c r="D53" s="38"/>
      <c r="E53" s="67"/>
      <c r="F53" s="73">
        <v>0</v>
      </c>
      <c r="G53" s="72"/>
      <c r="H53" s="72"/>
      <c r="I53" s="71"/>
      <c r="J53" s="71"/>
      <c r="K53" s="47"/>
    </row>
    <row r="54" spans="1:12" ht="15" x14ac:dyDescent="0.25">
      <c r="A54" s="38"/>
      <c r="B54" s="71"/>
      <c r="C54" s="71" t="s">
        <v>107</v>
      </c>
      <c r="D54" s="38"/>
      <c r="E54" s="38"/>
      <c r="F54" s="66">
        <f>SUM(F49:F53)</f>
        <v>19597970.916530207</v>
      </c>
      <c r="G54" s="67"/>
      <c r="H54" s="67"/>
      <c r="I54" s="66"/>
      <c r="J54" s="79"/>
      <c r="K54" s="47"/>
    </row>
    <row r="55" spans="1:12" ht="15" x14ac:dyDescent="0.25">
      <c r="A55" s="38"/>
      <c r="G55" s="67"/>
      <c r="H55" s="67"/>
      <c r="I55" s="66"/>
      <c r="J55" s="79"/>
      <c r="K55" s="47"/>
    </row>
    <row r="56" spans="1:12" ht="15" x14ac:dyDescent="0.25">
      <c r="A56" s="38"/>
      <c r="B56" s="48" t="s">
        <v>108</v>
      </c>
      <c r="C56" s="38"/>
      <c r="D56" s="38"/>
      <c r="E56" s="38"/>
      <c r="F56" s="80">
        <v>300</v>
      </c>
      <c r="G56" s="81"/>
      <c r="H56" s="81"/>
      <c r="I56" s="66"/>
      <c r="J56" s="38"/>
      <c r="K56" s="47"/>
    </row>
    <row r="57" spans="1:12" ht="15" x14ac:dyDescent="0.25">
      <c r="A57" s="38"/>
      <c r="B57" s="65" t="str">
        <f>"Cost per dial meter:  Total costs of "&amp;DOLLAR(F54,0)&amp;" divided by total meters."</f>
        <v>Cost per dial meter:  Total costs of $19,597,971 divided by total meters.</v>
      </c>
      <c r="C57" s="38"/>
      <c r="D57" s="38"/>
      <c r="E57" s="38"/>
      <c r="F57" s="80">
        <v>3.6474308382594835E-2</v>
      </c>
      <c r="G57" s="82"/>
      <c r="H57" s="82"/>
      <c r="I57" s="66"/>
      <c r="J57" s="38"/>
      <c r="K57" s="47"/>
    </row>
    <row r="58" spans="1:12" ht="15" x14ac:dyDescent="0.25">
      <c r="A58" s="38"/>
      <c r="B58" s="42" t="s">
        <v>109</v>
      </c>
      <c r="C58" s="48" t="s">
        <v>110</v>
      </c>
      <c r="D58" s="83">
        <v>537308911</v>
      </c>
      <c r="F58" s="84"/>
      <c r="G58" s="38"/>
      <c r="H58" s="38"/>
      <c r="I58" s="38"/>
      <c r="J58" s="38"/>
      <c r="K58" s="47"/>
    </row>
    <row r="59" spans="1:12" ht="15" x14ac:dyDescent="0.25">
      <c r="A59" s="38"/>
      <c r="B59" s="85" t="s">
        <v>111</v>
      </c>
      <c r="C59" s="48" t="s">
        <v>112</v>
      </c>
      <c r="D59" s="86">
        <v>7675450</v>
      </c>
      <c r="E59" s="84"/>
      <c r="F59" s="84"/>
      <c r="J59" s="38"/>
      <c r="K59" s="47"/>
    </row>
    <row r="60" spans="1:12" ht="15" x14ac:dyDescent="0.25">
      <c r="A60" s="38"/>
      <c r="B60" s="85" t="s">
        <v>113</v>
      </c>
      <c r="C60" s="48" t="s">
        <v>114</v>
      </c>
      <c r="D60" s="83">
        <f>SUM(D58:D59)</f>
        <v>544984361</v>
      </c>
      <c r="K60" s="47"/>
    </row>
    <row r="61" spans="1:12" ht="15" x14ac:dyDescent="0.25">
      <c r="A61" s="38"/>
      <c r="B61" s="38"/>
      <c r="C61" s="38"/>
      <c r="D61" s="87"/>
      <c r="E61" s="36" t="s">
        <v>128</v>
      </c>
      <c r="F61" s="36" t="s">
        <v>129</v>
      </c>
      <c r="G61" s="36" t="s">
        <v>130</v>
      </c>
      <c r="H61" s="36" t="s">
        <v>131</v>
      </c>
      <c r="I61" s="36"/>
    </row>
    <row r="62" spans="1:12" ht="15" x14ac:dyDescent="0.25">
      <c r="A62" s="38"/>
      <c r="B62" s="38" t="s">
        <v>115</v>
      </c>
      <c r="C62" s="38"/>
      <c r="D62" s="38"/>
      <c r="E62" s="37">
        <v>0.99999899999999997</v>
      </c>
      <c r="F62" s="37">
        <v>0.99234900000000004</v>
      </c>
      <c r="G62" s="37">
        <v>0.67547200000000007</v>
      </c>
      <c r="H62" s="37">
        <v>0.10443000000000002</v>
      </c>
      <c r="I62" s="37"/>
    </row>
    <row r="63" spans="1:12" ht="15" x14ac:dyDescent="0.25">
      <c r="A63" s="38"/>
      <c r="B63" s="38" t="s">
        <v>116</v>
      </c>
      <c r="C63" s="38"/>
      <c r="D63" s="38"/>
      <c r="E63" s="37">
        <v>9.9999999999999995E-7</v>
      </c>
      <c r="F63" s="37">
        <v>7.6509999999999998E-3</v>
      </c>
      <c r="G63" s="37">
        <v>0.32452799999999998</v>
      </c>
      <c r="H63" s="37">
        <v>0.89556999999999998</v>
      </c>
      <c r="I63" s="37"/>
    </row>
    <row r="64" spans="1:12" ht="15" x14ac:dyDescent="0.25">
      <c r="A64" s="38"/>
      <c r="B64" s="38"/>
      <c r="C64" s="38"/>
      <c r="D64" s="38"/>
      <c r="E64" s="38"/>
      <c r="F64" s="38"/>
      <c r="G64" s="38"/>
      <c r="H64" s="38"/>
      <c r="I64" s="38"/>
    </row>
    <row r="65" spans="1:11" ht="15" x14ac:dyDescent="0.25">
      <c r="A65" s="38"/>
      <c r="B65" s="38" t="s">
        <v>117</v>
      </c>
      <c r="C65" s="38"/>
      <c r="D65" s="38"/>
      <c r="E65" s="39">
        <v>0.04</v>
      </c>
      <c r="F65" s="39">
        <v>2.33</v>
      </c>
      <c r="G65" s="39">
        <v>97.38</v>
      </c>
      <c r="H65" s="39">
        <v>268.67</v>
      </c>
      <c r="I65" s="39"/>
    </row>
    <row r="66" spans="1:11" ht="15" x14ac:dyDescent="0.25">
      <c r="A66" s="38"/>
      <c r="B66" s="67"/>
      <c r="C66" s="67"/>
      <c r="D66" s="67"/>
      <c r="E66" s="67"/>
      <c r="F66" s="38"/>
      <c r="G66" s="38"/>
      <c r="H66" s="38"/>
      <c r="I66" s="38"/>
      <c r="K66" s="47"/>
    </row>
    <row r="67" spans="1:11" ht="15" x14ac:dyDescent="0.25">
      <c r="A67" s="38"/>
      <c r="B67" s="38" t="s">
        <v>118</v>
      </c>
      <c r="C67" s="38"/>
      <c r="G67" s="80">
        <f>ROUND(F56-F57,0)</f>
        <v>300</v>
      </c>
      <c r="H67" s="80"/>
      <c r="J67" s="38"/>
      <c r="K67" s="47"/>
    </row>
    <row r="68" spans="1:11" ht="15" x14ac:dyDescent="0.25">
      <c r="A68" s="38"/>
      <c r="B68" s="38" t="s">
        <v>119</v>
      </c>
      <c r="C68" s="38"/>
      <c r="G68" s="80">
        <f>ROUND(G67/12,-1)</f>
        <v>30</v>
      </c>
      <c r="H68" s="80"/>
      <c r="J68" s="38"/>
      <c r="K68" s="47"/>
    </row>
    <row r="69" spans="1:11" ht="15" x14ac:dyDescent="0.25">
      <c r="A69" s="38"/>
      <c r="B69" s="38"/>
      <c r="C69" s="38"/>
      <c r="D69" s="38"/>
      <c r="E69" s="38"/>
      <c r="F69" s="38"/>
      <c r="G69" s="38"/>
      <c r="H69" s="38"/>
      <c r="I69" s="38"/>
      <c r="K69" s="47"/>
    </row>
    <row r="70" spans="1:11" ht="15" x14ac:dyDescent="0.25">
      <c r="A70" s="38" t="s">
        <v>120</v>
      </c>
      <c r="B70" s="38" t="s">
        <v>121</v>
      </c>
      <c r="C70" s="38"/>
      <c r="D70" s="38"/>
      <c r="E70" s="88">
        <f>'EGU 5.08p1'!G56</f>
        <v>6.8320000000000004E-3</v>
      </c>
      <c r="F70" s="38"/>
      <c r="G70" s="38"/>
      <c r="H70" s="38"/>
      <c r="I70" s="38"/>
      <c r="K70" s="47"/>
    </row>
    <row r="71" spans="1:11" ht="15" x14ac:dyDescent="0.25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47"/>
    </row>
    <row r="72" spans="1:11" ht="15" x14ac:dyDescent="0.25">
      <c r="A72" s="38" t="s">
        <v>122</v>
      </c>
      <c r="B72" s="48" t="str">
        <f>"Lines 1, 2, and 3 times respective depreciation rate."</f>
        <v>Lines 1, 2, and 3 times respective depreciation rate.</v>
      </c>
      <c r="C72" s="38"/>
      <c r="D72" s="38"/>
      <c r="E72" s="38"/>
      <c r="F72" s="38"/>
      <c r="G72" s="38"/>
      <c r="H72" s="38"/>
      <c r="I72" s="38"/>
      <c r="J72" s="38"/>
      <c r="K72" s="47"/>
    </row>
    <row r="73" spans="1:11" ht="15" x14ac:dyDescent="0.25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47"/>
    </row>
    <row r="74" spans="1:11" ht="15" x14ac:dyDescent="0.25">
      <c r="A74" s="38" t="s">
        <v>123</v>
      </c>
      <c r="B74" s="48" t="s">
        <v>124</v>
      </c>
      <c r="C74" s="38"/>
      <c r="D74" s="38"/>
      <c r="E74" s="38"/>
      <c r="F74" s="38"/>
      <c r="G74" s="38"/>
      <c r="H74" s="38"/>
      <c r="I74" s="38"/>
      <c r="J74" s="38"/>
      <c r="K74" s="47"/>
    </row>
    <row r="75" spans="1:11" ht="15" x14ac:dyDescent="0.25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47"/>
    </row>
    <row r="76" spans="1:11" ht="15" x14ac:dyDescent="0.25">
      <c r="A76" s="38" t="s">
        <v>125</v>
      </c>
      <c r="B76" s="38" t="s">
        <v>126</v>
      </c>
      <c r="C76" s="38"/>
      <c r="D76" s="38"/>
      <c r="E76" s="38"/>
      <c r="F76" s="38"/>
      <c r="I76" s="38"/>
      <c r="J76" s="38"/>
      <c r="K76" s="47"/>
    </row>
    <row r="77" spans="1:11" ht="15" x14ac:dyDescent="0.25">
      <c r="A77" s="38"/>
      <c r="B77" s="38"/>
      <c r="C77" s="38"/>
      <c r="D77" s="38"/>
      <c r="E77" s="38"/>
      <c r="F77" s="38"/>
      <c r="I77" s="38"/>
      <c r="J77" s="38"/>
      <c r="K77" s="47"/>
    </row>
    <row r="78" spans="1:11" ht="15" x14ac:dyDescent="0.25">
      <c r="A78" s="38"/>
      <c r="B78" s="38"/>
      <c r="C78" s="38"/>
      <c r="J78" s="38"/>
      <c r="K78" s="47"/>
    </row>
    <row r="79" spans="1:11" ht="15" x14ac:dyDescent="0.25">
      <c r="J79" s="38"/>
      <c r="K79" s="47"/>
    </row>
    <row r="80" spans="1:11" ht="15" x14ac:dyDescent="0.25">
      <c r="J80" s="71"/>
      <c r="K80" s="47"/>
    </row>
    <row r="81" spans="1:11" ht="15" x14ac:dyDescent="0.25">
      <c r="J81" s="71"/>
      <c r="K81" s="47"/>
    </row>
    <row r="82" spans="1:11" ht="15" x14ac:dyDescent="0.25">
      <c r="J82" s="71"/>
      <c r="K82" s="47"/>
    </row>
    <row r="83" spans="1:11" ht="15" x14ac:dyDescent="0.25">
      <c r="J83" s="71"/>
      <c r="K83" s="47"/>
    </row>
    <row r="84" spans="1:11" ht="15" x14ac:dyDescent="0.25">
      <c r="J84" s="71"/>
      <c r="K84" s="47"/>
    </row>
    <row r="85" spans="1:11" ht="15" x14ac:dyDescent="0.25">
      <c r="J85" s="71"/>
      <c r="K85" s="47"/>
    </row>
    <row r="86" spans="1:11" ht="15" x14ac:dyDescent="0.25">
      <c r="J86" s="38"/>
      <c r="K86" s="47"/>
    </row>
    <row r="87" spans="1:11" x14ac:dyDescent="0.25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</row>
    <row r="88" spans="1:11" x14ac:dyDescent="0.25">
      <c r="A88" s="47"/>
      <c r="B88" s="47"/>
      <c r="C88" s="47"/>
      <c r="D88" s="47"/>
      <c r="E88" s="47"/>
      <c r="F88" s="89"/>
      <c r="G88" s="47"/>
      <c r="H88" s="47"/>
      <c r="I88" s="47"/>
      <c r="J88" s="47"/>
      <c r="K88" s="47"/>
    </row>
    <row r="89" spans="1:11" x14ac:dyDescent="0.25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</row>
    <row r="90" spans="1:11" x14ac:dyDescent="0.25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</row>
    <row r="91" spans="1:11" x14ac:dyDescent="0.25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</row>
    <row r="92" spans="1:11" x14ac:dyDescent="0.25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</row>
    <row r="93" spans="1:11" x14ac:dyDescent="0.25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</row>
    <row r="94" spans="1:11" x14ac:dyDescent="0.25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</row>
    <row r="95" spans="1:11" x14ac:dyDescent="0.25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</row>
    <row r="96" spans="1:11" x14ac:dyDescent="0.25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</row>
    <row r="97" spans="1:11" x14ac:dyDescent="0.25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</row>
    <row r="98" spans="1:11" x14ac:dyDescent="0.25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</row>
    <row r="99" spans="1:11" x14ac:dyDescent="0.25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</row>
    <row r="100" spans="1:11" x14ac:dyDescent="0.25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</row>
    <row r="102" spans="1:11" ht="15" x14ac:dyDescent="0.25">
      <c r="A102" s="47"/>
      <c r="B102" s="47"/>
      <c r="C102" s="38"/>
      <c r="D102" s="38"/>
      <c r="E102" s="38"/>
      <c r="F102" s="38"/>
      <c r="G102" s="38"/>
      <c r="H102" s="38"/>
      <c r="I102" s="38"/>
      <c r="J102" s="38"/>
      <c r="K102" s="38"/>
    </row>
    <row r="103" spans="1:11" ht="15" x14ac:dyDescent="0.25">
      <c r="A103" s="47"/>
      <c r="B103" s="47"/>
      <c r="C103" s="38"/>
      <c r="D103" s="38"/>
      <c r="E103" s="38"/>
      <c r="F103" s="38"/>
      <c r="G103" s="38"/>
      <c r="H103" s="38"/>
      <c r="I103" s="38"/>
      <c r="J103" s="38"/>
      <c r="K103" s="38"/>
    </row>
    <row r="104" spans="1:11" ht="15" x14ac:dyDescent="0.25">
      <c r="A104" s="47"/>
      <c r="B104" s="47"/>
      <c r="C104" s="38"/>
      <c r="D104" s="38"/>
      <c r="E104" s="38"/>
      <c r="F104" s="38"/>
      <c r="G104" s="38"/>
      <c r="H104" s="38"/>
      <c r="I104" s="38"/>
      <c r="J104" s="38"/>
      <c r="K104" s="38"/>
    </row>
    <row r="105" spans="1:11" ht="15" x14ac:dyDescent="0.25">
      <c r="A105" s="47"/>
      <c r="B105" s="47"/>
      <c r="C105" s="38"/>
      <c r="D105" s="38"/>
      <c r="E105" s="38"/>
      <c r="F105" s="38"/>
      <c r="G105" s="38"/>
      <c r="H105" s="38"/>
      <c r="I105" s="38"/>
      <c r="J105" s="38"/>
      <c r="K105" s="38"/>
    </row>
    <row r="106" spans="1:11" ht="15" x14ac:dyDescent="0.25">
      <c r="A106" s="47"/>
      <c r="B106" s="47"/>
      <c r="C106" s="38"/>
      <c r="D106" s="38"/>
      <c r="E106" s="38"/>
      <c r="F106" s="38"/>
      <c r="G106" s="38"/>
      <c r="H106" s="38"/>
      <c r="I106" s="38"/>
      <c r="J106" s="38"/>
      <c r="K106" s="38"/>
    </row>
  </sheetData>
  <pageMargins left="0.52" right="0.25" top="0.32" bottom="0.28000000000000003" header="0.46" footer="0.23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EGU 5.08p1</vt:lpstr>
      <vt:lpstr>EGU 5.08p2</vt:lpstr>
      <vt:lpstr>'EGU 5.08p1'!Print_Area</vt:lpstr>
      <vt:lpstr>'EGU 5.08p2'!Print_Area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L Ipson (Enbridge UWI - 5)</dc:creator>
  <cp:lastModifiedBy>Ginger Johnson (Enbridge UWI - 5)</cp:lastModifiedBy>
  <cp:lastPrinted>2025-04-17T21:14:41Z</cp:lastPrinted>
  <dcterms:created xsi:type="dcterms:W3CDTF">2025-04-17T21:13:20Z</dcterms:created>
  <dcterms:modified xsi:type="dcterms:W3CDTF">2025-04-30T02:02:25Z</dcterms:modified>
</cp:coreProperties>
</file>