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8_{800F1D3B-3F52-4829-A8C8-69D4291A9C6D}" xr6:coauthVersionLast="47" xr6:coauthVersionMax="47" xr10:uidLastSave="{00000000-0000-0000-0000-000000000000}"/>
  <bookViews>
    <workbookView xWindow="480" yWindow="60" windowWidth="22725" windowHeight="20790" xr2:uid="{00000000-000D-0000-FFFF-FFFF00000000}"/>
  </bookViews>
  <sheets>
    <sheet name="ANGC Revised EGU 5.08p1" sheetId="1" r:id="rId1"/>
    <sheet name="EGU 5.08p2" sheetId="2" r:id="rId2"/>
  </sheets>
  <externalReferences>
    <externalReference r:id="rId3"/>
  </externalReferences>
  <definedNames>
    <definedName name="\P">#REF!</definedName>
    <definedName name="_xlnm.Database">#REF!</definedName>
    <definedName name="DataBase1">#REF!</definedName>
    <definedName name="DataBase2">#REF!</definedName>
    <definedName name="DataBase3">#REF!</definedName>
    <definedName name="Main">#REF!</definedName>
    <definedName name="MeterAndReg">#REF!</definedName>
    <definedName name="mtrpercent">#REF!</definedName>
    <definedName name="nominal">#REF!</definedName>
    <definedName name="PAGE1">#REF!</definedName>
    <definedName name="PAGE2">#REF!</definedName>
    <definedName name="_xlnm.Print_Area" localSheetId="0">'ANGC Revised EGU 5.08p1'!$A$1:$K$55</definedName>
    <definedName name="_xlnm.Print_Area" localSheetId="1">'EGU 5.08p2'!$A$1:$L$78</definedName>
    <definedName name="PRINT_AREA_MI">#REF!</definedName>
    <definedName name="range">'[1]COS Alloc Factors'!$C$11:$N$88</definedName>
    <definedName name="Service">#REF!</definedName>
    <definedName name="serviceHP">#REF!</definedName>
    <definedName name="SPIDTABLE">#REF!</definedName>
    <definedName name="spidtable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F117" i="2"/>
  <c r="O112" i="2"/>
  <c r="N112" i="2"/>
  <c r="M112" i="2"/>
  <c r="L112" i="2"/>
  <c r="K112" i="2"/>
  <c r="A112" i="2" s="1"/>
  <c r="J112" i="2"/>
  <c r="I112" i="2"/>
  <c r="H112" i="2"/>
  <c r="F112" i="2"/>
  <c r="P111" i="2"/>
  <c r="R111" i="2" s="1"/>
  <c r="A111" i="2"/>
  <c r="P110" i="2"/>
  <c r="R110" i="2" s="1"/>
  <c r="A110" i="2"/>
  <c r="P109" i="2"/>
  <c r="R109" i="2" s="1"/>
  <c r="A109" i="2"/>
  <c r="P108" i="2"/>
  <c r="R108" i="2" s="1"/>
  <c r="A108" i="2"/>
  <c r="P107" i="2"/>
  <c r="R107" i="2" s="1"/>
  <c r="A107" i="2"/>
  <c r="P106" i="2"/>
  <c r="R106" i="2" s="1"/>
  <c r="A106" i="2"/>
  <c r="R105" i="2"/>
  <c r="P105" i="2"/>
  <c r="A105" i="2"/>
  <c r="P104" i="2"/>
  <c r="R104" i="2" s="1"/>
  <c r="A104" i="2"/>
  <c r="P103" i="2"/>
  <c r="R103" i="2" s="1"/>
  <c r="A103" i="2"/>
  <c r="R102" i="2"/>
  <c r="P102" i="2"/>
  <c r="A102" i="2"/>
  <c r="P101" i="2"/>
  <c r="R101" i="2" s="1"/>
  <c r="A101" i="2"/>
  <c r="P100" i="2"/>
  <c r="P112" i="2" s="1"/>
  <c r="A100" i="2"/>
  <c r="O96" i="2"/>
  <c r="N96" i="2"/>
  <c r="M96" i="2"/>
  <c r="L96" i="2"/>
  <c r="K96" i="2"/>
  <c r="J96" i="2"/>
  <c r="I96" i="2"/>
  <c r="F96" i="2"/>
  <c r="F97" i="2" s="1"/>
  <c r="A96" i="2"/>
  <c r="O95" i="2"/>
  <c r="N95" i="2"/>
  <c r="M95" i="2"/>
  <c r="L95" i="2"/>
  <c r="K95" i="2"/>
  <c r="J95" i="2"/>
  <c r="I95" i="2"/>
  <c r="H95" i="2"/>
  <c r="F95" i="2"/>
  <c r="O93" i="2"/>
  <c r="N93" i="2"/>
  <c r="M93" i="2"/>
  <c r="L93" i="2"/>
  <c r="K93" i="2"/>
  <c r="J93" i="2"/>
  <c r="I93" i="2"/>
  <c r="F93" i="2"/>
  <c r="R93" i="2" s="1"/>
  <c r="A93" i="2"/>
  <c r="R92" i="2"/>
  <c r="P92" i="2"/>
  <c r="A92" i="2"/>
  <c r="P91" i="2"/>
  <c r="R91" i="2" s="1"/>
  <c r="A91" i="2"/>
  <c r="P90" i="2"/>
  <c r="R90" i="2" s="1"/>
  <c r="A90" i="2"/>
  <c r="R89" i="2"/>
  <c r="A89" i="2"/>
  <c r="P88" i="2"/>
  <c r="P96" i="2" s="1"/>
  <c r="A88" i="2"/>
  <c r="P86" i="2"/>
  <c r="R86" i="2" s="1"/>
  <c r="A86" i="2"/>
  <c r="S85" i="2"/>
  <c r="P85" i="2"/>
  <c r="R85" i="2" s="1"/>
  <c r="A85" i="2"/>
  <c r="A95" i="2" s="1"/>
  <c r="P84" i="2"/>
  <c r="P93" i="2" s="1"/>
  <c r="A84" i="2"/>
  <c r="S83" i="2"/>
  <c r="P83" i="2"/>
  <c r="R83" i="2" s="1"/>
  <c r="A83" i="2"/>
  <c r="B72" i="2"/>
  <c r="E70" i="2"/>
  <c r="H67" i="2"/>
  <c r="I68" i="2" s="1"/>
  <c r="D60" i="2"/>
  <c r="B57" i="2"/>
  <c r="F54" i="2"/>
  <c r="F47" i="2"/>
  <c r="B46" i="2"/>
  <c r="F43" i="2"/>
  <c r="B33" i="2"/>
  <c r="F32" i="2"/>
  <c r="H29" i="2"/>
  <c r="F29" i="2"/>
  <c r="L28" i="2"/>
  <c r="H19" i="2"/>
  <c r="F19" i="2"/>
  <c r="I18" i="2"/>
  <c r="J18" i="2" s="1"/>
  <c r="I17" i="2"/>
  <c r="I19" i="2" s="1"/>
  <c r="J19" i="2" s="1"/>
  <c r="D17" i="2"/>
  <c r="D18" i="2" s="1"/>
  <c r="J16" i="2"/>
  <c r="I23" i="1" s="1"/>
  <c r="A49" i="1"/>
  <c r="A50" i="1" s="1"/>
  <c r="A51" i="1" s="1"/>
  <c r="A52" i="1" s="1"/>
  <c r="A53" i="1" s="1"/>
  <c r="A54" i="1" s="1"/>
  <c r="A55" i="1" s="1"/>
  <c r="K43" i="1"/>
  <c r="I43" i="1"/>
  <c r="G43" i="1"/>
  <c r="E43" i="1"/>
  <c r="M39" i="1"/>
  <c r="K34" i="1"/>
  <c r="I34" i="1"/>
  <c r="G34" i="1"/>
  <c r="E34" i="1"/>
  <c r="C34" i="1"/>
  <c r="K32" i="1"/>
  <c r="I32" i="1"/>
  <c r="G32" i="1"/>
  <c r="E32" i="1"/>
  <c r="K23" i="1"/>
  <c r="E23" i="1"/>
  <c r="K20" i="1"/>
  <c r="I20" i="1"/>
  <c r="G20" i="1"/>
  <c r="E20" i="1"/>
  <c r="A18" i="1"/>
  <c r="A19" i="1" s="1"/>
  <c r="A20" i="1" s="1"/>
  <c r="A23" i="1" s="1"/>
  <c r="A24" i="1" s="1"/>
  <c r="A25" i="1" s="1"/>
  <c r="A26" i="1" s="1"/>
  <c r="A29" i="1" s="1"/>
  <c r="A30" i="1" s="1"/>
  <c r="A31" i="1" s="1"/>
  <c r="A32" i="1" s="1"/>
  <c r="A33" i="1" s="1"/>
  <c r="A34" i="1" s="1"/>
  <c r="A35" i="1" s="1"/>
  <c r="G25" i="1" l="1"/>
  <c r="K25" i="1"/>
  <c r="I25" i="1"/>
  <c r="E25" i="1"/>
  <c r="R112" i="2"/>
  <c r="G23" i="1"/>
  <c r="P95" i="2"/>
  <c r="R95" i="2" s="1"/>
  <c r="R84" i="2"/>
  <c r="R88" i="2"/>
  <c r="R96" i="2"/>
  <c r="H68" i="2"/>
  <c r="J17" i="2"/>
  <c r="F114" i="2"/>
  <c r="F115" i="2" s="1"/>
  <c r="R100" i="2"/>
  <c r="G24" i="1" l="1"/>
  <c r="G26" i="1" s="1"/>
  <c r="K24" i="1"/>
  <c r="K26" i="1" s="1"/>
  <c r="I24" i="1"/>
  <c r="I26" i="1" s="1"/>
  <c r="E24" i="1"/>
  <c r="E26" i="1" s="1"/>
  <c r="G29" i="1" l="1"/>
  <c r="G33" i="1"/>
  <c r="G30" i="1"/>
  <c r="I33" i="1"/>
  <c r="I29" i="1"/>
  <c r="I30" i="1"/>
  <c r="E33" i="1"/>
  <c r="E30" i="1"/>
  <c r="E29" i="1"/>
  <c r="E35" i="1" s="1"/>
  <c r="K33" i="1"/>
  <c r="K30" i="1"/>
  <c r="K29" i="1"/>
  <c r="K35" i="1" s="1"/>
  <c r="K37" i="1"/>
  <c r="K38" i="1" s="1"/>
  <c r="K45" i="1"/>
  <c r="E37" i="1" l="1"/>
  <c r="E38" i="1" s="1"/>
  <c r="E45" i="1"/>
  <c r="I35" i="1"/>
  <c r="I37" i="1" s="1"/>
  <c r="G35" i="1"/>
  <c r="G37" i="1" l="1"/>
  <c r="G38" i="1" s="1"/>
  <c r="G45" i="1"/>
  <c r="I45" i="1"/>
  <c r="I38" i="1"/>
  <c r="H96" i="2"/>
  <c r="H89" i="2"/>
  <c r="H93" i="2"/>
</calcChain>
</file>

<file path=xl/sharedStrings.xml><?xml version="1.0" encoding="utf-8"?>
<sst xmlns="http://schemas.openxmlformats.org/spreadsheetml/2006/main" count="216" uniqueCount="184">
  <si>
    <t>Enbridge Gas Utah</t>
  </si>
  <si>
    <t>Updated for 2024 Distribution Plant Study</t>
  </si>
  <si>
    <t>(A)</t>
  </si>
  <si>
    <t>(B)</t>
  </si>
  <si>
    <t>(C)</t>
  </si>
  <si>
    <t>(D)</t>
  </si>
  <si>
    <t>(E)</t>
  </si>
  <si>
    <t>(F)</t>
  </si>
  <si>
    <t>METER CATEGORY</t>
  </si>
  <si>
    <t>Gross Average Investment</t>
  </si>
  <si>
    <t>% of Plant</t>
  </si>
  <si>
    <t>Service Lines</t>
  </si>
  <si>
    <t>Mains</t>
  </si>
  <si>
    <t>Meters &amp; Regulators</t>
  </si>
  <si>
    <t xml:space="preserve">     Average Gross Investment</t>
  </si>
  <si>
    <t>Net Average Investment</t>
  </si>
  <si>
    <t xml:space="preserve">     Average Net Investment</t>
  </si>
  <si>
    <t>Basic Service Fee Costs</t>
  </si>
  <si>
    <t>Return on Net Investment</t>
  </si>
  <si>
    <t>Grossed Up Income Tax</t>
  </si>
  <si>
    <t>O&amp;M: Based on Gross Plant</t>
  </si>
  <si>
    <t>Weighted Avg Billing Cost/Meter</t>
  </si>
  <si>
    <t>Property Tax on Net Investment</t>
  </si>
  <si>
    <t>0 - 899</t>
  </si>
  <si>
    <t>900 - 6,999</t>
  </si>
  <si>
    <t>7,000 - 23,999</t>
  </si>
  <si>
    <t>Total Meters</t>
  </si>
  <si>
    <t>Cost of Capital and Tax Rates</t>
  </si>
  <si>
    <t>Overall Cost of Capital</t>
  </si>
  <si>
    <t>Weighted Equity Cost</t>
  </si>
  <si>
    <t>Income Tax Rate</t>
  </si>
  <si>
    <t>Property Tax Rate</t>
  </si>
  <si>
    <t>O&amp;M per Gross Investment Factor</t>
  </si>
  <si>
    <t>Service Lines Depr.</t>
  </si>
  <si>
    <t>Mains Depr.</t>
  </si>
  <si>
    <t>Meters &amp; Regulators Depr.</t>
  </si>
  <si>
    <t>Page 2 of 2</t>
  </si>
  <si>
    <t xml:space="preserve">Explanation of Utah Basic Service Fee </t>
  </si>
  <si>
    <t>EGU Dec. 2024 plant investment &amp; reserve schedules and Dec. 2025 forecasted O &amp; M:</t>
  </si>
  <si>
    <t>Utah Gross</t>
  </si>
  <si>
    <t>Utah Accum</t>
  </si>
  <si>
    <t>Utah Net</t>
  </si>
  <si>
    <t>% Net Inv.</t>
  </si>
  <si>
    <t>2024 Utah Investment</t>
  </si>
  <si>
    <t>Investment</t>
  </si>
  <si>
    <t>Depreciation</t>
  </si>
  <si>
    <t>of Gross</t>
  </si>
  <si>
    <t>Service Lines (Acct. 380)</t>
  </si>
  <si>
    <t>Plant Inv. &amp; Res.</t>
  </si>
  <si>
    <t>Mains (Acct. 376)</t>
  </si>
  <si>
    <t>Meters &amp; Regulators (Accts. 381, 383)</t>
  </si>
  <si>
    <t xml:space="preserve">     Total</t>
  </si>
  <si>
    <t>Lines 1-4</t>
  </si>
  <si>
    <t>Average gross investment for each meter category (extracted from Distribution_Plant_Factor.xls) times percent in Col. B.</t>
  </si>
  <si>
    <t>Which represents the percent of the plant included in the study.</t>
  </si>
  <si>
    <t>Lines 5-8</t>
  </si>
  <si>
    <t>Lines 1  through 4 (Avg. gross investment), times the corresponding  % Net investment of Gross from table above.</t>
  </si>
  <si>
    <t>Line 9</t>
  </si>
  <si>
    <t>Line 8 times filed Overall cost of capital of:</t>
  </si>
  <si>
    <t xml:space="preserve"> QGC filed capital structure.</t>
  </si>
  <si>
    <t>Line 10</t>
  </si>
  <si>
    <t>Income tax associated with taxable return is computed as: T x ((R/1-T) x I ), where T=income tax rate is:</t>
  </si>
  <si>
    <t xml:space="preserve"> R = taxable return of:</t>
  </si>
  <si>
    <t>and I = total average net investment from line 8.</t>
  </si>
  <si>
    <t>Line 11</t>
  </si>
  <si>
    <t>Line 4 times O&amp;M per Gross Investment Factor</t>
  </si>
  <si>
    <t xml:space="preserve"> calculated as follows:</t>
  </si>
  <si>
    <t xml:space="preserve"> Dec 2025</t>
  </si>
  <si>
    <t>Account</t>
  </si>
  <si>
    <t>Description</t>
  </si>
  <si>
    <t xml:space="preserve">   Utah fcst.</t>
  </si>
  <si>
    <t xml:space="preserve">874  </t>
  </si>
  <si>
    <t>Mains &amp; Services Expenses</t>
  </si>
  <si>
    <t xml:space="preserve">878  </t>
  </si>
  <si>
    <t>Meter &amp; Regulator Expenses</t>
  </si>
  <si>
    <t xml:space="preserve">879  </t>
  </si>
  <si>
    <t>Customer Installations Expenses</t>
  </si>
  <si>
    <t xml:space="preserve">887  </t>
  </si>
  <si>
    <t>Maintenance of Mains</t>
  </si>
  <si>
    <t xml:space="preserve">892  </t>
  </si>
  <si>
    <t>Maintenance of Services</t>
  </si>
  <si>
    <t xml:space="preserve">893  </t>
  </si>
  <si>
    <t>Maintenance of Meters &amp; House Regulators</t>
  </si>
  <si>
    <t xml:space="preserve">     Total System Related O&amp;M</t>
  </si>
  <si>
    <t>Line 12</t>
  </si>
  <si>
    <t xml:space="preserve">  Description  </t>
  </si>
  <si>
    <t xml:space="preserve">    Utah fcst.</t>
  </si>
  <si>
    <t xml:space="preserve">901  </t>
  </si>
  <si>
    <t>Supervision</t>
  </si>
  <si>
    <t xml:space="preserve">902  </t>
  </si>
  <si>
    <t>Meter Reading Exp</t>
  </si>
  <si>
    <t>903-1</t>
  </si>
  <si>
    <t>Cust Records &amp; Collection Exp</t>
  </si>
  <si>
    <t>903-2</t>
  </si>
  <si>
    <t>Collection Expense</t>
  </si>
  <si>
    <t>903-3</t>
  </si>
  <si>
    <t>Interest Exp - Customer Security Deposits</t>
  </si>
  <si>
    <t xml:space="preserve">     Total Billing Expenses</t>
  </si>
  <si>
    <t>Cost per Telemetry/flow meter:   Twelve times dial meter cost. (next line down)</t>
  </si>
  <si>
    <t xml:space="preserve">of: </t>
  </si>
  <si>
    <t>Dial meters</t>
  </si>
  <si>
    <t xml:space="preserve">+  </t>
  </si>
  <si>
    <t>Flow meters * 12</t>
  </si>
  <si>
    <t xml:space="preserve">=  </t>
  </si>
  <si>
    <t>Total meters</t>
  </si>
  <si>
    <t>Percent of dial meters by category.</t>
  </si>
  <si>
    <t>Percent of telemetry/flow meters by category.</t>
  </si>
  <si>
    <t>Weighted average billing cost by meter category.</t>
  </si>
  <si>
    <t>From line 12 explanation (above), difference between telemetry and dial meter costs.</t>
  </si>
  <si>
    <t>Converted to a monthly basis by dividing by 12.  Then rounding to nearest $.</t>
  </si>
  <si>
    <t>Line 13</t>
  </si>
  <si>
    <t>Line 8 times property tax rate of:</t>
  </si>
  <si>
    <t>Line 14</t>
  </si>
  <si>
    <t>Line 17</t>
  </si>
  <si>
    <t>Line 15 divided by 12 months, rounded to $0.50 for type I &amp; II and $1.00 for type III &amp; IV.</t>
  </si>
  <si>
    <t>Line 18</t>
  </si>
  <si>
    <t>Line 17 times 12 months.</t>
  </si>
  <si>
    <t xml:space="preserve">        I       </t>
  </si>
  <si>
    <t xml:space="preserve">       II        </t>
  </si>
  <si>
    <t xml:space="preserve">       III       </t>
  </si>
  <si>
    <t>IV</t>
  </si>
  <si>
    <t>Uncollectible Accounts - DNG</t>
  </si>
  <si>
    <t>Ciustomer Related A&amp;G Expenses</t>
  </si>
  <si>
    <t>GS</t>
  </si>
  <si>
    <t>TSS</t>
  </si>
  <si>
    <t>TSM</t>
  </si>
  <si>
    <t>TSL</t>
  </si>
  <si>
    <t>TBF</t>
  </si>
  <si>
    <t>Maintenance of General Plant</t>
  </si>
  <si>
    <t>Rents</t>
  </si>
  <si>
    <t>Miscellaneous General Expenses</t>
  </si>
  <si>
    <t>General Advertising Expenses</t>
  </si>
  <si>
    <t>Regulatory Expense</t>
  </si>
  <si>
    <t>Employee Pensions &amp; Benefits</t>
  </si>
  <si>
    <t>Injuries &amp; Damages</t>
  </si>
  <si>
    <t>Property Insurance</t>
  </si>
  <si>
    <t>Administrative Expenses Transferred</t>
  </si>
  <si>
    <t>Outside Services Employed</t>
  </si>
  <si>
    <t>Administrative &amp; General Salaries</t>
  </si>
  <si>
    <t>Office Supplies &amp; Expenses</t>
  </si>
  <si>
    <t>Total Expense</t>
  </si>
  <si>
    <t>Customer Expense</t>
  </si>
  <si>
    <t>Total All Classes</t>
  </si>
  <si>
    <t>Non-Customer</t>
  </si>
  <si>
    <t>IS</t>
  </si>
  <si>
    <t>NGV</t>
  </si>
  <si>
    <t>Total A&amp;G Expense</t>
  </si>
  <si>
    <t>FS</t>
  </si>
  <si>
    <t>Customer Service &amp; Information Expense</t>
  </si>
  <si>
    <t>Customer Assistance Expense</t>
  </si>
  <si>
    <t>Info &amp; Instructional Advertising Expense</t>
  </si>
  <si>
    <t>Misc Customer Service &amp; Info Expense</t>
  </si>
  <si>
    <t>Total Customer Service</t>
  </si>
  <si>
    <t xml:space="preserve">Why all Customer-related? </t>
  </si>
  <si>
    <t>901</t>
  </si>
  <si>
    <t>902</t>
  </si>
  <si>
    <t>9031</t>
  </si>
  <si>
    <t>9032</t>
  </si>
  <si>
    <t>Meter Reading Expense</t>
  </si>
  <si>
    <t>Customer Records Expense</t>
  </si>
  <si>
    <t>DNG Revenue</t>
  </si>
  <si>
    <t>Customers</t>
  </si>
  <si>
    <t>TS Sum</t>
  </si>
  <si>
    <t>901 - 903</t>
  </si>
  <si>
    <t>904 - 910</t>
  </si>
  <si>
    <t>Excluded from BSF Costs</t>
  </si>
  <si>
    <t>Included in BSF Costs</t>
  </si>
  <si>
    <t>Gross Plant</t>
  </si>
  <si>
    <t xml:space="preserve">  </t>
  </si>
  <si>
    <t xml:space="preserve">Weighting is based on plant investment, not numbers of meters. </t>
  </si>
  <si>
    <t>ANGC Exhibit 1.01SUR</t>
  </si>
  <si>
    <t>ANGC Revision of EGU Analysis in Exhibit EGU 5.08p1</t>
  </si>
  <si>
    <t xml:space="preserve">This does not match the numbers of meters and regulators used for cost allocation purposed in the COS Alloc Factors tab of EGU Exh 5.14U. </t>
  </si>
  <si>
    <t>UPSC Docket No. 25-057-06</t>
  </si>
  <si>
    <t>Current Monthly BSF Charge</t>
  </si>
  <si>
    <t>Annual Total Costs</t>
  </si>
  <si>
    <r>
      <t xml:space="preserve">Monthly Cost </t>
    </r>
    <r>
      <rPr>
        <i/>
        <sz val="9"/>
        <color indexed="8"/>
        <rFont val="Arial"/>
        <family val="2"/>
      </rPr>
      <t>(Rounded)</t>
    </r>
  </si>
  <si>
    <t>Rounded Annual Cost</t>
  </si>
  <si>
    <t>Current Annual BSF Charge</t>
  </si>
  <si>
    <t>% Incr. for Full Cost-Based Charge</t>
  </si>
  <si>
    <t xml:space="preserve">Utah Basic Service Fee </t>
  </si>
  <si>
    <t>Costs per Meter</t>
  </si>
  <si>
    <t>Meter Capacity in CFH</t>
  </si>
  <si>
    <t>24,000+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</si>
</sst>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0.000000_)"/>
    <numFmt numFmtId="166" formatCode="0.0000%"/>
    <numFmt numFmtId="167" formatCode="0.00000"/>
    <numFmt numFmtId="168" formatCode="0.000000"/>
    <numFmt numFmtId="169" formatCode="_(* #,##0_);_(* \(#,##0\);_(* &quot;-&quot;??_);_(@_)"/>
    <numFmt numFmtId="170" formatCode="_(&quot;$&quot;* #,##0_);_(&quot;$&quot;* \(#,##0\);_(&quot;$&quot;* &quot;-&quot;??_);_(@_)"/>
    <numFmt numFmtId="171" formatCode="0.0%"/>
    <numFmt numFmtId="172" formatCode="0.000_)"/>
    <numFmt numFmtId="173" formatCode="_(&quot;$&quot;* #,##0.0000_);_(&quot;$&quot;* \(#,##0.0000\);_(&quot;$&quot;* &quot;-&quot;??_);_(@_)"/>
    <numFmt numFmtId="174" formatCode="_(* #,##0.000_);_(* \(#,##0.000\);_(* &quot;-&quot;??_);_(@_)"/>
  </numFmts>
  <fonts count="31" x14ac:knownFonts="1"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b/>
      <sz val="18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u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i/>
      <sz val="11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9"/>
      <color indexed="8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i/>
      <sz val="9"/>
      <color indexed="8"/>
      <name val="Arial"/>
      <family val="2"/>
    </font>
    <font>
      <b/>
      <i/>
      <sz val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164" fontId="0" fillId="0" borderId="0"/>
    <xf numFmtId="9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150">
    <xf numFmtId="164" fontId="0" fillId="0" borderId="0" xfId="0"/>
    <xf numFmtId="164" fontId="0" fillId="0" borderId="0" xfId="0" applyAlignment="1">
      <alignment horizontal="center"/>
    </xf>
    <xf numFmtId="164" fontId="2" fillId="0" borderId="0" xfId="0" applyFont="1" applyAlignment="1">
      <alignment horizontal="center"/>
    </xf>
    <xf numFmtId="164" fontId="2" fillId="0" borderId="0" xfId="0" applyFont="1"/>
    <xf numFmtId="164" fontId="3" fillId="0" borderId="0" xfId="0" applyFont="1"/>
    <xf numFmtId="164" fontId="5" fillId="0" borderId="0" xfId="0" applyFont="1"/>
    <xf numFmtId="164" fontId="5" fillId="0" borderId="0" xfId="0" applyFont="1" applyAlignment="1">
      <alignment horizontal="center"/>
    </xf>
    <xf numFmtId="10" fontId="5" fillId="0" borderId="0" xfId="0" applyNumberFormat="1" applyFont="1"/>
    <xf numFmtId="164" fontId="2" fillId="0" borderId="0" xfId="0" quotePrefix="1" applyFont="1" applyAlignment="1">
      <alignment horizontal="center"/>
    </xf>
    <xf numFmtId="39" fontId="3" fillId="0" borderId="0" xfId="0" applyNumberFormat="1" applyFont="1"/>
    <xf numFmtId="164" fontId="6" fillId="0" borderId="0" xfId="0" applyFont="1"/>
    <xf numFmtId="164" fontId="6" fillId="0" borderId="0" xfId="0" applyFont="1" applyAlignment="1">
      <alignment horizontal="center"/>
    </xf>
    <xf numFmtId="164" fontId="6" fillId="0" borderId="0" xfId="0" applyFont="1" applyAlignment="1">
      <alignment horizontal="right"/>
    </xf>
    <xf numFmtId="10" fontId="5" fillId="0" borderId="0" xfId="0" applyNumberFormat="1" applyFont="1" applyAlignment="1">
      <alignment horizontal="center"/>
    </xf>
    <xf numFmtId="7" fontId="5" fillId="0" borderId="0" xfId="0" applyNumberFormat="1" applyFont="1"/>
    <xf numFmtId="39" fontId="5" fillId="0" borderId="0" xfId="0" applyNumberFormat="1" applyFont="1"/>
    <xf numFmtId="39" fontId="1" fillId="0" borderId="0" xfId="0" applyNumberFormat="1" applyFont="1"/>
    <xf numFmtId="164" fontId="9" fillId="0" borderId="0" xfId="0" applyFont="1" applyAlignment="1">
      <alignment horizontal="right"/>
    </xf>
    <xf numFmtId="165" fontId="5" fillId="0" borderId="0" xfId="0" applyNumberFormat="1" applyFont="1"/>
    <xf numFmtId="164" fontId="5" fillId="0" borderId="0" xfId="0" quotePrefix="1" applyFont="1"/>
    <xf numFmtId="164" fontId="5" fillId="0" borderId="0" xfId="0" applyFont="1" applyAlignment="1">
      <alignment horizontal="left"/>
    </xf>
    <xf numFmtId="166" fontId="5" fillId="0" borderId="0" xfId="0" applyNumberFormat="1" applyFont="1"/>
    <xf numFmtId="10" fontId="0" fillId="0" borderId="0" xfId="1" applyNumberFormat="1" applyFont="1"/>
    <xf numFmtId="164" fontId="14" fillId="0" borderId="0" xfId="0" applyFont="1" applyAlignment="1">
      <alignment horizontal="center"/>
    </xf>
    <xf numFmtId="166" fontId="3" fillId="0" borderId="0" xfId="0" applyNumberFormat="1" applyFont="1"/>
    <xf numFmtId="7" fontId="3" fillId="0" borderId="0" xfId="0" applyNumberFormat="1" applyFont="1"/>
    <xf numFmtId="164" fontId="3" fillId="0" borderId="0" xfId="0" applyFont="1" applyAlignment="1">
      <alignment horizontal="right"/>
    </xf>
    <xf numFmtId="164" fontId="11" fillId="0" borderId="0" xfId="0" applyFont="1" applyAlignment="1">
      <alignment horizontal="right"/>
    </xf>
    <xf numFmtId="164" fontId="4" fillId="0" borderId="0" xfId="0" applyFont="1" applyAlignment="1">
      <alignment horizontal="centerContinuous"/>
    </xf>
    <xf numFmtId="164" fontId="0" fillId="0" borderId="0" xfId="0" applyAlignment="1">
      <alignment horizontal="centerContinuous"/>
    </xf>
    <xf numFmtId="164" fontId="2" fillId="0" borderId="0" xfId="0" applyFont="1" applyAlignment="1">
      <alignment horizontal="centerContinuous"/>
    </xf>
    <xf numFmtId="164" fontId="3" fillId="0" borderId="0" xfId="0" applyFont="1" applyAlignment="1">
      <alignment horizontal="left"/>
    </xf>
    <xf numFmtId="164" fontId="5" fillId="0" borderId="0" xfId="0" applyFont="1" applyAlignment="1">
      <alignment horizontal="centerContinuous"/>
    </xf>
    <xf numFmtId="164" fontId="5" fillId="0" borderId="0" xfId="0" applyFont="1" applyAlignment="1">
      <alignment horizontal="right"/>
    </xf>
    <xf numFmtId="164" fontId="5" fillId="0" borderId="0" xfId="0" quotePrefix="1" applyFont="1" applyAlignment="1">
      <alignment horizontal="left"/>
    </xf>
    <xf numFmtId="164" fontId="7" fillId="0" borderId="0" xfId="0" applyFont="1" applyAlignment="1">
      <alignment horizontal="right"/>
    </xf>
    <xf numFmtId="164" fontId="7" fillId="0" borderId="0" xfId="0" applyFont="1" applyAlignment="1">
      <alignment horizontal="centerContinuous"/>
    </xf>
    <xf numFmtId="164" fontId="7" fillId="0" borderId="0" xfId="0" applyFont="1" applyAlignment="1">
      <alignment horizontal="center"/>
    </xf>
    <xf numFmtId="37" fontId="5" fillId="0" borderId="0" xfId="0" applyNumberFormat="1" applyFont="1"/>
    <xf numFmtId="37" fontId="7" fillId="0" borderId="0" xfId="0" applyNumberFormat="1" applyFont="1"/>
    <xf numFmtId="10" fontId="7" fillId="0" borderId="0" xfId="0" applyNumberFormat="1" applyFont="1"/>
    <xf numFmtId="5" fontId="5" fillId="0" borderId="0" xfId="0" applyNumberFormat="1" applyFont="1"/>
    <xf numFmtId="10" fontId="12" fillId="0" borderId="0" xfId="0" applyNumberFormat="1" applyFont="1"/>
    <xf numFmtId="164" fontId="3" fillId="0" borderId="0" xfId="0" quotePrefix="1" applyFont="1"/>
    <xf numFmtId="164" fontId="3" fillId="0" borderId="0" xfId="0" quotePrefix="1" applyFont="1" applyAlignment="1">
      <alignment horizontal="left"/>
    </xf>
    <xf numFmtId="5" fontId="3" fillId="0" borderId="0" xfId="0" applyNumberFormat="1" applyFont="1"/>
    <xf numFmtId="164" fontId="13" fillId="0" borderId="0" xfId="0" applyFont="1"/>
    <xf numFmtId="164" fontId="3" fillId="0" borderId="0" xfId="0" applyFont="1" applyAlignment="1">
      <alignment horizontal="center"/>
    </xf>
    <xf numFmtId="164" fontId="14" fillId="0" borderId="0" xfId="0" applyFont="1"/>
    <xf numFmtId="164" fontId="13" fillId="0" borderId="0" xfId="0" quotePrefix="1" applyFont="1" applyAlignment="1">
      <alignment horizontal="left"/>
    </xf>
    <xf numFmtId="37" fontId="3" fillId="0" borderId="0" xfId="0" applyNumberFormat="1" applyFont="1"/>
    <xf numFmtId="164" fontId="13" fillId="0" borderId="0" xfId="0" applyFont="1" applyAlignment="1">
      <alignment horizontal="left"/>
    </xf>
    <xf numFmtId="37" fontId="14" fillId="0" borderId="0" xfId="0" applyNumberFormat="1" applyFont="1"/>
    <xf numFmtId="37" fontId="3" fillId="0" borderId="0" xfId="0" applyNumberFormat="1" applyFont="1" applyAlignment="1">
      <alignment horizontal="center"/>
    </xf>
    <xf numFmtId="10" fontId="12" fillId="0" borderId="0" xfId="0" applyNumberFormat="1" applyFont="1" applyAlignment="1">
      <alignment horizontal="right"/>
    </xf>
    <xf numFmtId="164" fontId="15" fillId="0" borderId="0" xfId="0" applyFont="1" applyAlignment="1">
      <alignment horizontal="center"/>
    </xf>
    <xf numFmtId="164" fontId="15" fillId="0" borderId="0" xfId="0" applyFont="1"/>
    <xf numFmtId="167" fontId="0" fillId="0" borderId="0" xfId="0" applyNumberFormat="1"/>
    <xf numFmtId="10" fontId="3" fillId="0" borderId="0" xfId="0" applyNumberFormat="1" applyFont="1"/>
    <xf numFmtId="7" fontId="12" fillId="0" borderId="0" xfId="0" applyNumberFormat="1" applyFont="1" applyAlignment="1">
      <alignment horizontal="right"/>
    </xf>
    <xf numFmtId="164" fontId="13" fillId="0" borderId="0" xfId="0" quotePrefix="1" applyFont="1"/>
    <xf numFmtId="2" fontId="13" fillId="0" borderId="0" xfId="0" applyNumberFormat="1" applyFont="1"/>
    <xf numFmtId="3" fontId="3" fillId="0" borderId="0" xfId="0" applyNumberFormat="1" applyFont="1"/>
    <xf numFmtId="165" fontId="3" fillId="0" borderId="0" xfId="0" applyNumberFormat="1" applyFont="1"/>
    <xf numFmtId="164" fontId="0" fillId="0" borderId="0" xfId="0" quotePrefix="1" applyAlignment="1">
      <alignment horizontal="right"/>
    </xf>
    <xf numFmtId="3" fontId="3" fillId="0" borderId="1" xfId="0" applyNumberFormat="1" applyFont="1" applyBorder="1"/>
    <xf numFmtId="166" fontId="12" fillId="0" borderId="0" xfId="0" applyNumberFormat="1" applyFont="1"/>
    <xf numFmtId="168" fontId="5" fillId="0" borderId="0" xfId="0" applyNumberFormat="1" applyFont="1"/>
    <xf numFmtId="164" fontId="3" fillId="2" borderId="0" xfId="0" applyFont="1" applyFill="1" applyAlignment="1">
      <alignment horizontal="center"/>
    </xf>
    <xf numFmtId="164" fontId="3" fillId="3" borderId="0" xfId="0" applyFont="1" applyFill="1" applyAlignment="1">
      <alignment horizontal="center"/>
    </xf>
    <xf numFmtId="164" fontId="3" fillId="3" borderId="0" xfId="0" applyFont="1" applyFill="1" applyAlignment="1">
      <alignment horizontal="left"/>
    </xf>
    <xf numFmtId="164" fontId="3" fillId="3" borderId="0" xfId="0" applyFont="1" applyFill="1"/>
    <xf numFmtId="7" fontId="12" fillId="3" borderId="0" xfId="0" applyNumberFormat="1" applyFont="1" applyFill="1" applyAlignment="1">
      <alignment horizontal="right"/>
    </xf>
    <xf numFmtId="5" fontId="3" fillId="4" borderId="0" xfId="0" applyNumberFormat="1" applyFont="1" applyFill="1"/>
    <xf numFmtId="37" fontId="3" fillId="4" borderId="0" xfId="0" applyNumberFormat="1" applyFont="1" applyFill="1"/>
    <xf numFmtId="169" fontId="0" fillId="0" borderId="0" xfId="3" applyNumberFormat="1" applyFont="1" applyFill="1" applyAlignment="1">
      <alignment horizontal="left"/>
    </xf>
    <xf numFmtId="37" fontId="0" fillId="0" borderId="0" xfId="3" applyNumberFormat="1" applyFont="1" applyFill="1" applyBorder="1"/>
    <xf numFmtId="170" fontId="0" fillId="0" borderId="0" xfId="2" applyNumberFormat="1" applyFont="1" applyFill="1"/>
    <xf numFmtId="43" fontId="0" fillId="0" borderId="0" xfId="3" applyFont="1" applyFill="1"/>
    <xf numFmtId="169" fontId="3" fillId="0" borderId="0" xfId="3" applyNumberFormat="1" applyFont="1" applyFill="1"/>
    <xf numFmtId="169" fontId="0" fillId="0" borderId="0" xfId="3" applyNumberFormat="1" applyFont="1" applyFill="1"/>
    <xf numFmtId="169" fontId="0" fillId="0" borderId="0" xfId="3" applyNumberFormat="1" applyFont="1" applyFill="1" applyBorder="1" applyAlignment="1">
      <alignment horizontal="left"/>
    </xf>
    <xf numFmtId="37" fontId="0" fillId="0" borderId="0" xfId="0" applyNumberFormat="1"/>
    <xf numFmtId="169" fontId="5" fillId="0" borderId="0" xfId="3" applyNumberFormat="1" applyFont="1" applyFill="1"/>
    <xf numFmtId="169" fontId="5" fillId="0" borderId="1" xfId="3" applyNumberFormat="1" applyFont="1" applyFill="1" applyBorder="1"/>
    <xf numFmtId="49" fontId="10" fillId="0" borderId="0" xfId="3" applyNumberFormat="1" applyFont="1" applyFill="1"/>
    <xf numFmtId="169" fontId="5" fillId="0" borderId="0" xfId="3" applyNumberFormat="1" applyFont="1" applyFill="1" applyBorder="1"/>
    <xf numFmtId="164" fontId="16" fillId="0" borderId="0" xfId="0" applyFont="1"/>
    <xf numFmtId="49" fontId="10" fillId="0" borderId="0" xfId="3" applyNumberFormat="1" applyFont="1" applyFill="1" applyAlignment="1">
      <alignment horizontal="right"/>
    </xf>
    <xf numFmtId="0" fontId="0" fillId="0" borderId="0" xfId="0" applyNumberFormat="1" applyAlignment="1">
      <alignment horizontal="left"/>
    </xf>
    <xf numFmtId="169" fontId="0" fillId="0" borderId="0" xfId="3" applyNumberFormat="1" applyFont="1" applyFill="1" applyAlignment="1">
      <alignment horizontal="center"/>
    </xf>
    <xf numFmtId="169" fontId="3" fillId="0" borderId="0" xfId="3" applyNumberFormat="1" applyFont="1" applyFill="1" applyAlignment="1">
      <alignment horizontal="center"/>
    </xf>
    <xf numFmtId="169" fontId="5" fillId="0" borderId="0" xfId="3" applyNumberFormat="1" applyFont="1" applyFill="1" applyAlignment="1">
      <alignment horizontal="center"/>
    </xf>
    <xf numFmtId="169" fontId="0" fillId="0" borderId="0" xfId="0" applyNumberFormat="1"/>
    <xf numFmtId="164" fontId="5" fillId="0" borderId="0" xfId="0" quotePrefix="1" applyFont="1" applyAlignment="1">
      <alignment horizontal="right"/>
    </xf>
    <xf numFmtId="164" fontId="0" fillId="0" borderId="0" xfId="0" applyAlignment="1">
      <alignment horizontal="left"/>
    </xf>
    <xf numFmtId="37" fontId="0" fillId="0" borderId="1" xfId="0" applyNumberFormat="1" applyBorder="1"/>
    <xf numFmtId="169" fontId="0" fillId="0" borderId="1" xfId="3" applyNumberFormat="1" applyFont="1" applyFill="1" applyBorder="1"/>
    <xf numFmtId="164" fontId="0" fillId="0" borderId="0" xfId="0" quotePrefix="1" applyAlignment="1">
      <alignment horizontal="left"/>
    </xf>
    <xf numFmtId="37" fontId="5" fillId="5" borderId="0" xfId="0" applyNumberFormat="1" applyFont="1" applyFill="1"/>
    <xf numFmtId="44" fontId="0" fillId="0" borderId="0" xfId="2" applyFont="1"/>
    <xf numFmtId="171" fontId="0" fillId="0" borderId="0" xfId="1" applyNumberFormat="1" applyFont="1"/>
    <xf numFmtId="165" fontId="17" fillId="2" borderId="0" xfId="0" applyNumberFormat="1" applyFont="1" applyFill="1"/>
    <xf numFmtId="165" fontId="3" fillId="2" borderId="0" xfId="0" applyNumberFormat="1" applyFont="1" applyFill="1"/>
    <xf numFmtId="164" fontId="0" fillId="2" borderId="0" xfId="0" applyFill="1"/>
    <xf numFmtId="7" fontId="0" fillId="0" borderId="0" xfId="0" applyNumberFormat="1"/>
    <xf numFmtId="172" fontId="0" fillId="0" borderId="0" xfId="0" applyNumberFormat="1"/>
    <xf numFmtId="173" fontId="0" fillId="0" borderId="0" xfId="2" applyNumberFormat="1" applyFont="1" applyFill="1"/>
    <xf numFmtId="171" fontId="10" fillId="0" borderId="0" xfId="1" applyNumberFormat="1" applyFont="1" applyFill="1"/>
    <xf numFmtId="5" fontId="0" fillId="0" borderId="0" xfId="0" applyNumberFormat="1"/>
    <xf numFmtId="10" fontId="0" fillId="0" borderId="0" xfId="0" applyNumberFormat="1"/>
    <xf numFmtId="164" fontId="20" fillId="0" borderId="0" xfId="0" applyFont="1" applyAlignment="1">
      <alignment horizontal="left"/>
    </xf>
    <xf numFmtId="164" fontId="21" fillId="0" borderId="0" xfId="0" applyFont="1" applyAlignment="1">
      <alignment horizontal="left"/>
    </xf>
    <xf numFmtId="164" fontId="12" fillId="0" borderId="0" xfId="0" applyFont="1" applyAlignment="1">
      <alignment horizontal="right"/>
    </xf>
    <xf numFmtId="164" fontId="2" fillId="0" borderId="0" xfId="0" applyFont="1" applyAlignment="1">
      <alignment horizontal="left"/>
    </xf>
    <xf numFmtId="169" fontId="0" fillId="5" borderId="0" xfId="3" applyNumberFormat="1" applyFont="1" applyFill="1"/>
    <xf numFmtId="164" fontId="18" fillId="0" borderId="0" xfId="0" applyFont="1"/>
    <xf numFmtId="164" fontId="2" fillId="5" borderId="0" xfId="0" applyFont="1" applyFill="1" applyAlignment="1">
      <alignment horizontal="left"/>
    </xf>
    <xf numFmtId="164" fontId="5" fillId="5" borderId="0" xfId="0" applyFont="1" applyFill="1"/>
    <xf numFmtId="174" fontId="0" fillId="0" borderId="0" xfId="3" applyNumberFormat="1" applyFont="1" applyFill="1"/>
    <xf numFmtId="164" fontId="21" fillId="0" borderId="0" xfId="0" applyFont="1"/>
    <xf numFmtId="164" fontId="23" fillId="0" borderId="0" xfId="0" applyFont="1"/>
    <xf numFmtId="164" fontId="22" fillId="0" borderId="0" xfId="0" applyFont="1" applyAlignment="1">
      <alignment horizontal="center"/>
    </xf>
    <xf numFmtId="164" fontId="25" fillId="0" borderId="0" xfId="0" quotePrefix="1" applyFont="1" applyAlignment="1">
      <alignment horizontal="center"/>
    </xf>
    <xf numFmtId="44" fontId="5" fillId="0" borderId="0" xfId="2" applyFont="1"/>
    <xf numFmtId="44" fontId="1" fillId="0" borderId="0" xfId="2" applyFont="1"/>
    <xf numFmtId="44" fontId="7" fillId="0" borderId="0" xfId="2" applyFont="1"/>
    <xf numFmtId="44" fontId="8" fillId="0" borderId="0" xfId="2" applyFont="1"/>
    <xf numFmtId="44" fontId="5" fillId="0" borderId="0" xfId="2" applyFont="1" applyFill="1"/>
    <xf numFmtId="44" fontId="2" fillId="0" borderId="0" xfId="2" applyFont="1"/>
    <xf numFmtId="10" fontId="16" fillId="0" borderId="0" xfId="0" applyNumberFormat="1" applyFont="1"/>
    <xf numFmtId="164" fontId="26" fillId="0" borderId="0" xfId="0" applyFont="1"/>
    <xf numFmtId="164" fontId="20" fillId="0" borderId="0" xfId="0" applyFont="1" applyAlignment="1">
      <alignment horizontal="centerContinuous"/>
    </xf>
    <xf numFmtId="164" fontId="19" fillId="0" borderId="0" xfId="0" applyFont="1"/>
    <xf numFmtId="164" fontId="27" fillId="0" borderId="0" xfId="0" applyFont="1"/>
    <xf numFmtId="44" fontId="2" fillId="0" borderId="0" xfId="2" applyFont="1" applyFill="1"/>
    <xf numFmtId="44" fontId="2" fillId="5" borderId="0" xfId="2" applyFont="1" applyFill="1" applyBorder="1"/>
    <xf numFmtId="44" fontId="2" fillId="0" borderId="0" xfId="2" applyFont="1" applyBorder="1"/>
    <xf numFmtId="164" fontId="10" fillId="0" borderId="0" xfId="0" applyFont="1"/>
    <xf numFmtId="44" fontId="10" fillId="0" borderId="0" xfId="2" applyFont="1"/>
    <xf numFmtId="164" fontId="24" fillId="0" borderId="0" xfId="0" applyFont="1" applyAlignment="1">
      <alignment horizontal="center"/>
    </xf>
    <xf numFmtId="164" fontId="28" fillId="0" borderId="0" xfId="0" applyFont="1"/>
    <xf numFmtId="164" fontId="29" fillId="0" borderId="0" xfId="0" quotePrefix="1" applyFont="1" applyAlignment="1">
      <alignment horizontal="center"/>
    </xf>
    <xf numFmtId="10" fontId="10" fillId="0" borderId="0" xfId="1" applyNumberFormat="1" applyFont="1"/>
    <xf numFmtId="10" fontId="10" fillId="0" borderId="0" xfId="1" applyNumberFormat="1" applyFont="1" applyFill="1"/>
    <xf numFmtId="164" fontId="20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4" fontId="21" fillId="0" borderId="0" xfId="0" applyFont="1" applyAlignment="1">
      <alignment horizontal="center"/>
    </xf>
    <xf numFmtId="164" fontId="2" fillId="0" borderId="2" xfId="0" applyFont="1" applyBorder="1" applyAlignment="1">
      <alignment horizontal="center"/>
    </xf>
    <xf numFmtId="164" fontId="0" fillId="0" borderId="0" xfId="0" applyAlignment="1">
      <alignment horizontal="center"/>
    </xf>
  </cellXfs>
  <cellStyles count="4">
    <cellStyle name="Comma" xfId="3" builtinId="3"/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uce%20Oliver\Dropbox\RHA%20Current%20Documents\Enbridge%20Gas%20Utah\Enbridge%20Testimony\Exh%205%20-%20Summers%20-%20CCOSS%20and%20RD\25-057-06%20EGU%20Exh%205.14%20-%20Electronic%20Model%20(BRO%208-22-25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Report"/>
      <sheetName val="Adjustments"/>
      <sheetName val="ROR-Model"/>
      <sheetName val="Summaries"/>
      <sheetName val="PROJECTED EXPENSES"/>
      <sheetName val="EXPENSES"/>
      <sheetName val="Rate Base"/>
      <sheetName val="RB FORECAST"/>
      <sheetName val="108_111 Projection"/>
      <sheetName val="101_106 PROJECTION"/>
      <sheetName val="PROJECTED ACC 252 (CONTR)"/>
      <sheetName val="190_255_282 FORECAST"/>
      <sheetName val="EDIT Amort Adj"/>
      <sheetName val="Corp Charges "/>
      <sheetName val="Labor Forecast"/>
      <sheetName val="ENERGY EFFICIENCY &amp; STEP ADJ"/>
      <sheetName val="PIPELINE INTEGRITY"/>
      <sheetName val="Other Taxes"/>
      <sheetName val="Taxes"/>
      <sheetName val="Und Stor"/>
      <sheetName val="Wexpro"/>
      <sheetName val="RESERVE ACCRUAL"/>
      <sheetName val="Donations"/>
      <sheetName val="Advertising"/>
      <sheetName val="Incentive"/>
      <sheetName val="Sporting Events"/>
      <sheetName val="Revenue"/>
      <sheetName val="Booked DEC 2024 Rev"/>
      <sheetName val="Booked JUN 2024 Rev"/>
      <sheetName val="YE Proj Rev 2025 with CET "/>
      <sheetName val="YE Projected Rev 2025 adj HDD "/>
      <sheetName val="YE Projected Rev 2025"/>
      <sheetName val="YE Projected Rev 2026"/>
      <sheetName val="AVG Proj Rev 2025"/>
      <sheetName val="AVG Proj Rev 2025 with CET"/>
      <sheetName val="AVG Proj Rev 2025 with CET HDD"/>
      <sheetName val="AVG Projected Rev 2025 adj HDD"/>
      <sheetName val="YE Proj Rev 2026 with CET"/>
      <sheetName val="AVG Proj Rev 2026"/>
      <sheetName val="AVG Proj Rev 2026 with CET"/>
      <sheetName val="AVG Proj Rev 2026 with CET HDD "/>
      <sheetName val="AVG Projected Rev 2026 adj HDD"/>
      <sheetName val="YE Projected Rev 2026 adj HDD"/>
      <sheetName val="Other Rev"/>
      <sheetName val="Utah Bad Debt"/>
      <sheetName val="Capital Str"/>
      <sheetName val="Utah Allocation"/>
      <sheetName val="ALLOCATIONS&amp;PRETAX"/>
      <sheetName val="RNGT -NGV Volume"/>
      <sheetName val="Pension"/>
      <sheetName val="Optional Adjustment 1"/>
      <sheetName val="Optional Adjustment 2"/>
      <sheetName val="Optional Adjustment 3"/>
      <sheetName val="Optional Adjustment 4"/>
      <sheetName val="Optional Adjustment 5"/>
      <sheetName val="Optional Adjustment 6"/>
      <sheetName val="Optional Adjustment 7"/>
      <sheetName val="Optional Adjustment 8"/>
      <sheetName val="Optional Adjustment 9"/>
      <sheetName val="Optional Adjustment 10"/>
      <sheetName val="Optional Adjustment 11"/>
      <sheetName val="Optional Adjustment 12"/>
      <sheetName val="Optional Adjustment 13"/>
      <sheetName val="Optional Adjustment 14"/>
      <sheetName val="Optional Adjustment 15"/>
      <sheetName val="Optional Adjustment 16"/>
      <sheetName val="Optional Adjustment 17"/>
      <sheetName val="Optional Adjustment 18"/>
      <sheetName val="Optional Adjustment 19"/>
      <sheetName val="Optional Adjustment 20"/>
      <sheetName val="Optional Adjustment 21"/>
      <sheetName val="Optional Adjustment 22"/>
      <sheetName val="Optional Adjustment 23"/>
      <sheetName val="Labor Adjustment ROO"/>
      <sheetName val="COS Input"/>
      <sheetName val="GS Inputs"/>
      <sheetName val="TS Inputs"/>
      <sheetName val="TBF Inputs"/>
      <sheetName val="Dist Plant"/>
      <sheetName val="COS Alloc Factors"/>
      <sheetName val="COS Detail"/>
      <sheetName val="COS Exp Plt"/>
      <sheetName val=" COS Pie"/>
      <sheetName val="COS Sum GS Split"/>
      <sheetName val="COS Sum"/>
      <sheetName val="Taxes by Class"/>
      <sheetName val="Classification"/>
      <sheetName val="Rev Neutral"/>
      <sheetName val="Rules"/>
      <sheetName val="Rate Design 10yr"/>
      <sheetName val="Rate Design 20yr"/>
      <sheetName val="Revenue Comparison"/>
      <sheetName val="Minimum DNG Rates"/>
      <sheetName val="Sum-Win &amp; Demand Charge"/>
      <sheetName val="rates_curr_prop"/>
      <sheetName val="Proposed Block Out 10yr"/>
      <sheetName val="Proposed Block Out 20yr"/>
      <sheetName val="Typical GS 70 Dths"/>
      <sheetName val="Typical GS Small"/>
      <sheetName val="Typical GS Med"/>
      <sheetName val="Typical GS Large"/>
      <sheetName val="Typical GS 20yr WNA"/>
      <sheetName val="CET Calcu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13">
          <cell r="M13" t="str">
            <v>75%</v>
          </cell>
          <cell r="N13" t="str">
            <v>25%</v>
          </cell>
        </row>
      </sheetData>
      <sheetData sheetId="76"/>
      <sheetData sheetId="77"/>
      <sheetData sheetId="78"/>
      <sheetData sheetId="79"/>
      <sheetData sheetId="80">
        <row r="12">
          <cell r="C12" t="str">
            <v>No Allocation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4">
          <cell r="C14" t="str">
            <v>GS</v>
          </cell>
          <cell r="D14">
            <v>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6">
          <cell r="C16" t="str">
            <v>FS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 t="str">
            <v>IS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0">
          <cell r="C20" t="str">
            <v>TSS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C22" t="str">
            <v>TSM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</row>
        <row r="24">
          <cell r="C24" t="str">
            <v>TSL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</row>
        <row r="26">
          <cell r="C26" t="str">
            <v>TBF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</v>
          </cell>
          <cell r="N26">
            <v>0</v>
          </cell>
        </row>
        <row r="28">
          <cell r="C28" t="str">
            <v>NGV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1</v>
          </cell>
        </row>
        <row r="30">
          <cell r="C30" t="str">
            <v>Design Day</v>
          </cell>
          <cell r="D30">
            <v>0.78713704522535199</v>
          </cell>
          <cell r="E30">
            <v>0</v>
          </cell>
          <cell r="F30">
            <v>0</v>
          </cell>
          <cell r="G30">
            <v>0</v>
          </cell>
          <cell r="H30">
            <v>7.1824152042300896E-3</v>
          </cell>
          <cell r="I30">
            <v>0</v>
          </cell>
          <cell r="J30">
            <v>4.7659137473252899E-2</v>
          </cell>
          <cell r="K30">
            <v>4.3271599168344499E-2</v>
          </cell>
          <cell r="L30">
            <v>4.6901249756844399E-2</v>
          </cell>
          <cell r="M30">
            <v>6.7598531718864097E-2</v>
          </cell>
          <cell r="N30">
            <v>2.5002145311197297E-4</v>
          </cell>
        </row>
        <row r="32">
          <cell r="C32" t="str">
            <v>Peak Day</v>
          </cell>
          <cell r="D32">
            <v>0.77724371160888395</v>
          </cell>
          <cell r="E32">
            <v>0</v>
          </cell>
          <cell r="F32">
            <v>0</v>
          </cell>
          <cell r="G32">
            <v>0</v>
          </cell>
          <cell r="H32">
            <v>1.14699541866124E-2</v>
          </cell>
          <cell r="I32">
            <v>1.64399367197989E-3</v>
          </cell>
          <cell r="J32">
            <v>4.1991774247920402E-2</v>
          </cell>
          <cell r="K32">
            <v>5.8184402425201898E-2</v>
          </cell>
          <cell r="L32">
            <v>8.0878001879967507E-2</v>
          </cell>
          <cell r="M32">
            <v>2.7983367009674999E-2</v>
          </cell>
          <cell r="N32">
            <v>6.0479496975889403E-4</v>
          </cell>
        </row>
        <row r="34">
          <cell r="C34" t="str">
            <v>Throughput</v>
          </cell>
          <cell r="D34">
            <v>0.61672254707789897</v>
          </cell>
          <cell r="E34">
            <v>0</v>
          </cell>
          <cell r="F34">
            <v>0</v>
          </cell>
          <cell r="G34">
            <v>0</v>
          </cell>
          <cell r="H34">
            <v>1.17247112959524E-2</v>
          </cell>
          <cell r="I34">
            <v>1.1511653234361199E-3</v>
          </cell>
          <cell r="J34">
            <v>4.4257986737963502E-2</v>
          </cell>
          <cell r="K34">
            <v>8.3831258224798796E-2</v>
          </cell>
          <cell r="L34">
            <v>0.145021964198743</v>
          </cell>
          <cell r="M34">
            <v>9.6526357195675594E-2</v>
          </cell>
          <cell r="N34">
            <v>7.6400994553187205E-4</v>
          </cell>
        </row>
        <row r="36">
          <cell r="C36" t="str">
            <v>60% Design Day 40% Throughput</v>
          </cell>
          <cell r="D36">
            <v>0.71897124596637096</v>
          </cell>
          <cell r="E36">
            <v>0</v>
          </cell>
          <cell r="F36">
            <v>0</v>
          </cell>
          <cell r="G36">
            <v>0</v>
          </cell>
          <cell r="H36">
            <v>8.9993336409190106E-3</v>
          </cell>
          <cell r="I36">
            <v>4.6046612937444701E-4</v>
          </cell>
          <cell r="J36">
            <v>4.6298677179137097E-2</v>
          </cell>
          <cell r="K36">
            <v>5.9495462790926303E-2</v>
          </cell>
          <cell r="L36">
            <v>8.6149535533603702E-2</v>
          </cell>
          <cell r="M36">
            <v>7.9169661909588698E-2</v>
          </cell>
          <cell r="N36">
            <v>4.5561685007993201E-4</v>
          </cell>
        </row>
        <row r="38">
          <cell r="C38" t="str">
            <v>60% Design Day 40% Throughput Less TBF</v>
          </cell>
          <cell r="D38">
            <v>0.780785793241077</v>
          </cell>
          <cell r="E38">
            <v>0</v>
          </cell>
          <cell r="F38">
            <v>0</v>
          </cell>
          <cell r="G38">
            <v>0</v>
          </cell>
          <cell r="H38">
            <v>9.7730637975954795E-3</v>
          </cell>
          <cell r="I38">
            <v>5.0005534171403002E-4</v>
          </cell>
          <cell r="J38">
            <v>5.02792699849028E-2</v>
          </cell>
          <cell r="K38">
            <v>6.4610667492022503E-2</v>
          </cell>
          <cell r="L38">
            <v>9.3556361003762994E-2</v>
          </cell>
          <cell r="M38">
            <v>0</v>
          </cell>
          <cell r="N38">
            <v>4.94789138925175E-4</v>
          </cell>
        </row>
        <row r="40">
          <cell r="C40" t="str">
            <v>Firm Sales</v>
          </cell>
          <cell r="D40">
            <v>0.98015178387564195</v>
          </cell>
          <cell r="E40">
            <v>0</v>
          </cell>
          <cell r="F40">
            <v>0</v>
          </cell>
          <cell r="G40">
            <v>0</v>
          </cell>
          <cell r="H40">
            <v>1.8633981758255799E-2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1.21423436610176E-3</v>
          </cell>
        </row>
        <row r="42">
          <cell r="C42" t="str">
            <v>Firm Sales less NGV</v>
          </cell>
          <cell r="D42">
            <v>0.98134336471402395</v>
          </cell>
          <cell r="E42">
            <v>0</v>
          </cell>
          <cell r="F42">
            <v>0</v>
          </cell>
          <cell r="G42">
            <v>0</v>
          </cell>
          <cell r="H42">
            <v>1.86566352859759E-2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4">
          <cell r="C44" t="str">
            <v>Distribution Throughput</v>
          </cell>
          <cell r="D44">
            <v>0.81766686346892803</v>
          </cell>
          <cell r="E44">
            <v>0</v>
          </cell>
          <cell r="F44">
            <v>0</v>
          </cell>
          <cell r="G44">
            <v>0</v>
          </cell>
          <cell r="H44">
            <v>1.5369033299006799E-2</v>
          </cell>
          <cell r="I44">
            <v>1.4467017217074799E-3</v>
          </cell>
          <cell r="J44">
            <v>5.7155191257728603E-2</v>
          </cell>
          <cell r="K44">
            <v>6.5386824650664796E-2</v>
          </cell>
          <cell r="L44">
            <v>3.4369731439183898E-2</v>
          </cell>
          <cell r="M44">
            <v>7.5898986524311901E-3</v>
          </cell>
          <cell r="N44">
            <v>1.0157555103496199E-3</v>
          </cell>
        </row>
        <row r="46">
          <cell r="C46" t="str">
            <v>DNG Revenue</v>
          </cell>
          <cell r="D46">
            <v>0.87641537112621803</v>
          </cell>
          <cell r="E46">
            <v>0</v>
          </cell>
          <cell r="F46">
            <v>0</v>
          </cell>
          <cell r="G46">
            <v>0</v>
          </cell>
          <cell r="H46">
            <v>6.7606447646579399E-3</v>
          </cell>
          <cell r="I46">
            <v>3.6063048630379299E-4</v>
          </cell>
          <cell r="J46">
            <v>2.46978938191676E-2</v>
          </cell>
          <cell r="K46">
            <v>3.2491849306640001E-2</v>
          </cell>
          <cell r="L46">
            <v>3.9074152037077099E-2</v>
          </cell>
          <cell r="M46">
            <v>1.71264171180536E-2</v>
          </cell>
          <cell r="N46">
            <v>3.0730413418824198E-3</v>
          </cell>
        </row>
        <row r="48">
          <cell r="C48" t="str">
            <v>DNG Revenue Less NGV</v>
          </cell>
          <cell r="D48">
            <v>0.87911693380815903</v>
          </cell>
          <cell r="E48">
            <v>0</v>
          </cell>
          <cell r="F48">
            <v>0</v>
          </cell>
          <cell r="G48">
            <v>0</v>
          </cell>
          <cell r="H48">
            <v>6.7814845470303003E-3</v>
          </cell>
          <cell r="I48">
            <v>3.6174213483925502E-4</v>
          </cell>
          <cell r="J48">
            <v>2.47740254234988E-2</v>
          </cell>
          <cell r="K48">
            <v>3.2592005888149103E-2</v>
          </cell>
          <cell r="L48">
            <v>3.9194598659135098E-2</v>
          </cell>
          <cell r="M48">
            <v>1.71792095391884E-2</v>
          </cell>
          <cell r="N48">
            <v>0</v>
          </cell>
        </row>
        <row r="50">
          <cell r="C50" t="str">
            <v>Customers</v>
          </cell>
          <cell r="D50">
            <v>0.99858285151925197</v>
          </cell>
          <cell r="E50">
            <v>0</v>
          </cell>
          <cell r="F50">
            <v>0</v>
          </cell>
          <cell r="G50">
            <v>0</v>
          </cell>
          <cell r="H50">
            <v>3.5674744741050597E-4</v>
          </cell>
          <cell r="I50">
            <v>1.23016361176036E-5</v>
          </cell>
          <cell r="J50">
            <v>7.9960634764423698E-4</v>
          </cell>
          <cell r="K50">
            <v>1.9518595973264401E-4</v>
          </cell>
          <cell r="L50">
            <v>2.9523926682248699E-5</v>
          </cell>
          <cell r="M50">
            <v>6.5608725960552802E-6</v>
          </cell>
          <cell r="N50">
            <v>1.7222290564645101E-5</v>
          </cell>
        </row>
        <row r="52">
          <cell r="C52" t="str">
            <v>75% Customers 25% DNG Rev</v>
          </cell>
          <cell r="D52">
            <v>0.96804098142099304</v>
          </cell>
          <cell r="E52">
            <v>0</v>
          </cell>
          <cell r="F52">
            <v>0</v>
          </cell>
          <cell r="G52">
            <v>0</v>
          </cell>
          <cell r="H52">
            <v>1.95772177672237E-3</v>
          </cell>
          <cell r="I52">
            <v>9.93838486641511E-5</v>
          </cell>
          <cell r="J52">
            <v>6.7741782155250696E-3</v>
          </cell>
          <cell r="K52">
            <v>8.2693517964594707E-3</v>
          </cell>
          <cell r="L52">
            <v>9.7906809542809697E-3</v>
          </cell>
          <cell r="M52">
            <v>4.2865249339604401E-3</v>
          </cell>
          <cell r="N52">
            <v>7.8117705339408904E-4</v>
          </cell>
        </row>
        <row r="54">
          <cell r="C54" t="str">
            <v>Customer Assistance Expense</v>
          </cell>
          <cell r="D54">
            <v>0.35632535404700399</v>
          </cell>
          <cell r="E54">
            <v>0</v>
          </cell>
          <cell r="F54">
            <v>0</v>
          </cell>
          <cell r="G54">
            <v>0</v>
          </cell>
          <cell r="H54">
            <v>2.0451307841983801E-2</v>
          </cell>
          <cell r="I54">
            <v>1.07499978739526E-2</v>
          </cell>
          <cell r="J54">
            <v>0.43132313488433399</v>
          </cell>
          <cell r="K54">
            <v>0.105066018608676</v>
          </cell>
          <cell r="L54">
            <v>1.6588971008074601E-2</v>
          </cell>
          <cell r="M54">
            <v>8.8292596733824807E-3</v>
          </cell>
          <cell r="N54">
            <v>5.0665956062591597E-2</v>
          </cell>
        </row>
        <row r="56">
          <cell r="C56" t="str">
            <v>Blank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2">
          <cell r="C62" t="str">
            <v>Distribution O&amp;M Expense</v>
          </cell>
          <cell r="D62">
            <v>0.83672297834334997</v>
          </cell>
          <cell r="E62">
            <v>0</v>
          </cell>
          <cell r="F62">
            <v>0</v>
          </cell>
          <cell r="G62">
            <v>0</v>
          </cell>
          <cell r="H62">
            <v>5.9538952226851497E-3</v>
          </cell>
          <cell r="I62">
            <v>4.7141297090719703E-4</v>
          </cell>
          <cell r="J62">
            <v>2.8376544049789398E-2</v>
          </cell>
          <cell r="K62">
            <v>3.7164489634456198E-2</v>
          </cell>
          <cell r="L62">
            <v>4.6193302680088699E-2</v>
          </cell>
          <cell r="M62">
            <v>3.9310793977270199E-2</v>
          </cell>
          <cell r="N62">
            <v>5.8065831214535301E-3</v>
          </cell>
        </row>
        <row r="64">
          <cell r="C64" t="str">
            <v>Tools, Shop &amp; Garage Equipment</v>
          </cell>
          <cell r="D64">
            <v>0.51692346091453201</v>
          </cell>
          <cell r="E64">
            <v>0</v>
          </cell>
          <cell r="F64">
            <v>0</v>
          </cell>
          <cell r="G64">
            <v>0</v>
          </cell>
          <cell r="H64">
            <v>3.71042986519249E-3</v>
          </cell>
          <cell r="I64">
            <v>2.9222376108062201E-4</v>
          </cell>
          <cell r="J64">
            <v>1.7013035755355298E-2</v>
          </cell>
          <cell r="K64">
            <v>2.2069022509168399E-2</v>
          </cell>
          <cell r="L64">
            <v>2.62074897319821E-2</v>
          </cell>
          <cell r="M64">
            <v>2.2518693750958999E-2</v>
          </cell>
          <cell r="N64">
            <v>0.39126564371173</v>
          </cell>
        </row>
        <row r="66">
          <cell r="C66" t="str">
            <v>Rate Base</v>
          </cell>
          <cell r="D66">
            <v>0.85015697631443798</v>
          </cell>
          <cell r="E66">
            <v>0</v>
          </cell>
          <cell r="F66">
            <v>0</v>
          </cell>
          <cell r="G66">
            <v>0</v>
          </cell>
          <cell r="H66">
            <v>6.6559784388983004E-3</v>
          </cell>
          <cell r="I66">
            <v>4.5519776567200601E-4</v>
          </cell>
          <cell r="J66">
            <v>2.65011541901959E-2</v>
          </cell>
          <cell r="K66">
            <v>3.4377848195044997E-2</v>
          </cell>
          <cell r="L66">
            <v>4.0824753238872399E-2</v>
          </cell>
          <cell r="M66">
            <v>3.5078548524943597E-2</v>
          </cell>
          <cell r="N66">
            <v>5.9495433319353003E-3</v>
          </cell>
        </row>
        <row r="68">
          <cell r="C68" t="str">
            <v>Gross Plant</v>
          </cell>
          <cell r="D68">
            <v>0.84892609528835095</v>
          </cell>
          <cell r="E68">
            <v>0</v>
          </cell>
          <cell r="F68">
            <v>0</v>
          </cell>
          <cell r="G68">
            <v>0</v>
          </cell>
          <cell r="H68">
            <v>6.0935147569553798E-3</v>
          </cell>
          <cell r="I68">
            <v>4.7990930031644499E-4</v>
          </cell>
          <cell r="J68">
            <v>2.7939939091259199E-2</v>
          </cell>
          <cell r="K68">
            <v>3.6243216882424899E-2</v>
          </cell>
          <cell r="L68">
            <v>4.3039683062788402E-2</v>
          </cell>
          <cell r="M68">
            <v>3.6981696909586699E-2</v>
          </cell>
          <cell r="N68">
            <v>2.9594470831835002E-4</v>
          </cell>
        </row>
        <row r="70">
          <cell r="C70" t="str">
            <v>Gross Plant less NGV</v>
          </cell>
          <cell r="D70">
            <v>0.84917740484773896</v>
          </cell>
          <cell r="E70">
            <v>0</v>
          </cell>
          <cell r="F70">
            <v>0</v>
          </cell>
          <cell r="G70">
            <v>0</v>
          </cell>
          <cell r="H70">
            <v>6.0953186342507003E-3</v>
          </cell>
          <cell r="I70">
            <v>4.8005136897881501E-4</v>
          </cell>
          <cell r="J70">
            <v>2.79482102161796E-2</v>
          </cell>
          <cell r="K70">
            <v>3.6253946045912901E-2</v>
          </cell>
          <cell r="L70">
            <v>4.3052424199910601E-2</v>
          </cell>
          <cell r="M70">
            <v>3.6992644687028599E-2</v>
          </cell>
          <cell r="N70">
            <v>0</v>
          </cell>
        </row>
        <row r="72">
          <cell r="C72" t="str">
            <v>Distribution Gross Plant</v>
          </cell>
          <cell r="D72">
            <v>0.84682347145318504</v>
          </cell>
          <cell r="E72">
            <v>0</v>
          </cell>
          <cell r="F72">
            <v>0</v>
          </cell>
          <cell r="G72">
            <v>0</v>
          </cell>
          <cell r="H72">
            <v>5.8925601211110099E-3</v>
          </cell>
          <cell r="I72">
            <v>4.8759978684419599E-4</v>
          </cell>
          <cell r="J72">
            <v>2.83876731214724E-2</v>
          </cell>
          <cell r="K72">
            <v>3.68240099009658E-2</v>
          </cell>
          <cell r="L72">
            <v>4.3729388602011698E-2</v>
          </cell>
          <cell r="M72">
            <v>3.7574323978220303E-2</v>
          </cell>
          <cell r="N72">
            <v>2.80973036189313E-4</v>
          </cell>
        </row>
        <row r="74">
          <cell r="C74" t="str">
            <v>Direct Distribution Gross Plant</v>
          </cell>
          <cell r="D74">
            <v>0.84682347145318504</v>
          </cell>
          <cell r="E74">
            <v>0</v>
          </cell>
          <cell r="F74">
            <v>0</v>
          </cell>
          <cell r="G74">
            <v>0</v>
          </cell>
          <cell r="H74">
            <v>5.8925601211110099E-3</v>
          </cell>
          <cell r="I74">
            <v>4.8759978684419599E-4</v>
          </cell>
          <cell r="J74">
            <v>2.83876731214724E-2</v>
          </cell>
          <cell r="K74">
            <v>3.68240099009658E-2</v>
          </cell>
          <cell r="L74">
            <v>4.3729388602011698E-2</v>
          </cell>
          <cell r="M74">
            <v>3.7574323978220303E-2</v>
          </cell>
          <cell r="N74">
            <v>2.80973036189313E-4</v>
          </cell>
        </row>
        <row r="76">
          <cell r="C76" t="str">
            <v>SD Mains</v>
          </cell>
          <cell r="D76">
            <v>0.99338705938057104</v>
          </cell>
          <cell r="E76">
            <v>0</v>
          </cell>
          <cell r="F76">
            <v>0</v>
          </cell>
          <cell r="G76">
            <v>0</v>
          </cell>
          <cell r="H76">
            <v>1.31321203312838E-3</v>
          </cell>
          <cell r="I76">
            <v>8.3054078905846397E-5</v>
          </cell>
          <cell r="J76">
            <v>3.5737682374917998E-3</v>
          </cell>
          <cell r="K76">
            <v>1.3635696000213399E-3</v>
          </cell>
          <cell r="L76">
            <v>1.6563792749360701E-4</v>
          </cell>
          <cell r="M76">
            <v>4.3922666669973103E-5</v>
          </cell>
          <cell r="N76">
            <v>6.9776075718294201E-5</v>
          </cell>
        </row>
        <row r="78">
          <cell r="C78" t="str">
            <v>Mains</v>
          </cell>
          <cell r="D78">
            <v>0.82518581403621405</v>
          </cell>
          <cell r="E78">
            <v>0</v>
          </cell>
          <cell r="F78">
            <v>0</v>
          </cell>
          <cell r="G78">
            <v>0</v>
          </cell>
          <cell r="H78">
            <v>6.5838772856382797E-3</v>
          </cell>
          <cell r="I78">
            <v>3.8242471536545001E-4</v>
          </cell>
          <cell r="J78">
            <v>3.1350919681930302E-2</v>
          </cell>
          <cell r="K78">
            <v>3.8619757000647501E-2</v>
          </cell>
          <cell r="L78">
            <v>5.1602352650463201E-2</v>
          </cell>
          <cell r="M78">
            <v>4.5926204803908202E-2</v>
          </cell>
          <cell r="N78">
            <v>3.48649825833255E-4</v>
          </cell>
        </row>
        <row r="80">
          <cell r="C80" t="str">
            <v>Service Lines</v>
          </cell>
          <cell r="D80">
            <v>0.97757753458813601</v>
          </cell>
          <cell r="E80">
            <v>0</v>
          </cell>
          <cell r="F80">
            <v>0</v>
          </cell>
          <cell r="G80">
            <v>0</v>
          </cell>
          <cell r="H80">
            <v>1.51275830938941E-3</v>
          </cell>
          <cell r="I80">
            <v>1.46169957316153E-4</v>
          </cell>
          <cell r="J80">
            <v>4.6564074031980101E-3</v>
          </cell>
          <cell r="K80">
            <v>8.9988579298251308E-3</v>
          </cell>
          <cell r="L80">
            <v>6.3336232173330197E-3</v>
          </cell>
          <cell r="M80">
            <v>6.9221060671451095E-4</v>
          </cell>
          <cell r="N80">
            <v>8.2437988087744597E-5</v>
          </cell>
        </row>
        <row r="82">
          <cell r="C82" t="str">
            <v>Meters &amp; Regulators</v>
          </cell>
          <cell r="D82">
            <v>0.91094465054482199</v>
          </cell>
          <cell r="E82">
            <v>0</v>
          </cell>
          <cell r="F82">
            <v>0</v>
          </cell>
          <cell r="G82">
            <v>0</v>
          </cell>
          <cell r="H82">
            <v>4.6263071851682302E-3</v>
          </cell>
          <cell r="I82">
            <v>1.4391306392519301E-3</v>
          </cell>
          <cell r="J82">
            <v>2.5275386068227799E-2</v>
          </cell>
          <cell r="K82">
            <v>4.1594572525316099E-2</v>
          </cell>
          <cell r="L82">
            <v>1.24962085366008E-2</v>
          </cell>
          <cell r="M82">
            <v>3.6237445006132999E-3</v>
          </cell>
          <cell r="N82">
            <v>0</v>
          </cell>
        </row>
        <row r="84">
          <cell r="C84" t="str">
            <v>Mains &amp; Service Lines</v>
          </cell>
          <cell r="D84">
            <v>0.84698159383482896</v>
          </cell>
          <cell r="E84">
            <v>0</v>
          </cell>
          <cell r="F84">
            <v>0</v>
          </cell>
          <cell r="G84">
            <v>0</v>
          </cell>
          <cell r="H84">
            <v>5.8585820259050604E-3</v>
          </cell>
          <cell r="I84">
            <v>3.48634449961477E-4</v>
          </cell>
          <cell r="J84">
            <v>2.75329451269384E-2</v>
          </cell>
          <cell r="K84">
            <v>3.43832368586975E-2</v>
          </cell>
          <cell r="L84">
            <v>4.5127806297720799E-2</v>
          </cell>
          <cell r="M84">
            <v>3.9456626447793103E-2</v>
          </cell>
          <cell r="N84">
            <v>3.1057495815493602E-4</v>
          </cell>
        </row>
        <row r="86">
          <cell r="C86" t="str">
            <v>Taxes</v>
          </cell>
          <cell r="D86">
            <v>0.95891618823148606</v>
          </cell>
          <cell r="E86">
            <v>0</v>
          </cell>
          <cell r="F86">
            <v>0</v>
          </cell>
          <cell r="G86">
            <v>0</v>
          </cell>
          <cell r="H86">
            <v>8.4838277215922506E-3</v>
          </cell>
          <cell r="I86">
            <v>-1.33430307586424E-4</v>
          </cell>
          <cell r="J86">
            <v>1.1523836265842901E-2</v>
          </cell>
          <cell r="K86">
            <v>2.5140861281709701E-2</v>
          </cell>
          <cell r="L86">
            <v>3.2875114023853902E-2</v>
          </cell>
          <cell r="M86">
            <v>-4.1535178725515001E-2</v>
          </cell>
          <cell r="N86">
            <v>4.7287815086164203E-3</v>
          </cell>
        </row>
        <row r="88">
          <cell r="C88" t="str">
            <v>Net Income</v>
          </cell>
          <cell r="D88">
            <v>0.91495626438830802</v>
          </cell>
          <cell r="E88">
            <v>0</v>
          </cell>
          <cell r="F88">
            <v>0</v>
          </cell>
          <cell r="G88">
            <v>0</v>
          </cell>
          <cell r="H88">
            <v>7.7450202785471602E-3</v>
          </cell>
          <cell r="I88">
            <v>1.0449018499799199E-4</v>
          </cell>
          <cell r="J88">
            <v>1.7577592483125799E-2</v>
          </cell>
          <cell r="K88">
            <v>2.887440471305E-2</v>
          </cell>
          <cell r="L88">
            <v>3.6088318021134602E-2</v>
          </cell>
          <cell r="M88">
            <v>-1.0568297337657E-2</v>
          </cell>
          <cell r="N88">
            <v>5.2222072684930797E-3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>
    <tabColor theme="9" tint="0.79995117038483843"/>
    <pageSetUpPr fitToPage="1"/>
  </sheetPr>
  <dimension ref="A1:W101"/>
  <sheetViews>
    <sheetView tabSelected="1" topLeftCell="A22" workbookViewId="0">
      <selection sqref="A1:K55"/>
    </sheetView>
  </sheetViews>
  <sheetFormatPr defaultColWidth="12.7109375" defaultRowHeight="12.75" x14ac:dyDescent="0.2"/>
  <cols>
    <col min="1" max="1" width="3.7109375" customWidth="1"/>
    <col min="2" max="2" width="2.5703125" customWidth="1"/>
    <col min="3" max="3" width="22.5703125" customWidth="1"/>
    <col min="4" max="4" width="12.5703125" customWidth="1"/>
    <col min="5" max="5" width="12.7109375" customWidth="1"/>
    <col min="6" max="6" width="1.7109375" customWidth="1"/>
    <col min="7" max="7" width="12.7109375" customWidth="1"/>
    <col min="8" max="8" width="1.7109375" customWidth="1"/>
    <col min="9" max="9" width="12.7109375" customWidth="1"/>
    <col min="10" max="10" width="1.7109375" customWidth="1"/>
    <col min="11" max="11" width="12.7109375" customWidth="1"/>
    <col min="12" max="12" width="14" bestFit="1" customWidth="1"/>
    <col min="13" max="13" width="15" bestFit="1" customWidth="1"/>
  </cols>
  <sheetData>
    <row r="1" spans="1:14" ht="18" x14ac:dyDescent="0.25">
      <c r="A1" s="111" t="s">
        <v>0</v>
      </c>
      <c r="B1" s="3"/>
      <c r="C1" s="3"/>
      <c r="D1" s="3"/>
      <c r="E1" s="3"/>
      <c r="F1" s="3"/>
      <c r="G1" s="3"/>
      <c r="H1" s="3"/>
      <c r="I1" s="3"/>
      <c r="J1" s="3"/>
      <c r="K1" s="27"/>
    </row>
    <row r="2" spans="1:14" ht="14.25" x14ac:dyDescent="0.2">
      <c r="A2" s="120" t="s">
        <v>173</v>
      </c>
      <c r="B2" s="3"/>
      <c r="C2" s="3"/>
      <c r="D2" s="3"/>
      <c r="E2" s="3"/>
      <c r="F2" s="3"/>
      <c r="G2" s="3"/>
      <c r="H2" s="3"/>
      <c r="I2" s="3"/>
      <c r="J2" s="3"/>
      <c r="K2" s="113"/>
      <c r="L2" s="3"/>
    </row>
    <row r="3" spans="1:14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15" x14ac:dyDescent="0.2">
      <c r="A4" s="121" t="s">
        <v>171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 s="134" customFormat="1" ht="18" x14ac:dyDescent="0.25">
      <c r="B6" s="145" t="s">
        <v>180</v>
      </c>
      <c r="C6" s="145"/>
      <c r="D6" s="145"/>
      <c r="E6" s="145"/>
      <c r="F6" s="145"/>
      <c r="G6" s="145"/>
      <c r="H6" s="145"/>
      <c r="I6" s="145"/>
      <c r="J6" s="145"/>
      <c r="K6" s="145"/>
      <c r="L6" s="133"/>
    </row>
    <row r="7" spans="1:14" s="134" customFormat="1" ht="15" customHeight="1" x14ac:dyDescent="0.25">
      <c r="A7" s="132"/>
      <c r="B7" s="147" t="s">
        <v>181</v>
      </c>
      <c r="C7" s="147"/>
      <c r="D7" s="147"/>
      <c r="E7" s="147"/>
      <c r="F7" s="147"/>
      <c r="G7" s="147"/>
      <c r="H7" s="147"/>
      <c r="I7" s="147"/>
      <c r="J7" s="147"/>
      <c r="K7" s="147"/>
      <c r="L7" s="133"/>
      <c r="N7" s="131"/>
    </row>
    <row r="8" spans="1:14" ht="15" x14ac:dyDescent="0.2">
      <c r="B8" s="146" t="s">
        <v>1</v>
      </c>
      <c r="C8" s="146"/>
      <c r="D8" s="146"/>
      <c r="E8" s="146"/>
      <c r="F8" s="146"/>
      <c r="G8" s="146"/>
      <c r="H8" s="146"/>
      <c r="I8" s="146"/>
      <c r="J8" s="146"/>
      <c r="K8" s="146"/>
      <c r="L8" s="4"/>
    </row>
    <row r="9" spans="1:14" ht="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4"/>
    </row>
    <row r="10" spans="1:14" ht="15" x14ac:dyDescent="0.2">
      <c r="A10" s="6"/>
      <c r="B10" s="5"/>
      <c r="C10" s="2" t="s">
        <v>2</v>
      </c>
      <c r="D10" s="2" t="s">
        <v>3</v>
      </c>
      <c r="E10" s="2" t="s">
        <v>4</v>
      </c>
      <c r="F10" s="2"/>
      <c r="G10" s="2" t="s">
        <v>5</v>
      </c>
      <c r="H10" s="2"/>
      <c r="I10" s="8" t="s">
        <v>6</v>
      </c>
      <c r="J10" s="8"/>
      <c r="K10" s="8" t="s">
        <v>7</v>
      </c>
      <c r="L10" s="4"/>
    </row>
    <row r="11" spans="1:14" ht="15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4"/>
    </row>
    <row r="12" spans="1:14" ht="15.75" thickBot="1" x14ac:dyDescent="0.25">
      <c r="A12" s="6"/>
      <c r="B12" s="3"/>
      <c r="C12" s="3"/>
      <c r="D12" s="3"/>
      <c r="E12" s="148" t="s">
        <v>8</v>
      </c>
      <c r="F12" s="148"/>
      <c r="G12" s="148"/>
      <c r="H12" s="148"/>
      <c r="I12" s="148"/>
      <c r="J12" s="148"/>
      <c r="K12" s="148"/>
      <c r="L12" s="9"/>
    </row>
    <row r="13" spans="1:14" x14ac:dyDescent="0.2">
      <c r="A13" s="6"/>
      <c r="C13" s="3"/>
      <c r="E13" s="2" t="s">
        <v>117</v>
      </c>
      <c r="F13" s="2"/>
      <c r="G13" s="2" t="s">
        <v>118</v>
      </c>
      <c r="H13" s="2"/>
      <c r="I13" s="2" t="s">
        <v>119</v>
      </c>
      <c r="J13" s="2"/>
      <c r="K13" s="2" t="s">
        <v>120</v>
      </c>
    </row>
    <row r="14" spans="1:14" x14ac:dyDescent="0.2">
      <c r="A14" s="6"/>
      <c r="B14" s="10"/>
      <c r="C14" s="140" t="s">
        <v>182</v>
      </c>
      <c r="D14" s="141"/>
      <c r="E14" s="142" t="s">
        <v>23</v>
      </c>
      <c r="F14" s="142"/>
      <c r="G14" s="142" t="s">
        <v>24</v>
      </c>
      <c r="H14" s="142"/>
      <c r="I14" s="142" t="s">
        <v>25</v>
      </c>
      <c r="J14" s="142"/>
      <c r="K14" s="142" t="s">
        <v>183</v>
      </c>
    </row>
    <row r="15" spans="1:14" x14ac:dyDescent="0.2">
      <c r="A15" s="6"/>
      <c r="B15" s="10"/>
      <c r="C15" s="122"/>
      <c r="D15" s="11" t="s">
        <v>10</v>
      </c>
      <c r="E15" s="123"/>
      <c r="F15" s="123"/>
      <c r="G15" s="123"/>
      <c r="H15" s="123"/>
      <c r="I15" s="123"/>
      <c r="J15" s="123"/>
      <c r="K15" s="123"/>
    </row>
    <row r="16" spans="1:14" x14ac:dyDescent="0.2">
      <c r="A16" s="6"/>
      <c r="B16" s="10" t="s">
        <v>9</v>
      </c>
      <c r="C16" s="3"/>
      <c r="D16" s="11"/>
      <c r="E16" s="12"/>
      <c r="F16" s="12"/>
      <c r="G16" s="12"/>
      <c r="H16" s="12"/>
      <c r="I16" s="12"/>
      <c r="J16" s="12"/>
      <c r="K16" s="12"/>
    </row>
    <row r="17" spans="1:12" x14ac:dyDescent="0.2">
      <c r="A17" s="6">
        <v>1</v>
      </c>
      <c r="B17" s="5"/>
      <c r="C17" s="5" t="s">
        <v>11</v>
      </c>
      <c r="D17" s="13">
        <v>0.85</v>
      </c>
      <c r="E17" s="124">
        <v>340.12395530268554</v>
      </c>
      <c r="F17" s="124"/>
      <c r="G17" s="124">
        <v>797.12751548988592</v>
      </c>
      <c r="H17" s="124"/>
      <c r="I17" s="124">
        <v>2005.5584507792757</v>
      </c>
      <c r="J17" s="124"/>
      <c r="K17" s="124">
        <v>12810.887123837172</v>
      </c>
    </row>
    <row r="18" spans="1:12" x14ac:dyDescent="0.2">
      <c r="A18" s="6">
        <f>A17+1</f>
        <v>2</v>
      </c>
      <c r="B18" s="5"/>
      <c r="C18" s="5" t="s">
        <v>12</v>
      </c>
      <c r="D18" s="13">
        <v>0.1</v>
      </c>
      <c r="E18" s="124">
        <v>78.574468984111093</v>
      </c>
      <c r="F18" s="124"/>
      <c r="G18" s="124">
        <v>180.74189928354559</v>
      </c>
      <c r="H18" s="124"/>
      <c r="I18" s="124">
        <v>373.11647625936314</v>
      </c>
      <c r="J18" s="124"/>
      <c r="K18" s="125">
        <v>468.78573324311384</v>
      </c>
    </row>
    <row r="19" spans="1:12" x14ac:dyDescent="0.2">
      <c r="A19" s="6">
        <f>A18+1</f>
        <v>3</v>
      </c>
      <c r="B19" s="5"/>
      <c r="C19" s="5" t="s">
        <v>13</v>
      </c>
      <c r="D19" s="13">
        <v>1</v>
      </c>
      <c r="E19" s="126">
        <v>354.99978398521455</v>
      </c>
      <c r="F19" s="126"/>
      <c r="G19" s="126">
        <v>1369.0108495096194</v>
      </c>
      <c r="H19" s="126"/>
      <c r="I19" s="126">
        <v>8568.516478573827</v>
      </c>
      <c r="J19" s="126"/>
      <c r="K19" s="127">
        <v>75660.218971614027</v>
      </c>
    </row>
    <row r="20" spans="1:12" x14ac:dyDescent="0.2">
      <c r="A20" s="6">
        <f>A19+1</f>
        <v>4</v>
      </c>
      <c r="B20" s="5"/>
      <c r="C20" s="5" t="s">
        <v>14</v>
      </c>
      <c r="D20" s="5"/>
      <c r="E20" s="124">
        <f>SUM(E17:E19)</f>
        <v>773.69820827201124</v>
      </c>
      <c r="F20" s="124"/>
      <c r="G20" s="124">
        <f>SUM(G17:G19)</f>
        <v>2346.880264283051</v>
      </c>
      <c r="H20" s="124"/>
      <c r="I20" s="124">
        <f>SUM(I17:I19)</f>
        <v>10947.191405612466</v>
      </c>
      <c r="J20" s="124"/>
      <c r="K20" s="125">
        <f>SUM(K17:K19)</f>
        <v>88939.891828694308</v>
      </c>
    </row>
    <row r="21" spans="1:12" x14ac:dyDescent="0.2">
      <c r="A21" s="6"/>
      <c r="B21" s="5"/>
      <c r="C21" s="5"/>
      <c r="D21" s="5"/>
      <c r="E21" s="5"/>
      <c r="F21" s="5"/>
      <c r="G21" s="5"/>
      <c r="H21" s="5"/>
      <c r="I21" s="15"/>
      <c r="J21" s="15"/>
      <c r="K21" s="16"/>
    </row>
    <row r="22" spans="1:12" x14ac:dyDescent="0.2">
      <c r="A22" s="6"/>
      <c r="B22" s="10" t="s">
        <v>15</v>
      </c>
      <c r="C22" s="5"/>
      <c r="D22" s="5"/>
      <c r="E22" s="5"/>
      <c r="F22" s="5"/>
      <c r="G22" s="5"/>
      <c r="H22" s="5"/>
      <c r="I22" s="12"/>
      <c r="J22" s="12"/>
      <c r="K22" s="17"/>
    </row>
    <row r="23" spans="1:12" x14ac:dyDescent="0.2">
      <c r="A23" s="6">
        <f>A20+1</f>
        <v>5</v>
      </c>
      <c r="B23" s="5"/>
      <c r="C23" s="5" t="s">
        <v>11</v>
      </c>
      <c r="D23" s="18"/>
      <c r="E23" s="124">
        <f>+E17*'EGU 5.08p2'!$J$16</f>
        <v>140.43718114447887</v>
      </c>
      <c r="F23" s="124"/>
      <c r="G23" s="124">
        <f>+G17*'EGU 5.08p2'!$J$16</f>
        <v>329.13395114577389</v>
      </c>
      <c r="H23" s="124"/>
      <c r="I23" s="124">
        <f>+I17*'EGU 5.08p2'!$J$16</f>
        <v>828.09508432676296</v>
      </c>
      <c r="J23" s="124"/>
      <c r="K23" s="125">
        <f>+K17*'EGU 5.08p2'!$J$16</f>
        <v>5289.6152934323682</v>
      </c>
    </row>
    <row r="24" spans="1:12" x14ac:dyDescent="0.2">
      <c r="A24" s="6">
        <f>A23+1</f>
        <v>6</v>
      </c>
      <c r="B24" s="5"/>
      <c r="C24" s="5" t="s">
        <v>12</v>
      </c>
      <c r="D24" s="18"/>
      <c r="E24" s="124">
        <f>+E18*'EGU 5.08p2'!$J$17</f>
        <v>56.21217511123308</v>
      </c>
      <c r="F24" s="124"/>
      <c r="G24" s="124">
        <f>+G18*'EGU 5.08p2'!$J$17</f>
        <v>129.30275474744852</v>
      </c>
      <c r="H24" s="124"/>
      <c r="I24" s="124">
        <f>+I18*'EGU 5.08p2'!$J$17</f>
        <v>266.92752711594841</v>
      </c>
      <c r="J24" s="124"/>
      <c r="K24" s="125">
        <f>+K18*'EGU 5.08p2'!$J$17</f>
        <v>335.36931356212364</v>
      </c>
    </row>
    <row r="25" spans="1:12" x14ac:dyDescent="0.2">
      <c r="A25" s="6">
        <f>A24+1</f>
        <v>7</v>
      </c>
      <c r="B25" s="5"/>
      <c r="C25" s="5" t="s">
        <v>13</v>
      </c>
      <c r="D25" s="18"/>
      <c r="E25" s="126">
        <f>+E19*'EGU 5.08p2'!$J$18</f>
        <v>255.81284433974562</v>
      </c>
      <c r="F25" s="126"/>
      <c r="G25" s="126">
        <f>+G19*'EGU 5.08p2'!$J$18</f>
        <v>986.50921815663185</v>
      </c>
      <c r="H25" s="126"/>
      <c r="I25" s="126">
        <f>+I19*'EGU 5.08p2'!$J$18</f>
        <v>6174.4729744603001</v>
      </c>
      <c r="J25" s="126"/>
      <c r="K25" s="127">
        <f>+K19*'EGU 5.08p2'!$J$18</f>
        <v>54520.753790945069</v>
      </c>
    </row>
    <row r="26" spans="1:12" x14ac:dyDescent="0.2">
      <c r="A26" s="6">
        <f>A25+1</f>
        <v>8</v>
      </c>
      <c r="B26" s="5"/>
      <c r="C26" s="5" t="s">
        <v>16</v>
      </c>
      <c r="D26" s="5"/>
      <c r="E26" s="124">
        <f>SUM(E23:E25)</f>
        <v>452.4622005954576</v>
      </c>
      <c r="F26" s="124"/>
      <c r="G26" s="124">
        <f>SUM(G23:G25)</f>
        <v>1444.9459240498543</v>
      </c>
      <c r="H26" s="124"/>
      <c r="I26" s="124">
        <f>SUM(I23:I25)</f>
        <v>7269.4955859030115</v>
      </c>
      <c r="J26" s="124"/>
      <c r="K26" s="125">
        <f>SUM(K23:K25)</f>
        <v>60145.73839793956</v>
      </c>
    </row>
    <row r="27" spans="1:12" x14ac:dyDescent="0.2">
      <c r="A27" s="6"/>
      <c r="B27" s="5"/>
      <c r="C27" s="5"/>
      <c r="D27" s="5"/>
      <c r="E27" s="5"/>
      <c r="F27" s="5"/>
      <c r="G27" s="5"/>
      <c r="H27" s="5"/>
      <c r="I27" s="15"/>
      <c r="J27" s="15"/>
      <c r="K27" s="16"/>
    </row>
    <row r="28" spans="1:12" x14ac:dyDescent="0.2">
      <c r="A28" s="6"/>
      <c r="B28" s="10" t="s">
        <v>17</v>
      </c>
      <c r="C28" s="5"/>
      <c r="D28" s="5"/>
      <c r="E28" s="5"/>
      <c r="F28" s="5"/>
      <c r="G28" s="5"/>
      <c r="H28" s="5"/>
      <c r="I28" s="12"/>
      <c r="J28" s="12"/>
      <c r="K28" s="12"/>
    </row>
    <row r="29" spans="1:12" x14ac:dyDescent="0.2">
      <c r="A29" s="6">
        <f>A26+1</f>
        <v>9</v>
      </c>
      <c r="B29" s="5"/>
      <c r="C29" s="5" t="s">
        <v>18</v>
      </c>
      <c r="D29" s="5"/>
      <c r="E29" s="124">
        <f>E26*$I$48</f>
        <v>31.020808472824573</v>
      </c>
      <c r="F29" s="124"/>
      <c r="G29" s="124">
        <f>G26*$I$48</f>
        <v>99.065492552858004</v>
      </c>
      <c r="H29" s="124"/>
      <c r="I29" s="124">
        <f>I26*$I$48</f>
        <v>498.39661736951047</v>
      </c>
      <c r="J29" s="124"/>
      <c r="K29" s="124">
        <f>K26*$I$48</f>
        <v>4123.5918245627363</v>
      </c>
      <c r="L29" s="14"/>
    </row>
    <row r="30" spans="1:12" x14ac:dyDescent="0.2">
      <c r="A30" s="6">
        <f t="shared" ref="A30:A34" si="0">A29+1</f>
        <v>10</v>
      </c>
      <c r="B30" s="5"/>
      <c r="C30" s="5" t="s">
        <v>19</v>
      </c>
      <c r="D30" s="5"/>
      <c r="E30" s="124">
        <f>$I$50*($I$49/(1-$I$50)*E26)</f>
        <v>8.2266832207186678</v>
      </c>
      <c r="F30" s="124"/>
      <c r="G30" s="124">
        <f>$I$50*($I$49/(1-$I$50)*G26)</f>
        <v>26.272056257037324</v>
      </c>
      <c r="H30" s="124"/>
      <c r="I30" s="124">
        <f>$I$50*($I$49/(1-$I$50)*I26)</f>
        <v>132.1742176052112</v>
      </c>
      <c r="J30" s="124"/>
      <c r="K30" s="124">
        <f>$I$50*($I$49/(1-$I$50)*K26)</f>
        <v>1093.5718745673964</v>
      </c>
    </row>
    <row r="31" spans="1:12" x14ac:dyDescent="0.2">
      <c r="A31" s="6">
        <f t="shared" si="0"/>
        <v>11</v>
      </c>
      <c r="B31" s="5"/>
      <c r="C31" s="5" t="s">
        <v>20</v>
      </c>
      <c r="D31" s="5"/>
      <c r="E31" s="124">
        <v>14.905739335604316</v>
      </c>
      <c r="F31" s="124"/>
      <c r="G31" s="124">
        <v>45.213993127122002</v>
      </c>
      <c r="H31" s="124"/>
      <c r="I31" s="124">
        <v>210.90391551179474</v>
      </c>
      <c r="J31" s="124"/>
      <c r="K31" s="124">
        <v>1713.4779814163358</v>
      </c>
    </row>
    <row r="32" spans="1:12" x14ac:dyDescent="0.2">
      <c r="A32" s="6">
        <f t="shared" si="0"/>
        <v>12</v>
      </c>
      <c r="B32" s="5"/>
      <c r="C32" s="5" t="s">
        <v>21</v>
      </c>
      <c r="D32" s="5"/>
      <c r="E32" s="128">
        <f>'EGU 5.08p2'!E65</f>
        <v>0.04</v>
      </c>
      <c r="F32" s="128"/>
      <c r="G32" s="128">
        <f>'EGU 5.08p2'!F65</f>
        <v>2.33</v>
      </c>
      <c r="H32" s="128"/>
      <c r="I32" s="128">
        <f>'EGU 5.08p2'!H65</f>
        <v>97.38</v>
      </c>
      <c r="J32" s="128"/>
      <c r="K32" s="128">
        <f>'EGU 5.08p2'!I65</f>
        <v>268.67</v>
      </c>
    </row>
    <row r="33" spans="1:23" x14ac:dyDescent="0.2">
      <c r="A33" s="6">
        <f t="shared" si="0"/>
        <v>13</v>
      </c>
      <c r="B33" s="5"/>
      <c r="C33" s="5" t="s">
        <v>22</v>
      </c>
      <c r="D33" s="5"/>
      <c r="E33" s="124">
        <f>+E26*$I$51</f>
        <v>3.0912217544681666</v>
      </c>
      <c r="F33" s="124"/>
      <c r="G33" s="124">
        <f>+G26*$I$51</f>
        <v>9.8718705531086055</v>
      </c>
      <c r="H33" s="124"/>
      <c r="I33" s="124">
        <f>+I26*$I$51</f>
        <v>49.66519384288938</v>
      </c>
      <c r="J33" s="124"/>
      <c r="K33" s="124">
        <f>+K26*$I$51</f>
        <v>410.91568473472307</v>
      </c>
    </row>
    <row r="34" spans="1:23" x14ac:dyDescent="0.2">
      <c r="A34" s="6">
        <f t="shared" si="0"/>
        <v>14</v>
      </c>
      <c r="B34" s="5"/>
      <c r="C34" s="19" t="str">
        <f>"Annual Depreciation"</f>
        <v>Annual Depreciation</v>
      </c>
      <c r="D34" s="5"/>
      <c r="E34" s="126">
        <f>E17*I53+E18*I54+E19*I55</f>
        <v>30.425279229816287</v>
      </c>
      <c r="F34" s="126"/>
      <c r="G34" s="126">
        <f>G17*I53+G18*I54+G19*I55</f>
        <v>95.643813910697276</v>
      </c>
      <c r="H34" s="126"/>
      <c r="I34" s="126">
        <f>I17*I53+I18*I54+I19*I55</f>
        <v>471.67658368495051</v>
      </c>
      <c r="J34" s="126"/>
      <c r="K34" s="126">
        <f>K17*I53+K18*I54+K19*I55</f>
        <v>3918.2347543795904</v>
      </c>
    </row>
    <row r="35" spans="1:23" x14ac:dyDescent="0.2">
      <c r="A35" s="6">
        <f>A34+1</f>
        <v>15</v>
      </c>
      <c r="B35" s="5"/>
      <c r="C35" s="114" t="s">
        <v>175</v>
      </c>
      <c r="D35" s="3"/>
      <c r="E35" s="129">
        <f>SUM(E29:E34)</f>
        <v>87.709732013432003</v>
      </c>
      <c r="F35" s="129"/>
      <c r="G35" s="129">
        <f>SUM(G29:G34)</f>
        <v>278.39722640082323</v>
      </c>
      <c r="H35" s="129"/>
      <c r="I35" s="129">
        <f>SUM(I29:I34)</f>
        <v>1460.1965280143563</v>
      </c>
      <c r="J35" s="129"/>
      <c r="K35" s="129">
        <f>SUM(K29:K34)</f>
        <v>11528.462119660782</v>
      </c>
      <c r="M35" s="14"/>
    </row>
    <row r="36" spans="1:23" x14ac:dyDescent="0.2">
      <c r="A36" s="6"/>
      <c r="B36" s="5"/>
      <c r="C36" s="114"/>
      <c r="D36" s="3"/>
      <c r="E36" s="129"/>
      <c r="F36" s="129"/>
      <c r="G36" s="129"/>
      <c r="H36" s="129"/>
      <c r="I36" s="129"/>
      <c r="J36" s="129"/>
      <c r="K36" s="129"/>
      <c r="M36" s="14"/>
    </row>
    <row r="37" spans="1:23" x14ac:dyDescent="0.2">
      <c r="A37" s="6">
        <v>16</v>
      </c>
      <c r="B37" s="5"/>
      <c r="C37" s="3" t="s">
        <v>176</v>
      </c>
      <c r="D37" s="3"/>
      <c r="E37" s="129">
        <f>ROUND(+E35/12,1)</f>
        <v>7.3</v>
      </c>
      <c r="F37" s="129"/>
      <c r="G37" s="129">
        <f>ROUND(+G35/12,1)</f>
        <v>23.2</v>
      </c>
      <c r="H37" s="129"/>
      <c r="I37" s="129">
        <f>ROUND(+I35/12,1)</f>
        <v>121.7</v>
      </c>
      <c r="J37" s="129"/>
      <c r="K37" s="129">
        <f>ROUND(+K35/12,-1)</f>
        <v>960</v>
      </c>
      <c r="M37" s="14"/>
    </row>
    <row r="38" spans="1:23" x14ac:dyDescent="0.2">
      <c r="A38" s="6">
        <v>17</v>
      </c>
      <c r="B38" s="5"/>
      <c r="C38" s="3" t="s">
        <v>177</v>
      </c>
      <c r="D38" s="3"/>
      <c r="E38" s="135">
        <f>E37*12</f>
        <v>87.6</v>
      </c>
      <c r="F38" s="135"/>
      <c r="G38" s="135">
        <f t="shared" ref="G38:K38" si="1">G37*12</f>
        <v>278.39999999999998</v>
      </c>
      <c r="H38" s="135"/>
      <c r="I38" s="135">
        <f t="shared" si="1"/>
        <v>1460.4</v>
      </c>
      <c r="J38" s="135"/>
      <c r="K38" s="135">
        <f t="shared" si="1"/>
        <v>11520</v>
      </c>
    </row>
    <row r="39" spans="1:23" hidden="1" x14ac:dyDescent="0.2">
      <c r="A39" s="5">
        <v>19</v>
      </c>
      <c r="B39" s="5"/>
      <c r="C39" s="117" t="s">
        <v>26</v>
      </c>
      <c r="D39" s="118"/>
      <c r="E39" s="136">
        <v>512870430</v>
      </c>
      <c r="F39" s="136"/>
      <c r="G39" s="136">
        <v>23924300</v>
      </c>
      <c r="H39" s="136"/>
      <c r="I39" s="136">
        <v>987376</v>
      </c>
      <c r="J39" s="136"/>
      <c r="K39" s="136">
        <v>294350</v>
      </c>
      <c r="M39" s="115">
        <f>SUM(E39:K39)</f>
        <v>538076456</v>
      </c>
      <c r="N39" s="116" t="s">
        <v>172</v>
      </c>
    </row>
    <row r="40" spans="1:23" hidden="1" x14ac:dyDescent="0.2">
      <c r="A40" s="5"/>
      <c r="B40" s="5"/>
      <c r="C40" s="2"/>
      <c r="D40" s="5"/>
      <c r="E40" s="137"/>
      <c r="F40" s="137"/>
      <c r="G40" s="137"/>
      <c r="H40" s="137"/>
      <c r="I40" s="137"/>
      <c r="J40" s="137"/>
      <c r="K40" s="137"/>
    </row>
    <row r="41" spans="1:23" x14ac:dyDescent="0.2">
      <c r="A41" s="5"/>
      <c r="B41" s="5"/>
      <c r="C41" s="2"/>
      <c r="D41" s="5"/>
      <c r="E41" s="137"/>
      <c r="F41" s="137"/>
      <c r="G41" s="137"/>
      <c r="H41" s="137"/>
      <c r="I41" s="137"/>
      <c r="J41" s="137"/>
      <c r="K41" s="137"/>
    </row>
    <row r="42" spans="1:23" x14ac:dyDescent="0.2">
      <c r="A42" s="5">
        <v>18</v>
      </c>
      <c r="B42" s="5"/>
      <c r="C42" s="114" t="s">
        <v>174</v>
      </c>
      <c r="D42" s="5"/>
      <c r="E42" s="137">
        <v>6.75</v>
      </c>
      <c r="F42" s="137"/>
      <c r="G42" s="137">
        <v>18.25</v>
      </c>
      <c r="H42" s="137"/>
      <c r="I42" s="137">
        <v>63.5</v>
      </c>
      <c r="J42" s="137"/>
      <c r="K42" s="137">
        <v>420.25</v>
      </c>
    </row>
    <row r="43" spans="1:23" x14ac:dyDescent="0.2">
      <c r="A43" s="5">
        <v>19</v>
      </c>
      <c r="C43" s="138" t="s">
        <v>178</v>
      </c>
      <c r="E43" s="139">
        <f>E42*12</f>
        <v>81</v>
      </c>
      <c r="F43" s="139"/>
      <c r="G43" s="139">
        <f t="shared" ref="G43:K43" si="2">G42*12</f>
        <v>219</v>
      </c>
      <c r="H43" s="139"/>
      <c r="I43" s="139">
        <f t="shared" si="2"/>
        <v>762</v>
      </c>
      <c r="J43" s="139"/>
      <c r="K43" s="139">
        <f t="shared" si="2"/>
        <v>5043</v>
      </c>
    </row>
    <row r="44" spans="1:23" x14ac:dyDescent="0.2">
      <c r="A44" s="5"/>
      <c r="C44" s="138"/>
      <c r="E44" s="139"/>
      <c r="F44" s="139"/>
      <c r="G44" s="139"/>
      <c r="H44" s="139"/>
      <c r="I44" s="139"/>
      <c r="J44" s="139"/>
      <c r="K44" s="139"/>
    </row>
    <row r="45" spans="1:23" x14ac:dyDescent="0.2">
      <c r="A45" s="5">
        <v>20</v>
      </c>
      <c r="C45" s="138" t="s">
        <v>179</v>
      </c>
      <c r="E45" s="143">
        <f>E35/E43-1</f>
        <v>8.2836197696691372E-2</v>
      </c>
      <c r="F45" s="143"/>
      <c r="G45" s="143">
        <f>G35/G43-1</f>
        <v>0.27122021187590506</v>
      </c>
      <c r="H45" s="143"/>
      <c r="I45" s="143">
        <f t="shared" ref="I45" si="3">I37/I42-1</f>
        <v>0.91653543307086616</v>
      </c>
      <c r="J45" s="143"/>
      <c r="K45" s="143">
        <f>K35/K43-1</f>
        <v>1.286032544053298</v>
      </c>
    </row>
    <row r="46" spans="1:23" x14ac:dyDescent="0.2">
      <c r="E46" s="22"/>
      <c r="F46" s="22"/>
      <c r="G46" s="22"/>
      <c r="H46" s="22"/>
      <c r="I46" s="22"/>
      <c r="J46" s="22"/>
      <c r="K46" s="22"/>
    </row>
    <row r="47" spans="1:23" x14ac:dyDescent="0.2">
      <c r="A47" s="5"/>
      <c r="B47" s="10" t="s">
        <v>27</v>
      </c>
      <c r="C47" s="5"/>
      <c r="D47" s="5"/>
      <c r="E47" s="5"/>
      <c r="F47" s="5"/>
      <c r="G47" s="5"/>
      <c r="H47" s="5"/>
      <c r="I47" s="5"/>
      <c r="J47" s="5"/>
      <c r="K47" s="5"/>
    </row>
    <row r="48" spans="1:23" x14ac:dyDescent="0.2">
      <c r="A48" s="20">
        <v>21</v>
      </c>
      <c r="B48" s="5"/>
      <c r="C48" s="5" t="s">
        <v>28</v>
      </c>
      <c r="D48" s="5"/>
      <c r="E48" s="5"/>
      <c r="F48" s="5"/>
      <c r="G48" s="5"/>
      <c r="H48" s="5"/>
      <c r="I48" s="130">
        <v>6.8559999999999996E-2</v>
      </c>
      <c r="J48" s="130"/>
      <c r="N48" s="7"/>
      <c r="O48" s="110"/>
      <c r="P48" s="105"/>
      <c r="Q48" s="22"/>
      <c r="R48" s="100"/>
      <c r="S48" s="100"/>
      <c r="T48" s="100"/>
      <c r="U48" s="100"/>
      <c r="V48" s="22"/>
      <c r="W48" s="22"/>
    </row>
    <row r="49" spans="1:23" x14ac:dyDescent="0.2">
      <c r="A49" s="20">
        <f t="shared" ref="A49:A55" si="4">A48+1</f>
        <v>22</v>
      </c>
      <c r="B49" s="5"/>
      <c r="C49" s="5" t="s">
        <v>29</v>
      </c>
      <c r="D49" s="5"/>
      <c r="E49" s="5"/>
      <c r="F49" s="5"/>
      <c r="G49" s="5"/>
      <c r="H49" s="5"/>
      <c r="I49" s="7">
        <v>5.6181935214384422E-2</v>
      </c>
      <c r="J49" s="7"/>
      <c r="K49" s="7"/>
      <c r="P49" s="105"/>
      <c r="Q49" s="22"/>
      <c r="R49" s="100"/>
      <c r="S49" s="100"/>
      <c r="T49" s="100"/>
      <c r="U49" s="100"/>
      <c r="V49" s="22"/>
      <c r="W49" s="22"/>
    </row>
    <row r="50" spans="1:23" x14ac:dyDescent="0.2">
      <c r="A50" s="20">
        <f t="shared" si="4"/>
        <v>23</v>
      </c>
      <c r="B50" s="5"/>
      <c r="C50" s="5" t="s">
        <v>30</v>
      </c>
      <c r="D50" s="5"/>
      <c r="E50" s="5"/>
      <c r="F50" s="5"/>
      <c r="G50" s="5"/>
      <c r="H50" s="5"/>
      <c r="I50" s="7">
        <v>0.24450058769999999</v>
      </c>
      <c r="J50" s="7"/>
      <c r="K50" s="7"/>
      <c r="P50" s="105"/>
      <c r="Q50" s="22"/>
      <c r="R50" s="100"/>
      <c r="S50" s="100"/>
      <c r="T50" s="100"/>
      <c r="U50" s="100"/>
      <c r="V50" s="22"/>
      <c r="W50" s="22"/>
    </row>
    <row r="51" spans="1:23" x14ac:dyDescent="0.2">
      <c r="A51" s="20">
        <f t="shared" si="4"/>
        <v>24</v>
      </c>
      <c r="B51" s="5"/>
      <c r="C51" s="5" t="s">
        <v>31</v>
      </c>
      <c r="D51" s="5"/>
      <c r="E51" s="5"/>
      <c r="F51" s="5"/>
      <c r="G51" s="5"/>
      <c r="H51" s="5"/>
      <c r="I51" s="21">
        <v>6.8320000000000004E-3</v>
      </c>
      <c r="J51" s="21"/>
      <c r="K51" s="21"/>
      <c r="P51" s="105"/>
      <c r="Q51" s="22"/>
      <c r="R51" s="100"/>
      <c r="S51" s="100"/>
      <c r="T51" s="100"/>
      <c r="U51" s="100"/>
      <c r="V51" s="22"/>
      <c r="W51" s="22"/>
    </row>
    <row r="52" spans="1:23" x14ac:dyDescent="0.2">
      <c r="A52" s="20">
        <f t="shared" si="4"/>
        <v>25</v>
      </c>
      <c r="B52" s="5"/>
      <c r="C52" s="20" t="s">
        <v>32</v>
      </c>
      <c r="D52" s="5"/>
      <c r="E52" s="5"/>
      <c r="F52" s="5"/>
      <c r="G52" s="5"/>
      <c r="H52" s="5"/>
      <c r="I52" s="21">
        <v>1.9265573031240449E-2</v>
      </c>
      <c r="J52" s="21"/>
      <c r="K52" s="21"/>
      <c r="P52" s="14"/>
    </row>
    <row r="53" spans="1:23" x14ac:dyDescent="0.2">
      <c r="A53" s="20">
        <f t="shared" si="4"/>
        <v>26</v>
      </c>
      <c r="C53" s="5" t="s">
        <v>33</v>
      </c>
      <c r="I53" s="22">
        <v>3.6400000000000002E-2</v>
      </c>
      <c r="J53" s="22"/>
    </row>
    <row r="54" spans="1:23" x14ac:dyDescent="0.2">
      <c r="A54" s="20">
        <f t="shared" si="4"/>
        <v>27</v>
      </c>
      <c r="C54" s="5" t="s">
        <v>34</v>
      </c>
      <c r="I54" s="22">
        <v>2.4199999999999999E-2</v>
      </c>
      <c r="J54" s="22"/>
    </row>
    <row r="55" spans="1:23" x14ac:dyDescent="0.2">
      <c r="A55" s="20">
        <f t="shared" si="4"/>
        <v>28</v>
      </c>
      <c r="C55" s="5" t="s">
        <v>35</v>
      </c>
      <c r="I55" s="22">
        <v>4.5474013888570135E-2</v>
      </c>
      <c r="J55" s="22"/>
    </row>
    <row r="58" spans="1:23" x14ac:dyDescent="0.2">
      <c r="P58" s="109"/>
    </row>
    <row r="60" spans="1:23" x14ac:dyDescent="0.2">
      <c r="E60" s="101"/>
      <c r="F60" s="101"/>
    </row>
    <row r="62" spans="1:23" x14ac:dyDescent="0.2">
      <c r="E62" s="101"/>
      <c r="F62" s="101"/>
    </row>
    <row r="92" spans="13:13" x14ac:dyDescent="0.2">
      <c r="M92" s="1"/>
    </row>
    <row r="93" spans="13:13" x14ac:dyDescent="0.2">
      <c r="M93" s="1"/>
    </row>
    <row r="94" spans="13:13" x14ac:dyDescent="0.2">
      <c r="M94" s="1"/>
    </row>
    <row r="95" spans="13:13" x14ac:dyDescent="0.2">
      <c r="M95" s="1"/>
    </row>
    <row r="97" spans="7:13" x14ac:dyDescent="0.2">
      <c r="M97" s="107"/>
    </row>
    <row r="98" spans="7:13" x14ac:dyDescent="0.2">
      <c r="M98" s="107"/>
    </row>
    <row r="99" spans="7:13" x14ac:dyDescent="0.2">
      <c r="M99" s="108"/>
    </row>
    <row r="100" spans="7:13" x14ac:dyDescent="0.2">
      <c r="G100" s="106"/>
      <c r="H100" s="106"/>
    </row>
    <row r="101" spans="7:13" x14ac:dyDescent="0.2">
      <c r="G101" s="106"/>
      <c r="H101" s="106"/>
    </row>
  </sheetData>
  <mergeCells count="4">
    <mergeCell ref="B6:K6"/>
    <mergeCell ref="B8:K8"/>
    <mergeCell ref="B7:K7"/>
    <mergeCell ref="E12:K12"/>
  </mergeCells>
  <printOptions horizontalCentered="1" verticalCentered="1"/>
  <pageMargins left="0.5" right="0.5" top="0.75" bottom="0.5" header="0.5" footer="0.5"/>
  <pageSetup orientation="portrait" r:id="rId1"/>
  <headerFooter scaleWithDoc="0" alignWithMargins="0">
    <oddHeader>&amp;R&amp;"Arial,Bold"&amp;14ANGC Exhibit 1.01 SUR&amp;"Arial,Regular"&amp;10
&amp;11Page 1 of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>
    <pageSetUpPr fitToPage="1"/>
  </sheetPr>
  <dimension ref="A1:AB179"/>
  <sheetViews>
    <sheetView topLeftCell="A78" zoomScale="90" zoomScaleNormal="90" workbookViewId="0">
      <selection activeCell="S104" sqref="A104:S104"/>
    </sheetView>
  </sheetViews>
  <sheetFormatPr defaultColWidth="12.7109375" defaultRowHeight="12.75" x14ac:dyDescent="0.2"/>
  <cols>
    <col min="1" max="1" width="15.140625" customWidth="1"/>
    <col min="2" max="2" width="18" customWidth="1"/>
    <col min="3" max="3" width="19.7109375" customWidth="1"/>
    <col min="4" max="4" width="14.7109375" customWidth="1"/>
    <col min="5" max="5" width="22.5703125" customWidth="1"/>
    <col min="6" max="6" width="16.140625" bestFit="1" customWidth="1"/>
    <col min="7" max="7" width="1.7109375" customWidth="1"/>
    <col min="8" max="10" width="17" customWidth="1"/>
    <col min="11" max="11" width="15.140625" customWidth="1"/>
    <col min="12" max="12" width="13.85546875" customWidth="1"/>
    <col min="13" max="13" width="14.7109375" customWidth="1"/>
    <col min="14" max="15" width="10.7109375" customWidth="1"/>
    <col min="16" max="16" width="16.42578125" customWidth="1"/>
    <col min="17" max="17" width="2.7109375" customWidth="1"/>
    <col min="18" max="18" width="14.7109375" customWidth="1"/>
  </cols>
  <sheetData>
    <row r="1" spans="1:28" ht="18" x14ac:dyDescent="0.25">
      <c r="A1" s="111" t="s">
        <v>0</v>
      </c>
      <c r="B1" s="3"/>
      <c r="C1" s="3"/>
      <c r="D1" s="3"/>
      <c r="E1" s="3"/>
      <c r="F1" s="3"/>
      <c r="G1" s="3"/>
      <c r="H1" s="3"/>
      <c r="J1" s="27" t="s">
        <v>170</v>
      </c>
      <c r="K1" s="3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15" x14ac:dyDescent="0.2">
      <c r="A2" s="112" t="s">
        <v>173</v>
      </c>
      <c r="B2" s="3"/>
      <c r="C2" s="3"/>
      <c r="D2" s="3"/>
      <c r="E2" s="3"/>
      <c r="F2" s="3"/>
      <c r="G2" s="3"/>
      <c r="H2" s="3"/>
      <c r="I2" s="3"/>
      <c r="J2" s="113" t="s">
        <v>36</v>
      </c>
      <c r="K2" s="3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26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5" x14ac:dyDescent="0.2">
      <c r="A4" s="121" t="s">
        <v>171</v>
      </c>
      <c r="B4" s="3"/>
      <c r="C4" s="3"/>
      <c r="D4" s="3"/>
      <c r="E4" s="3"/>
      <c r="F4" s="3"/>
      <c r="G4" s="3"/>
      <c r="H4" s="3"/>
      <c r="I4" s="3"/>
      <c r="J4" s="3"/>
      <c r="K4" s="3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27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4"/>
      <c r="P6" s="27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4"/>
      <c r="P7" s="27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4"/>
      <c r="P8" s="27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23.25" x14ac:dyDescent="0.35">
      <c r="A9" s="28" t="s">
        <v>37</v>
      </c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5"/>
      <c r="O9" s="5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3.5" customHeight="1" x14ac:dyDescent="0.35">
      <c r="A10" s="28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5"/>
      <c r="O10" s="5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3.5" customHeight="1" x14ac:dyDescent="0.35">
      <c r="A11" s="28"/>
      <c r="M11" s="30"/>
      <c r="N11" s="5"/>
      <c r="O11" s="5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3.5" customHeight="1" x14ac:dyDescent="0.35">
      <c r="A12" s="28"/>
      <c r="N12" s="5"/>
      <c r="O12" s="5"/>
      <c r="P12" s="4"/>
      <c r="Q12" s="4"/>
      <c r="R12" s="79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5" customHeight="1" x14ac:dyDescent="0.2">
      <c r="B13" s="4" t="s">
        <v>38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N13" s="5"/>
      <c r="O13" s="5"/>
      <c r="P13" s="4"/>
      <c r="Q13" s="4"/>
      <c r="R13" s="79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3.5" customHeight="1" x14ac:dyDescent="0.2">
      <c r="A14" s="31"/>
      <c r="B14" s="32"/>
      <c r="C14" s="32"/>
      <c r="F14" s="33" t="s">
        <v>39</v>
      </c>
      <c r="H14" s="6" t="s">
        <v>40</v>
      </c>
      <c r="I14" s="6" t="s">
        <v>41</v>
      </c>
      <c r="J14" s="6" t="s">
        <v>42</v>
      </c>
      <c r="K14" s="32"/>
      <c r="N14" s="5"/>
      <c r="O14" s="5"/>
      <c r="P14" s="4"/>
      <c r="Q14" s="4"/>
      <c r="R14" s="79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3.5" customHeight="1" x14ac:dyDescent="0.2">
      <c r="A15" s="31"/>
      <c r="B15" s="34" t="s">
        <v>43</v>
      </c>
      <c r="C15" s="34"/>
      <c r="F15" s="35" t="s">
        <v>44</v>
      </c>
      <c r="H15" s="37" t="s">
        <v>45</v>
      </c>
      <c r="I15" s="37" t="s">
        <v>44</v>
      </c>
      <c r="J15" s="37" t="s">
        <v>46</v>
      </c>
      <c r="K15" s="36"/>
      <c r="N15" s="5"/>
      <c r="O15" s="5"/>
      <c r="P15" s="4"/>
      <c r="Q15" s="4"/>
      <c r="R15" s="79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3.5" customHeight="1" x14ac:dyDescent="0.2">
      <c r="A16" s="31"/>
      <c r="B16" s="5" t="s">
        <v>47</v>
      </c>
      <c r="D16" t="s">
        <v>48</v>
      </c>
      <c r="F16" s="38">
        <v>526170953.66000003</v>
      </c>
      <c r="H16" s="99">
        <v>308937878.48000002</v>
      </c>
      <c r="I16" s="99">
        <f>F16-H16</f>
        <v>217233075.18000001</v>
      </c>
      <c r="J16" s="7">
        <f>ROUND(I16/F16,4)</f>
        <v>0.41289999999999999</v>
      </c>
      <c r="K16" s="38"/>
      <c r="N16" s="5"/>
      <c r="O16" s="5"/>
      <c r="P16" s="4"/>
      <c r="Q16" s="4"/>
      <c r="R16" s="79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3.5" customHeight="1" x14ac:dyDescent="0.2">
      <c r="A17" s="31"/>
      <c r="B17" s="5" t="s">
        <v>49</v>
      </c>
      <c r="D17" t="str">
        <f>D16</f>
        <v>Plant Inv. &amp; Res.</v>
      </c>
      <c r="F17" s="38">
        <v>1318378605.9099998</v>
      </c>
      <c r="H17" s="38">
        <v>375163286.11239332</v>
      </c>
      <c r="I17" s="38">
        <f>F17-H17</f>
        <v>943215319.79760647</v>
      </c>
      <c r="J17" s="7">
        <f>ROUND(I17/F17,4)</f>
        <v>0.71540000000000004</v>
      </c>
      <c r="K17" s="38"/>
      <c r="N17" s="5"/>
      <c r="O17" s="5"/>
      <c r="P17" s="4"/>
      <c r="Q17" s="4"/>
      <c r="R17" s="79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5" x14ac:dyDescent="0.2">
      <c r="A18" s="3"/>
      <c r="B18" s="20" t="s">
        <v>50</v>
      </c>
      <c r="D18" t="str">
        <f>D17</f>
        <v>Plant Inv. &amp; Res.</v>
      </c>
      <c r="F18" s="39">
        <v>522245888.69</v>
      </c>
      <c r="H18" s="39">
        <v>145906950.21000001</v>
      </c>
      <c r="I18" s="39">
        <f>F18-H18</f>
        <v>376338938.48000002</v>
      </c>
      <c r="J18" s="40">
        <f>ROUND(I18/F18,4)</f>
        <v>0.72060000000000002</v>
      </c>
      <c r="K18" s="39"/>
      <c r="M18" s="3"/>
      <c r="N18" s="5"/>
      <c r="O18" s="5"/>
      <c r="P18" s="4"/>
      <c r="Q18" s="4"/>
      <c r="R18" s="79"/>
      <c r="S18" s="4"/>
      <c r="T18" s="4"/>
      <c r="U18" s="4"/>
      <c r="V18" s="4"/>
      <c r="W18" s="4"/>
      <c r="X18" s="4"/>
      <c r="Y18" s="4"/>
    </row>
    <row r="19" spans="1:28" ht="15" x14ac:dyDescent="0.2">
      <c r="A19" s="31"/>
      <c r="B19" s="32" t="s">
        <v>51</v>
      </c>
      <c r="F19" s="41">
        <f>SUM(F16:F18)</f>
        <v>2366795448.2599998</v>
      </c>
      <c r="H19" s="41">
        <f>SUM(H16:H18)</f>
        <v>830008114.80239344</v>
      </c>
      <c r="I19" s="41">
        <f>SUM(I16:I18)</f>
        <v>1536787333.4576066</v>
      </c>
      <c r="J19" s="7">
        <f>ROUND(I19/F19,4)</f>
        <v>0.64929999999999999</v>
      </c>
      <c r="K19" s="41"/>
      <c r="M19" s="4"/>
      <c r="N19" s="5"/>
      <c r="O19" s="5"/>
      <c r="P19" s="4"/>
      <c r="Q19" s="4"/>
      <c r="R19" s="79"/>
      <c r="S19" s="4"/>
      <c r="T19" s="4"/>
      <c r="U19" s="4"/>
      <c r="V19" s="4"/>
      <c r="W19" s="4"/>
      <c r="X19" s="4"/>
      <c r="Y19" s="4"/>
    </row>
    <row r="20" spans="1:28" ht="1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  <c r="O20" s="5"/>
      <c r="P20" s="4"/>
      <c r="Q20" s="4"/>
      <c r="R20" s="79"/>
      <c r="S20" s="4"/>
      <c r="T20" s="4"/>
      <c r="U20" s="4"/>
      <c r="V20" s="4"/>
      <c r="W20" s="4"/>
      <c r="X20" s="4"/>
      <c r="Y20" s="4"/>
      <c r="Z20" s="4"/>
      <c r="AA20" s="5"/>
      <c r="AB20" s="5"/>
    </row>
    <row r="21" spans="1:28" ht="15" x14ac:dyDescent="0.2">
      <c r="A21" s="4" t="s">
        <v>52</v>
      </c>
      <c r="B21" s="4" t="s">
        <v>53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5"/>
      <c r="O21" s="5"/>
      <c r="P21" s="4"/>
      <c r="Q21" s="4"/>
      <c r="R21" s="79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5" x14ac:dyDescent="0.2">
      <c r="A22" s="4"/>
      <c r="B22" s="4" t="s">
        <v>54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  <c r="O22" s="5"/>
      <c r="P22" s="4"/>
      <c r="Q22" s="4"/>
      <c r="R22" s="79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  <c r="O23" s="5"/>
      <c r="P23" s="4"/>
      <c r="Q23" s="4"/>
      <c r="R23" s="79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5" x14ac:dyDescent="0.2">
      <c r="A24" s="4" t="s">
        <v>55</v>
      </c>
      <c r="B24" s="4" t="s">
        <v>56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  <c r="O24" s="5"/>
      <c r="P24" s="4"/>
      <c r="Q24" s="4"/>
      <c r="R24" s="79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5" x14ac:dyDescent="0.2">
      <c r="A25" s="4"/>
      <c r="B25" s="4"/>
      <c r="C25" s="4"/>
      <c r="D25" s="4"/>
      <c r="E25" s="4"/>
      <c r="F25" s="4"/>
      <c r="G25" s="4"/>
      <c r="H25" s="4"/>
      <c r="I25" s="4" t="s">
        <v>168</v>
      </c>
      <c r="J25" s="4"/>
      <c r="K25" s="4"/>
      <c r="L25" s="4"/>
      <c r="M25" s="4"/>
      <c r="N25" s="5"/>
      <c r="O25" s="5"/>
      <c r="P25" s="4"/>
      <c r="Q25" s="4"/>
      <c r="R25" s="79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5" x14ac:dyDescent="0.2">
      <c r="A26" s="4" t="s">
        <v>57</v>
      </c>
      <c r="B26" s="4" t="s">
        <v>58</v>
      </c>
      <c r="C26" s="4"/>
      <c r="D26" s="4"/>
      <c r="F26" s="42">
        <v>6.8559999999999996E-2</v>
      </c>
      <c r="G26" s="43"/>
      <c r="H26" s="43" t="s">
        <v>59</v>
      </c>
      <c r="I26" s="4"/>
      <c r="J26" s="4"/>
      <c r="K26" s="4"/>
      <c r="L26" s="4"/>
      <c r="M26" s="4"/>
      <c r="N26" s="5"/>
      <c r="O26" s="5"/>
      <c r="P26" s="4"/>
      <c r="Q26" s="4"/>
      <c r="R26" s="79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5" x14ac:dyDescent="0.2">
      <c r="A27" s="4"/>
      <c r="B27" s="4"/>
      <c r="C27" s="4"/>
      <c r="D27" s="4"/>
      <c r="F27" s="4"/>
      <c r="G27" s="4"/>
      <c r="H27" s="4"/>
      <c r="I27" s="4"/>
      <c r="J27" s="4"/>
      <c r="K27" s="4"/>
      <c r="L27" s="4"/>
      <c r="M27" s="4"/>
      <c r="N27" s="5"/>
      <c r="O27" s="5"/>
      <c r="R27" s="80"/>
    </row>
    <row r="28" spans="1:28" ht="15" x14ac:dyDescent="0.2">
      <c r="A28" s="4" t="s">
        <v>60</v>
      </c>
      <c r="B28" s="4" t="s">
        <v>61</v>
      </c>
      <c r="C28" s="4"/>
      <c r="D28" s="4"/>
      <c r="F28" s="4"/>
      <c r="G28" s="4"/>
      <c r="H28" s="4"/>
      <c r="I28" s="4"/>
      <c r="J28" s="4"/>
      <c r="K28" s="4"/>
      <c r="L28" s="42">
        <f>'ANGC Revised EGU 5.08p1'!I50</f>
        <v>0.24450058769999999</v>
      </c>
      <c r="M28" s="4"/>
      <c r="N28" s="5"/>
      <c r="O28" s="5"/>
      <c r="R28" s="80"/>
    </row>
    <row r="29" spans="1:28" ht="15" x14ac:dyDescent="0.2">
      <c r="A29" s="4"/>
      <c r="B29" s="4" t="s">
        <v>62</v>
      </c>
      <c r="C29" s="4"/>
      <c r="D29" s="4"/>
      <c r="F29" s="42">
        <f>'ANGC Revised EGU 5.08p1'!I49</f>
        <v>5.6181935214384422E-2</v>
      </c>
      <c r="G29" s="43"/>
      <c r="H29" s="43" t="str">
        <f>H26</f>
        <v xml:space="preserve"> QGC filed capital structure.</v>
      </c>
      <c r="I29" s="4"/>
      <c r="J29" s="4"/>
      <c r="K29" s="4"/>
      <c r="L29" s="4"/>
      <c r="M29" s="4"/>
      <c r="N29" s="5"/>
      <c r="O29" s="5"/>
      <c r="R29" s="80"/>
    </row>
    <row r="30" spans="1:28" ht="15" x14ac:dyDescent="0.2">
      <c r="A30" s="4"/>
      <c r="B30" s="4" t="s">
        <v>63</v>
      </c>
      <c r="C30" s="4"/>
      <c r="D30" s="4"/>
      <c r="F30" s="4"/>
      <c r="G30" s="4"/>
      <c r="H30" s="4"/>
      <c r="I30" s="4"/>
      <c r="J30" s="4"/>
      <c r="K30" s="4"/>
      <c r="L30" s="4"/>
      <c r="M30" s="4"/>
      <c r="N30" s="5"/>
      <c r="O30" s="5"/>
      <c r="R30" s="80"/>
    </row>
    <row r="31" spans="1:28" ht="15" x14ac:dyDescent="0.2">
      <c r="A31" s="4"/>
      <c r="B31" s="4"/>
      <c r="C31" s="4"/>
      <c r="D31" s="4"/>
      <c r="F31" s="4"/>
      <c r="G31" s="4"/>
      <c r="H31" s="4"/>
      <c r="I31" s="4"/>
      <c r="J31" s="4"/>
      <c r="K31" s="4"/>
      <c r="L31" s="4"/>
      <c r="M31" s="4"/>
      <c r="N31" s="5"/>
      <c r="O31" s="5"/>
      <c r="R31" s="80"/>
    </row>
    <row r="32" spans="1:28" ht="15" x14ac:dyDescent="0.2">
      <c r="A32" s="4" t="s">
        <v>64</v>
      </c>
      <c r="B32" s="4" t="s">
        <v>65</v>
      </c>
      <c r="C32" s="4"/>
      <c r="D32" s="4"/>
      <c r="F32" s="42">
        <f>'ANGC Revised EGU 5.08p1'!I52</f>
        <v>1.9265573031240449E-2</v>
      </c>
      <c r="G32" s="43"/>
      <c r="H32" s="43" t="s">
        <v>66</v>
      </c>
      <c r="I32" s="4"/>
      <c r="J32" s="4"/>
      <c r="K32" s="4"/>
      <c r="L32" s="4"/>
      <c r="M32" s="4"/>
      <c r="N32" s="5"/>
      <c r="O32" s="5"/>
      <c r="R32" s="80"/>
    </row>
    <row r="33" spans="1:18" ht="15" x14ac:dyDescent="0.2">
      <c r="A33" s="43"/>
      <c r="B33" s="44" t="str">
        <f>"Ratio of total adjusted filed O&amp;M Expenses (below) to total gross Investment of "&amp;DOLLAR('EGU 5.08p2'!F19,0)&amp;" from table above."</f>
        <v>Ratio of total adjusted filed O&amp;M Expenses (below) to total gross Investment of $2,366,795,448 from table above.</v>
      </c>
      <c r="C33" s="4"/>
      <c r="D33" s="4"/>
      <c r="E33" s="4"/>
      <c r="F33" s="45"/>
      <c r="G33" s="45"/>
      <c r="H33" s="46"/>
      <c r="I33" s="46"/>
      <c r="J33" s="46"/>
      <c r="K33" s="46"/>
      <c r="L33" s="4"/>
      <c r="M33" s="4"/>
      <c r="N33" s="5"/>
      <c r="O33" s="5"/>
      <c r="R33" s="80"/>
    </row>
    <row r="34" spans="1:18" ht="15" x14ac:dyDescent="0.2">
      <c r="A34" s="4"/>
      <c r="B34" s="4"/>
      <c r="C34" s="4"/>
      <c r="D34" s="4"/>
      <c r="E34" s="4"/>
      <c r="F34" s="46"/>
      <c r="G34" s="46"/>
      <c r="H34" s="46"/>
      <c r="I34" s="46"/>
      <c r="J34" s="46"/>
      <c r="K34" s="46"/>
      <c r="L34" s="47"/>
      <c r="M34" s="4"/>
      <c r="N34" s="5"/>
      <c r="O34" s="5"/>
      <c r="R34" s="80"/>
    </row>
    <row r="35" spans="1:18" ht="15" x14ac:dyDescent="0.2">
      <c r="A35" s="4"/>
      <c r="B35" s="4"/>
      <c r="C35" s="4"/>
      <c r="D35" s="4"/>
      <c r="E35" s="4"/>
      <c r="F35" s="68" t="s">
        <v>67</v>
      </c>
      <c r="G35" s="68"/>
      <c r="H35" s="46"/>
      <c r="I35" s="46"/>
      <c r="J35" s="46"/>
      <c r="K35" s="46"/>
      <c r="L35" s="47"/>
      <c r="M35" s="4"/>
      <c r="N35" s="5"/>
      <c r="O35" s="5"/>
      <c r="R35" s="80"/>
    </row>
    <row r="36" spans="1:18" ht="15" x14ac:dyDescent="0.2">
      <c r="A36" s="4"/>
      <c r="B36" s="23" t="s">
        <v>68</v>
      </c>
      <c r="C36" s="48" t="s">
        <v>69</v>
      </c>
      <c r="D36" s="48"/>
      <c r="E36" s="48"/>
      <c r="F36" s="23" t="s">
        <v>70</v>
      </c>
      <c r="G36" s="23"/>
      <c r="H36" s="46"/>
      <c r="I36" s="46"/>
      <c r="J36" s="46"/>
      <c r="K36" s="46"/>
      <c r="L36" s="47"/>
      <c r="M36" s="4"/>
      <c r="N36" s="5"/>
      <c r="O36" s="5"/>
      <c r="R36" s="80"/>
    </row>
    <row r="37" spans="1:18" ht="15" x14ac:dyDescent="0.2">
      <c r="A37" s="4"/>
      <c r="B37" s="47" t="s">
        <v>71</v>
      </c>
      <c r="C37" s="4" t="s">
        <v>72</v>
      </c>
      <c r="D37" s="4"/>
      <c r="E37" s="4"/>
      <c r="F37" s="45">
        <v>22555834.213313218</v>
      </c>
      <c r="G37" s="45"/>
      <c r="H37" s="49"/>
      <c r="I37" s="49"/>
      <c r="J37" s="49"/>
      <c r="K37" s="49"/>
      <c r="L37" s="50"/>
      <c r="M37" s="4"/>
      <c r="N37" s="5"/>
      <c r="O37" s="5"/>
      <c r="R37" s="80"/>
    </row>
    <row r="38" spans="1:18" ht="15" x14ac:dyDescent="0.2">
      <c r="A38" s="4"/>
      <c r="B38" s="47" t="s">
        <v>73</v>
      </c>
      <c r="C38" s="4" t="s">
        <v>74</v>
      </c>
      <c r="D38" s="4"/>
      <c r="E38" s="4"/>
      <c r="F38" s="50">
        <v>3169781.8930740254</v>
      </c>
      <c r="G38" s="50"/>
      <c r="H38" s="51"/>
      <c r="I38" s="51"/>
      <c r="J38" s="51"/>
      <c r="K38" s="51"/>
      <c r="L38" s="50"/>
      <c r="M38" s="4"/>
      <c r="N38" s="5"/>
      <c r="O38" s="5"/>
      <c r="R38" s="80"/>
    </row>
    <row r="39" spans="1:18" ht="15" x14ac:dyDescent="0.2">
      <c r="A39" s="4"/>
      <c r="B39" s="47" t="s">
        <v>75</v>
      </c>
      <c r="C39" s="4" t="s">
        <v>76</v>
      </c>
      <c r="D39" s="4"/>
      <c r="E39" s="4"/>
      <c r="F39" s="50">
        <v>2754144.4613588825</v>
      </c>
      <c r="G39" s="50"/>
      <c r="H39" s="51"/>
      <c r="I39" s="51"/>
      <c r="J39" s="51"/>
      <c r="K39" s="51"/>
      <c r="L39" s="50"/>
      <c r="M39" s="4"/>
      <c r="N39" s="5"/>
      <c r="O39" s="5"/>
      <c r="R39" s="80"/>
    </row>
    <row r="40" spans="1:18" ht="15" x14ac:dyDescent="0.2">
      <c r="A40" s="4"/>
      <c r="B40" s="47" t="s">
        <v>77</v>
      </c>
      <c r="C40" s="4" t="s">
        <v>78</v>
      </c>
      <c r="D40" s="4"/>
      <c r="E40" s="4"/>
      <c r="F40" s="50">
        <v>14610308.284408176</v>
      </c>
      <c r="G40" s="50"/>
      <c r="H40" s="51"/>
      <c r="I40" s="51"/>
      <c r="J40" s="51"/>
      <c r="K40" s="51"/>
      <c r="L40" s="50"/>
      <c r="M40" s="4"/>
      <c r="N40" s="5"/>
      <c r="O40" s="5"/>
      <c r="R40" s="80"/>
    </row>
    <row r="41" spans="1:18" ht="15" x14ac:dyDescent="0.2">
      <c r="A41" s="4"/>
      <c r="B41" s="47" t="s">
        <v>79</v>
      </c>
      <c r="C41" s="4" t="s">
        <v>80</v>
      </c>
      <c r="D41" s="4"/>
      <c r="E41" s="4"/>
      <c r="F41" s="50">
        <v>1359392.5534076209</v>
      </c>
      <c r="G41" s="50"/>
      <c r="H41" s="51"/>
      <c r="I41" s="51"/>
      <c r="J41" s="51"/>
      <c r="K41" s="51"/>
      <c r="L41" s="50"/>
      <c r="M41" s="4"/>
      <c r="N41" s="5"/>
      <c r="O41" s="5"/>
      <c r="R41" s="80"/>
    </row>
    <row r="42" spans="1:18" ht="15" x14ac:dyDescent="0.2">
      <c r="A42" s="4"/>
      <c r="B42" s="47" t="s">
        <v>81</v>
      </c>
      <c r="C42" s="4" t="s">
        <v>82</v>
      </c>
      <c r="D42" s="4"/>
      <c r="E42" s="4"/>
      <c r="F42" s="52">
        <v>1148209.1528985801</v>
      </c>
      <c r="G42" s="52"/>
      <c r="H42" s="51"/>
      <c r="I42" s="51"/>
      <c r="J42" s="51"/>
      <c r="K42" s="51"/>
      <c r="L42" s="53"/>
      <c r="M42" s="4"/>
      <c r="N42" s="5"/>
      <c r="O42" s="5"/>
      <c r="R42" s="80"/>
    </row>
    <row r="43" spans="1:18" ht="15" x14ac:dyDescent="0.2">
      <c r="A43" s="4"/>
      <c r="B43" s="46"/>
      <c r="C43" s="4" t="s">
        <v>83</v>
      </c>
      <c r="D43" s="4"/>
      <c r="E43" s="4"/>
      <c r="F43" s="45">
        <f>SUM(F37:F42)</f>
        <v>45597670.558460504</v>
      </c>
      <c r="G43" s="45"/>
      <c r="H43" s="51"/>
      <c r="I43" s="51"/>
      <c r="J43" s="51"/>
      <c r="K43" s="51"/>
      <c r="L43" s="45"/>
      <c r="M43" s="4"/>
      <c r="N43" s="5"/>
      <c r="O43" s="5"/>
      <c r="R43" s="80"/>
    </row>
    <row r="44" spans="1:18" ht="15" x14ac:dyDescent="0.2">
      <c r="A44" s="4"/>
      <c r="B44" s="4"/>
      <c r="C44" s="4"/>
      <c r="D44" s="4"/>
      <c r="E44" s="54"/>
      <c r="F44" s="43"/>
      <c r="G44" s="43"/>
      <c r="H44" s="31"/>
      <c r="I44" s="31"/>
      <c r="J44" s="31"/>
      <c r="K44" s="31"/>
      <c r="L44" s="4"/>
      <c r="M44" s="4"/>
      <c r="N44" s="5"/>
      <c r="O44" s="5"/>
      <c r="R44" s="80"/>
    </row>
    <row r="45" spans="1:18" ht="15" x14ac:dyDescent="0.2">
      <c r="A45" s="4"/>
      <c r="B45" s="4"/>
      <c r="C45" s="4"/>
      <c r="D45" s="4"/>
      <c r="E45" s="4"/>
      <c r="F45" s="4"/>
      <c r="G45" s="4"/>
      <c r="H45" s="31"/>
      <c r="I45" s="31"/>
      <c r="J45" s="31"/>
      <c r="K45" s="31"/>
      <c r="L45" s="4"/>
      <c r="M45" s="4"/>
      <c r="N45" s="5"/>
      <c r="O45" s="5"/>
      <c r="R45" s="80"/>
    </row>
    <row r="46" spans="1:18" ht="15" x14ac:dyDescent="0.2">
      <c r="A46" s="4" t="s">
        <v>84</v>
      </c>
      <c r="B46" s="44" t="str">
        <f>"Billing expense 12 months ended"&amp;F35</f>
        <v>Billing expense 12 months ended Dec 2025</v>
      </c>
      <c r="C46" s="4"/>
      <c r="D46" s="4"/>
      <c r="E46" s="4"/>
      <c r="F46" s="47"/>
      <c r="G46" s="47"/>
      <c r="H46" s="31"/>
      <c r="I46" s="31"/>
      <c r="J46" s="31"/>
      <c r="K46" s="31"/>
      <c r="L46" s="4"/>
      <c r="M46" s="4"/>
      <c r="N46" s="5"/>
      <c r="O46" s="5"/>
      <c r="R46" s="80"/>
    </row>
    <row r="47" spans="1:18" ht="15" x14ac:dyDescent="0.2">
      <c r="A47" s="4"/>
      <c r="B47" s="4"/>
      <c r="C47" s="4"/>
      <c r="D47" s="4"/>
      <c r="E47" s="47"/>
      <c r="F47" s="69" t="str">
        <f>F35</f>
        <v xml:space="preserve"> Dec 2025</v>
      </c>
      <c r="G47" s="69"/>
      <c r="H47" s="51"/>
      <c r="I47" s="51"/>
      <c r="J47" s="51"/>
      <c r="K47" s="51"/>
      <c r="L47" s="47"/>
      <c r="M47" s="4"/>
      <c r="N47" s="5"/>
      <c r="O47" s="5"/>
      <c r="R47" s="80"/>
    </row>
    <row r="48" spans="1:18" ht="15.75" x14ac:dyDescent="0.25">
      <c r="A48" s="4"/>
      <c r="B48" s="55" t="s">
        <v>68</v>
      </c>
      <c r="C48" s="56" t="s">
        <v>85</v>
      </c>
      <c r="D48" s="4"/>
      <c r="E48" s="47"/>
      <c r="F48" s="23" t="s">
        <v>86</v>
      </c>
      <c r="G48" s="23"/>
      <c r="H48" s="51"/>
      <c r="I48" s="51"/>
      <c r="J48" s="51"/>
      <c r="K48" s="51"/>
      <c r="L48" s="47"/>
      <c r="M48" s="4"/>
      <c r="N48" s="5"/>
      <c r="O48" s="5"/>
      <c r="R48" s="80"/>
    </row>
    <row r="49" spans="1:18" ht="15" x14ac:dyDescent="0.2">
      <c r="A49" s="4"/>
      <c r="B49" s="47" t="s">
        <v>87</v>
      </c>
      <c r="C49" s="4" t="s">
        <v>88</v>
      </c>
      <c r="D49" s="4"/>
      <c r="E49" s="46"/>
      <c r="F49" s="73">
        <v>897211.26126671885</v>
      </c>
      <c r="G49" s="73"/>
      <c r="H49" s="51"/>
      <c r="I49" s="51"/>
      <c r="J49" s="51"/>
      <c r="K49" s="51"/>
      <c r="L49" s="4"/>
      <c r="M49" s="4"/>
      <c r="N49" s="5"/>
      <c r="O49" s="5"/>
      <c r="R49" s="80"/>
    </row>
    <row r="50" spans="1:18" ht="15" x14ac:dyDescent="0.2">
      <c r="A50" s="4"/>
      <c r="B50" s="47" t="s">
        <v>89</v>
      </c>
      <c r="C50" s="4" t="s">
        <v>90</v>
      </c>
      <c r="D50" s="4"/>
      <c r="E50" s="46"/>
      <c r="F50" s="74">
        <v>1643372.8720880582</v>
      </c>
      <c r="G50" s="74"/>
      <c r="H50" s="51"/>
      <c r="I50" s="51"/>
      <c r="J50" s="51"/>
      <c r="K50" s="51"/>
      <c r="L50" s="50"/>
      <c r="M50" s="50"/>
      <c r="N50" s="5"/>
      <c r="O50" s="5"/>
      <c r="P50" s="57"/>
      <c r="R50" s="80"/>
    </row>
    <row r="51" spans="1:18" ht="15" x14ac:dyDescent="0.2">
      <c r="A51" s="4"/>
      <c r="B51" s="53" t="s">
        <v>91</v>
      </c>
      <c r="C51" s="50" t="s">
        <v>92</v>
      </c>
      <c r="D51" s="4"/>
      <c r="E51" s="46"/>
      <c r="F51" s="74">
        <v>16037620.294650892</v>
      </c>
      <c r="G51" s="74"/>
      <c r="H51" s="51"/>
      <c r="I51" s="51"/>
      <c r="J51" s="51"/>
      <c r="K51" s="51"/>
      <c r="L51" s="50"/>
      <c r="M51" s="50"/>
      <c r="N51" s="5"/>
      <c r="O51" s="5"/>
      <c r="R51" s="80"/>
    </row>
    <row r="52" spans="1:18" ht="15" x14ac:dyDescent="0.2">
      <c r="A52" s="4"/>
      <c r="B52" s="53" t="s">
        <v>93</v>
      </c>
      <c r="C52" s="50" t="s">
        <v>94</v>
      </c>
      <c r="D52" s="4"/>
      <c r="E52" s="46"/>
      <c r="F52" s="74">
        <v>1019766.4885245363</v>
      </c>
      <c r="G52" s="74"/>
      <c r="H52" s="51"/>
      <c r="I52" s="51"/>
      <c r="J52" s="51"/>
      <c r="K52" s="51"/>
      <c r="L52" s="50"/>
      <c r="M52" s="50"/>
      <c r="N52" s="5"/>
      <c r="O52" s="5"/>
      <c r="R52" s="80"/>
    </row>
    <row r="53" spans="1:18" ht="15" x14ac:dyDescent="0.2">
      <c r="A53" s="4"/>
      <c r="B53" s="53" t="s">
        <v>95</v>
      </c>
      <c r="C53" s="50" t="s">
        <v>96</v>
      </c>
      <c r="D53" s="4"/>
      <c r="E53" s="46"/>
      <c r="F53" s="52">
        <v>0</v>
      </c>
      <c r="G53" s="52"/>
      <c r="H53" s="51"/>
      <c r="I53" s="51"/>
      <c r="J53" s="51"/>
      <c r="K53" s="51"/>
      <c r="L53" s="50"/>
      <c r="M53" s="50"/>
      <c r="N53" s="5"/>
      <c r="O53" s="5"/>
      <c r="R53" s="80"/>
    </row>
    <row r="54" spans="1:18" ht="15" x14ac:dyDescent="0.2">
      <c r="A54" s="4"/>
      <c r="B54" s="50"/>
      <c r="C54" s="50" t="s">
        <v>97</v>
      </c>
      <c r="D54" s="4"/>
      <c r="E54" s="4"/>
      <c r="F54" s="45">
        <f>SUM(F49:F53)</f>
        <v>19597970.916530207</v>
      </c>
      <c r="G54" s="45"/>
      <c r="H54" s="46"/>
      <c r="I54" s="46"/>
      <c r="J54" s="46"/>
      <c r="K54" s="46"/>
      <c r="L54" s="45"/>
      <c r="M54" s="58"/>
      <c r="N54" s="5"/>
      <c r="O54" s="5"/>
      <c r="R54" s="80"/>
    </row>
    <row r="55" spans="1:18" ht="15" x14ac:dyDescent="0.2">
      <c r="A55" s="4"/>
      <c r="H55" s="46"/>
      <c r="I55" s="46"/>
      <c r="J55" s="46"/>
      <c r="K55" s="46"/>
      <c r="L55" s="45"/>
      <c r="M55" s="58"/>
      <c r="N55" s="5"/>
      <c r="O55" s="5"/>
      <c r="R55" s="80"/>
    </row>
    <row r="56" spans="1:18" ht="15" x14ac:dyDescent="0.2">
      <c r="A56" s="4"/>
      <c r="B56" s="70" t="s">
        <v>98</v>
      </c>
      <c r="C56" s="71"/>
      <c r="D56" s="71"/>
      <c r="E56" s="71"/>
      <c r="F56" s="72">
        <v>300</v>
      </c>
      <c r="G56" s="72"/>
      <c r="H56" s="60"/>
      <c r="I56" s="60"/>
      <c r="J56" s="60"/>
      <c r="K56" s="60"/>
      <c r="L56" s="45"/>
      <c r="M56" s="4"/>
      <c r="N56" s="5"/>
      <c r="O56" s="5"/>
      <c r="R56" s="80"/>
    </row>
    <row r="57" spans="1:18" ht="15" x14ac:dyDescent="0.2">
      <c r="A57" s="4"/>
      <c r="B57" s="44" t="str">
        <f>"Cost per dial meter:  Total costs of "&amp;DOLLAR(F54,0)&amp;" divided by total meters."</f>
        <v>Cost per dial meter:  Total costs of $19,597,971 divided by total meters.</v>
      </c>
      <c r="C57" s="4"/>
      <c r="D57" s="4"/>
      <c r="E57" s="4"/>
      <c r="F57" s="59">
        <v>3.6474308382594835E-2</v>
      </c>
      <c r="G57" s="59"/>
      <c r="H57" s="61"/>
      <c r="I57" s="61"/>
      <c r="J57" s="61"/>
      <c r="K57" s="61"/>
      <c r="L57" s="45"/>
      <c r="M57" s="4"/>
      <c r="N57" s="5"/>
      <c r="O57" s="5"/>
      <c r="R57" s="80"/>
    </row>
    <row r="58" spans="1:18" ht="15" x14ac:dyDescent="0.2">
      <c r="A58" s="4"/>
      <c r="B58" s="26" t="s">
        <v>99</v>
      </c>
      <c r="C58" s="31" t="s">
        <v>100</v>
      </c>
      <c r="D58" s="62">
        <v>537308911</v>
      </c>
      <c r="F58" s="63"/>
      <c r="G58" s="63"/>
      <c r="H58" s="4"/>
      <c r="I58" s="4"/>
      <c r="J58" s="4"/>
      <c r="K58" s="4"/>
      <c r="L58" s="4"/>
      <c r="M58" s="4"/>
      <c r="N58" s="5"/>
      <c r="O58" s="5"/>
      <c r="R58" s="80"/>
    </row>
    <row r="59" spans="1:18" ht="15.75" x14ac:dyDescent="0.25">
      <c r="A59" s="4"/>
      <c r="B59" s="64" t="s">
        <v>101</v>
      </c>
      <c r="C59" s="31" t="s">
        <v>102</v>
      </c>
      <c r="D59" s="65">
        <v>7675450</v>
      </c>
      <c r="E59" s="102" t="s">
        <v>169</v>
      </c>
      <c r="F59" s="103"/>
      <c r="G59" s="103"/>
      <c r="H59" s="104"/>
      <c r="I59" s="104"/>
      <c r="M59" s="4"/>
      <c r="N59" s="5"/>
      <c r="O59" s="5"/>
      <c r="R59" s="80"/>
    </row>
    <row r="60" spans="1:18" ht="15" x14ac:dyDescent="0.2">
      <c r="A60" s="4"/>
      <c r="B60" s="64" t="s">
        <v>103</v>
      </c>
      <c r="C60" s="31" t="s">
        <v>104</v>
      </c>
      <c r="D60" s="62">
        <f>SUM(D58:D59)</f>
        <v>544984361</v>
      </c>
      <c r="N60" s="5"/>
      <c r="O60" s="5"/>
      <c r="R60" s="80"/>
    </row>
    <row r="61" spans="1:18" ht="15" x14ac:dyDescent="0.2">
      <c r="A61" s="4"/>
      <c r="B61" s="4"/>
      <c r="C61" s="4"/>
      <c r="D61" s="9"/>
      <c r="E61" s="23" t="s">
        <v>117</v>
      </c>
      <c r="F61" s="23" t="s">
        <v>118</v>
      </c>
      <c r="G61" s="23"/>
      <c r="H61" s="23" t="s">
        <v>119</v>
      </c>
      <c r="I61" s="23" t="s">
        <v>120</v>
      </c>
      <c r="J61" s="23"/>
      <c r="L61" s="23"/>
      <c r="R61" s="80"/>
    </row>
    <row r="62" spans="1:18" ht="15" x14ac:dyDescent="0.2">
      <c r="A62" s="4"/>
      <c r="B62" s="4" t="s">
        <v>105</v>
      </c>
      <c r="C62" s="4"/>
      <c r="D62" s="4"/>
      <c r="E62" s="24">
        <v>0.99999899999999997</v>
      </c>
      <c r="F62" s="24">
        <v>0.99234900000000004</v>
      </c>
      <c r="G62" s="24"/>
      <c r="H62" s="24">
        <v>0.67547200000000007</v>
      </c>
      <c r="I62" s="24">
        <v>0.10443000000000002</v>
      </c>
      <c r="J62" s="24"/>
      <c r="L62" s="24"/>
      <c r="R62" s="80"/>
    </row>
    <row r="63" spans="1:18" ht="15" x14ac:dyDescent="0.2">
      <c r="A63" s="4"/>
      <c r="B63" s="4" t="s">
        <v>106</v>
      </c>
      <c r="C63" s="4"/>
      <c r="D63" s="4"/>
      <c r="E63" s="24">
        <v>9.9999999999999995E-7</v>
      </c>
      <c r="F63" s="24">
        <v>7.6509999999999998E-3</v>
      </c>
      <c r="G63" s="24"/>
      <c r="H63" s="24">
        <v>0.32452799999999998</v>
      </c>
      <c r="I63" s="24">
        <v>0.89556999999999998</v>
      </c>
      <c r="J63" s="24"/>
      <c r="L63" s="24"/>
      <c r="R63" s="80"/>
    </row>
    <row r="64" spans="1:18" ht="1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L64" s="4"/>
      <c r="R64" s="80"/>
    </row>
    <row r="65" spans="1:18" ht="15" x14ac:dyDescent="0.2">
      <c r="A65" s="4"/>
      <c r="B65" s="4" t="s">
        <v>107</v>
      </c>
      <c r="C65" s="4"/>
      <c r="D65" s="4"/>
      <c r="E65" s="25">
        <v>0.04</v>
      </c>
      <c r="F65" s="25">
        <v>2.33</v>
      </c>
      <c r="G65" s="25"/>
      <c r="H65" s="25">
        <v>97.38</v>
      </c>
      <c r="I65" s="25">
        <v>268.67</v>
      </c>
      <c r="J65" s="25"/>
      <c r="L65" s="25"/>
      <c r="R65" s="80"/>
    </row>
    <row r="66" spans="1:18" ht="15" x14ac:dyDescent="0.2">
      <c r="A66" s="4"/>
      <c r="B66" s="46"/>
      <c r="C66" s="46"/>
      <c r="D66" s="46"/>
      <c r="E66" s="46"/>
      <c r="F66" s="4"/>
      <c r="G66" s="4"/>
      <c r="H66" s="4"/>
      <c r="I66" s="4"/>
      <c r="J66" s="4"/>
      <c r="L66" s="4"/>
      <c r="N66" s="5"/>
      <c r="O66" s="5"/>
      <c r="R66" s="80"/>
    </row>
    <row r="67" spans="1:18" ht="15" x14ac:dyDescent="0.2">
      <c r="A67" s="4"/>
      <c r="B67" s="4" t="s">
        <v>108</v>
      </c>
      <c r="C67" s="4"/>
      <c r="H67" s="59">
        <f>ROUND(F56-F57,0)</f>
        <v>300</v>
      </c>
      <c r="I67" s="59"/>
      <c r="J67" s="59"/>
      <c r="M67" s="4"/>
      <c r="N67" s="5"/>
      <c r="O67" s="5"/>
      <c r="R67" s="80"/>
    </row>
    <row r="68" spans="1:18" ht="15" x14ac:dyDescent="0.2">
      <c r="A68" s="4"/>
      <c r="B68" s="4" t="s">
        <v>109</v>
      </c>
      <c r="C68" s="4"/>
      <c r="H68" s="59">
        <f>ROUND(H67/12,-1)</f>
        <v>30</v>
      </c>
      <c r="I68" s="59">
        <f>H67/12</f>
        <v>25</v>
      </c>
      <c r="J68" s="59"/>
      <c r="M68" s="4"/>
      <c r="N68" s="5"/>
      <c r="O68" s="5"/>
      <c r="R68" s="80"/>
    </row>
    <row r="69" spans="1:18" ht="1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N69" s="5"/>
      <c r="O69" s="5"/>
      <c r="R69" s="80"/>
    </row>
    <row r="70" spans="1:18" ht="15" x14ac:dyDescent="0.2">
      <c r="A70" s="4" t="s">
        <v>110</v>
      </c>
      <c r="B70" s="4" t="s">
        <v>111</v>
      </c>
      <c r="C70" s="4"/>
      <c r="D70" s="4"/>
      <c r="E70" s="66">
        <f>'ANGC Revised EGU 5.08p1'!I51</f>
        <v>6.8320000000000004E-3</v>
      </c>
      <c r="F70" s="4"/>
      <c r="G70" s="4"/>
      <c r="H70" s="4"/>
      <c r="I70" s="4"/>
      <c r="J70" s="4"/>
      <c r="K70" s="4"/>
      <c r="L70" s="4"/>
      <c r="N70" s="5"/>
      <c r="O70" s="5"/>
      <c r="R70" s="80"/>
    </row>
    <row r="71" spans="1:18" ht="1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5"/>
      <c r="O71" s="5"/>
      <c r="R71" s="80"/>
    </row>
    <row r="72" spans="1:18" ht="15" x14ac:dyDescent="0.2">
      <c r="A72" s="4" t="s">
        <v>112</v>
      </c>
      <c r="B72" s="31" t="str">
        <f>"Lines 1, 2, and 3 times respective depreciation rate."</f>
        <v>Lines 1, 2, and 3 times respective depreciation rate.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5"/>
      <c r="O72" s="5"/>
      <c r="R72" s="80"/>
    </row>
    <row r="73" spans="1:18" ht="1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5"/>
      <c r="O73" s="5"/>
      <c r="R73" s="80"/>
    </row>
    <row r="74" spans="1:18" ht="15" x14ac:dyDescent="0.2">
      <c r="A74" s="4" t="s">
        <v>113</v>
      </c>
      <c r="B74" s="31" t="s">
        <v>114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5"/>
      <c r="O74" s="5"/>
      <c r="R74" s="80"/>
    </row>
    <row r="75" spans="1:18" ht="1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5"/>
      <c r="O75" s="5"/>
      <c r="R75" s="80"/>
    </row>
    <row r="76" spans="1:18" ht="15" x14ac:dyDescent="0.2">
      <c r="A76" s="4" t="s">
        <v>115</v>
      </c>
      <c r="B76" s="4" t="s">
        <v>116</v>
      </c>
      <c r="C76" s="4"/>
      <c r="D76" s="4"/>
      <c r="E76" s="4"/>
      <c r="F76" s="4"/>
      <c r="G76" s="4"/>
      <c r="L76" s="4"/>
      <c r="M76" s="4"/>
      <c r="N76" s="5"/>
      <c r="O76" s="5"/>
      <c r="R76" s="80"/>
    </row>
    <row r="77" spans="1:18" ht="15" x14ac:dyDescent="0.2">
      <c r="A77" s="4"/>
      <c r="B77" s="4"/>
      <c r="C77" s="4"/>
      <c r="D77" s="4"/>
      <c r="E77" s="4"/>
      <c r="F77" s="4"/>
      <c r="G77" s="4"/>
      <c r="L77" s="4"/>
      <c r="M77" s="4"/>
      <c r="N77" s="5"/>
      <c r="O77" s="5"/>
      <c r="R77" s="80"/>
    </row>
    <row r="78" spans="1:18" ht="15" x14ac:dyDescent="0.2">
      <c r="A78" s="4"/>
      <c r="B78" s="4"/>
      <c r="C78" s="4"/>
      <c r="M78" s="4"/>
      <c r="N78" s="5"/>
      <c r="O78" s="5"/>
      <c r="R78" s="80"/>
    </row>
    <row r="79" spans="1:18" ht="15" x14ac:dyDescent="0.2">
      <c r="M79" s="4"/>
      <c r="N79" s="5"/>
      <c r="O79" s="5"/>
      <c r="R79" s="80"/>
    </row>
    <row r="80" spans="1:18" ht="15" customHeight="1" x14ac:dyDescent="0.2">
      <c r="F80" t="s">
        <v>140</v>
      </c>
      <c r="H80" s="149" t="s">
        <v>141</v>
      </c>
      <c r="I80" s="149"/>
      <c r="J80" s="149"/>
      <c r="K80" s="149"/>
      <c r="L80" s="149"/>
      <c r="M80" s="149"/>
      <c r="N80" s="149"/>
      <c r="O80" s="149"/>
      <c r="P80" s="149"/>
      <c r="R80" s="80"/>
    </row>
    <row r="81" spans="1:24" ht="15" x14ac:dyDescent="0.2">
      <c r="A81" t="s">
        <v>162</v>
      </c>
      <c r="B81" s="85" t="s">
        <v>148</v>
      </c>
      <c r="H81" s="1" t="s">
        <v>123</v>
      </c>
      <c r="I81" s="1" t="s">
        <v>147</v>
      </c>
      <c r="J81" s="1" t="s">
        <v>144</v>
      </c>
      <c r="K81" s="1" t="s">
        <v>124</v>
      </c>
      <c r="L81" s="1" t="s">
        <v>125</v>
      </c>
      <c r="M81" s="53" t="s">
        <v>126</v>
      </c>
      <c r="N81" s="6" t="s">
        <v>127</v>
      </c>
      <c r="O81" s="6" t="s">
        <v>145</v>
      </c>
      <c r="P81" s="1" t="s">
        <v>142</v>
      </c>
      <c r="R81" s="80" t="s">
        <v>143</v>
      </c>
    </row>
    <row r="82" spans="1:24" ht="15" x14ac:dyDescent="0.2">
      <c r="B82" s="85"/>
      <c r="H82" s="1"/>
      <c r="I82" s="1"/>
      <c r="J82" s="1"/>
      <c r="K82" s="1"/>
      <c r="L82" s="1"/>
      <c r="M82" s="53"/>
      <c r="N82" s="6"/>
      <c r="O82" s="6"/>
      <c r="P82" s="1"/>
      <c r="R82" s="80"/>
    </row>
    <row r="83" spans="1:24" ht="15" x14ac:dyDescent="0.2">
      <c r="A83" s="80">
        <f>SUM(K83:N83)</f>
        <v>26127</v>
      </c>
      <c r="B83" s="88" t="s">
        <v>154</v>
      </c>
      <c r="C83" s="75" t="s">
        <v>88</v>
      </c>
      <c r="F83" s="80">
        <v>897211</v>
      </c>
      <c r="H83" s="90">
        <v>868537</v>
      </c>
      <c r="I83" s="90">
        <v>1756</v>
      </c>
      <c r="J83" s="90">
        <v>89</v>
      </c>
      <c r="K83" s="90">
        <v>6078</v>
      </c>
      <c r="L83" s="90">
        <v>7419</v>
      </c>
      <c r="M83" s="91">
        <v>8784</v>
      </c>
      <c r="N83" s="92">
        <v>3846</v>
      </c>
      <c r="O83" s="92">
        <v>701</v>
      </c>
      <c r="P83" s="80">
        <f t="shared" ref="P83:P86" si="0">SUM(H83:O83)</f>
        <v>897210</v>
      </c>
      <c r="Q83" s="80"/>
      <c r="R83" s="80">
        <f t="shared" ref="R83:R86" si="1">F83-P83</f>
        <v>1</v>
      </c>
      <c r="S83" s="89" t="str">
        <f>'[1]COS Input'!$M$13&amp;" Customers "&amp;'[1]COS Input'!$N$13&amp;" DNG Rev"</f>
        <v>75% Customers 25% DNG Rev</v>
      </c>
    </row>
    <row r="84" spans="1:24" ht="15" x14ac:dyDescent="0.2">
      <c r="A84" s="80">
        <f t="shared" ref="A84:A86" si="2">SUM(K84:N84)</f>
        <v>1695</v>
      </c>
      <c r="B84" s="88" t="s">
        <v>155</v>
      </c>
      <c r="C84" s="75" t="s">
        <v>158</v>
      </c>
      <c r="F84" s="80">
        <v>1643373</v>
      </c>
      <c r="H84" s="90">
        <v>1641044</v>
      </c>
      <c r="I84" s="90">
        <v>586</v>
      </c>
      <c r="J84" s="90">
        <v>20</v>
      </c>
      <c r="K84" s="90">
        <v>1314</v>
      </c>
      <c r="L84" s="90">
        <v>321</v>
      </c>
      <c r="M84" s="91">
        <v>49</v>
      </c>
      <c r="N84" s="92">
        <v>11</v>
      </c>
      <c r="O84" s="92">
        <v>28</v>
      </c>
      <c r="P84" s="80">
        <f t="shared" si="0"/>
        <v>1643373</v>
      </c>
      <c r="Q84" s="80"/>
      <c r="R84" s="80">
        <f t="shared" si="1"/>
        <v>0</v>
      </c>
      <c r="S84" t="s">
        <v>161</v>
      </c>
    </row>
    <row r="85" spans="1:24" ht="15" x14ac:dyDescent="0.2">
      <c r="A85" s="80">
        <f t="shared" si="2"/>
        <v>467028</v>
      </c>
      <c r="B85" s="88" t="s">
        <v>156</v>
      </c>
      <c r="C85" s="75" t="s">
        <v>159</v>
      </c>
      <c r="F85" s="80">
        <v>16037620</v>
      </c>
      <c r="H85" s="90">
        <v>15525074</v>
      </c>
      <c r="I85" s="90">
        <v>31397</v>
      </c>
      <c r="J85" s="90">
        <v>1594</v>
      </c>
      <c r="K85" s="90">
        <v>108642</v>
      </c>
      <c r="L85" s="90">
        <v>132621</v>
      </c>
      <c r="M85" s="91">
        <v>157019</v>
      </c>
      <c r="N85" s="92">
        <v>68746</v>
      </c>
      <c r="O85" s="92">
        <v>12528</v>
      </c>
      <c r="P85" s="80">
        <f t="shared" si="0"/>
        <v>16037621</v>
      </c>
      <c r="Q85" s="80"/>
      <c r="R85" s="80">
        <f t="shared" si="1"/>
        <v>-1</v>
      </c>
      <c r="S85" s="89" t="str">
        <f>'[1]COS Input'!$M$13&amp;" Customers "&amp;'[1]COS Input'!$N$13&amp;" DNG Rev"</f>
        <v>75% Customers 25% DNG Rev</v>
      </c>
    </row>
    <row r="86" spans="1:24" ht="15" x14ac:dyDescent="0.2">
      <c r="A86" s="80">
        <f t="shared" si="2"/>
        <v>115632</v>
      </c>
      <c r="B86" s="88" t="s">
        <v>157</v>
      </c>
      <c r="C86" s="75" t="s">
        <v>94</v>
      </c>
      <c r="F86" s="80">
        <v>1019766</v>
      </c>
      <c r="H86" s="90">
        <v>893739</v>
      </c>
      <c r="I86" s="90">
        <v>6894</v>
      </c>
      <c r="J86" s="90">
        <v>368</v>
      </c>
      <c r="K86" s="90">
        <v>25186</v>
      </c>
      <c r="L86" s="91">
        <v>33134</v>
      </c>
      <c r="M86" s="92">
        <v>39847</v>
      </c>
      <c r="N86" s="92">
        <v>17465</v>
      </c>
      <c r="O86" s="80">
        <v>3134</v>
      </c>
      <c r="P86" s="80">
        <f t="shared" si="0"/>
        <v>1019767</v>
      </c>
      <c r="Q86" s="80"/>
      <c r="R86" s="80">
        <f t="shared" si="1"/>
        <v>-1</v>
      </c>
      <c r="S86" t="s">
        <v>160</v>
      </c>
    </row>
    <row r="87" spans="1:24" ht="15" x14ac:dyDescent="0.2">
      <c r="A87" s="93"/>
      <c r="B87" s="85"/>
      <c r="H87" s="1"/>
      <c r="I87" s="1"/>
      <c r="J87" s="1"/>
      <c r="K87" s="1"/>
      <c r="L87" s="1"/>
      <c r="M87" s="53"/>
      <c r="N87" s="6"/>
      <c r="O87" s="6"/>
      <c r="P87" s="1"/>
      <c r="R87" s="80"/>
    </row>
    <row r="88" spans="1:24" x14ac:dyDescent="0.2">
      <c r="A88" s="80">
        <f t="shared" ref="A88:A92" si="3">SUM(K88:N88)</f>
        <v>181398</v>
      </c>
      <c r="B88">
        <v>904</v>
      </c>
      <c r="C88" s="75" t="s">
        <v>121</v>
      </c>
      <c r="F88" s="82">
        <v>1599769.2274193191</v>
      </c>
      <c r="G88" s="82"/>
      <c r="H88" s="80">
        <v>1402062</v>
      </c>
      <c r="I88" s="80">
        <v>10815</v>
      </c>
      <c r="J88" s="80">
        <v>577</v>
      </c>
      <c r="K88" s="80">
        <v>39511</v>
      </c>
      <c r="L88" s="80">
        <v>51979</v>
      </c>
      <c r="M88" s="83">
        <v>62510</v>
      </c>
      <c r="N88" s="83">
        <v>27398</v>
      </c>
      <c r="O88" s="83">
        <v>4916</v>
      </c>
      <c r="P88" s="80">
        <f>SUM(H88:O88)+1</f>
        <v>1599769</v>
      </c>
      <c r="Q88" s="80"/>
      <c r="R88" s="80">
        <f>F88-P88</f>
        <v>0.22741931909695268</v>
      </c>
      <c r="S88" t="s">
        <v>160</v>
      </c>
      <c r="X88" s="80"/>
    </row>
    <row r="89" spans="1:24" x14ac:dyDescent="0.2">
      <c r="A89" s="80">
        <f t="shared" si="3"/>
        <v>767</v>
      </c>
      <c r="B89">
        <v>907</v>
      </c>
      <c r="C89" s="75" t="s">
        <v>88</v>
      </c>
      <c r="F89" s="76">
        <v>744141.16189777793</v>
      </c>
      <c r="G89" s="76"/>
      <c r="H89" s="76">
        <f ca="1">VLOOKUP($F89,range,'[1]COS Alloc Factors'!C$9,FALSE)*$H89</f>
        <v>743086.60338073247</v>
      </c>
      <c r="I89" s="80">
        <v>265</v>
      </c>
      <c r="J89" s="80">
        <v>9</v>
      </c>
      <c r="K89" s="80">
        <v>595</v>
      </c>
      <c r="L89" s="80">
        <v>145</v>
      </c>
      <c r="M89" s="83">
        <v>22</v>
      </c>
      <c r="N89" s="83">
        <v>5</v>
      </c>
      <c r="O89" s="83">
        <v>13</v>
      </c>
      <c r="P89" s="80">
        <v>744141</v>
      </c>
      <c r="Q89" s="80"/>
      <c r="R89" s="80">
        <f t="shared" ref="R89:R96" si="4">F89-P89</f>
        <v>0.16189777792897075</v>
      </c>
      <c r="S89" s="95" t="s">
        <v>161</v>
      </c>
      <c r="X89" s="80"/>
    </row>
    <row r="90" spans="1:24" x14ac:dyDescent="0.2">
      <c r="A90" s="80">
        <f t="shared" si="3"/>
        <v>1314365</v>
      </c>
      <c r="B90">
        <v>908</v>
      </c>
      <c r="C90" s="75" t="s">
        <v>149</v>
      </c>
      <c r="F90" s="76">
        <v>2339530.866177801</v>
      </c>
      <c r="G90" s="76"/>
      <c r="H90" s="80">
        <v>833634</v>
      </c>
      <c r="I90" s="80">
        <v>47846</v>
      </c>
      <c r="J90" s="80">
        <v>25150</v>
      </c>
      <c r="K90" s="80">
        <v>1009094</v>
      </c>
      <c r="L90" s="80">
        <v>245805</v>
      </c>
      <c r="M90" s="83">
        <v>38810</v>
      </c>
      <c r="N90" s="83">
        <v>20656</v>
      </c>
      <c r="O90" s="83">
        <v>118535</v>
      </c>
      <c r="P90" s="80">
        <f t="shared" ref="P90:P92" si="5">SUM(H90:O90)</f>
        <v>2339530</v>
      </c>
      <c r="Q90" s="80"/>
      <c r="R90" s="80">
        <f t="shared" si="4"/>
        <v>0.86617780104279518</v>
      </c>
      <c r="S90" s="98" t="s">
        <v>149</v>
      </c>
      <c r="X90" s="80"/>
    </row>
    <row r="91" spans="1:24" x14ac:dyDescent="0.2">
      <c r="A91" s="80">
        <f t="shared" si="3"/>
        <v>461</v>
      </c>
      <c r="B91">
        <v>909</v>
      </c>
      <c r="C91" s="75" t="s">
        <v>150</v>
      </c>
      <c r="F91" s="76">
        <v>448083.15743615991</v>
      </c>
      <c r="G91" s="76"/>
      <c r="H91" s="80">
        <v>447448</v>
      </c>
      <c r="I91" s="80">
        <v>160</v>
      </c>
      <c r="J91" s="80">
        <v>6</v>
      </c>
      <c r="K91" s="80">
        <v>358</v>
      </c>
      <c r="L91" s="80">
        <v>87</v>
      </c>
      <c r="M91" s="83">
        <v>13</v>
      </c>
      <c r="N91" s="83">
        <v>3</v>
      </c>
      <c r="O91" s="83">
        <v>8</v>
      </c>
      <c r="P91" s="80">
        <f t="shared" si="5"/>
        <v>448083</v>
      </c>
      <c r="Q91" s="80"/>
      <c r="R91" s="80">
        <f t="shared" si="4"/>
        <v>0.15743615990504622</v>
      </c>
      <c r="S91" s="95" t="s">
        <v>161</v>
      </c>
      <c r="X91" s="80"/>
    </row>
    <row r="92" spans="1:24" x14ac:dyDescent="0.2">
      <c r="A92" s="80">
        <f t="shared" si="3"/>
        <v>0</v>
      </c>
      <c r="B92">
        <v>910</v>
      </c>
      <c r="C92" s="75" t="s">
        <v>151</v>
      </c>
      <c r="F92" s="96">
        <v>0</v>
      </c>
      <c r="G92" s="82"/>
      <c r="H92" s="97">
        <v>0</v>
      </c>
      <c r="I92" s="97">
        <v>0</v>
      </c>
      <c r="J92" s="97">
        <v>0</v>
      </c>
      <c r="K92" s="97">
        <v>0</v>
      </c>
      <c r="L92" s="97">
        <v>0</v>
      </c>
      <c r="M92" s="84">
        <v>0</v>
      </c>
      <c r="N92" s="84">
        <v>0</v>
      </c>
      <c r="O92" s="84">
        <v>0</v>
      </c>
      <c r="P92" s="97">
        <f t="shared" si="5"/>
        <v>0</v>
      </c>
      <c r="Q92" s="80"/>
      <c r="R92" s="80">
        <f t="shared" si="4"/>
        <v>0</v>
      </c>
      <c r="S92" s="95" t="s">
        <v>161</v>
      </c>
      <c r="X92" s="80"/>
    </row>
    <row r="93" spans="1:24" x14ac:dyDescent="0.2">
      <c r="A93" s="80">
        <f>SUM(A83:A92)</f>
        <v>2107473</v>
      </c>
      <c r="B93" s="5"/>
      <c r="C93" s="5" t="s">
        <v>152</v>
      </c>
      <c r="D93" s="5"/>
      <c r="E93" s="5"/>
      <c r="F93" s="83">
        <f>SUM(F83:F92)</f>
        <v>24729494.412931059</v>
      </c>
      <c r="G93" s="5"/>
      <c r="H93" s="83">
        <f t="shared" ref="H93:P93" ca="1" si="6">SUM(H83:H92)</f>
        <v>24729494.412931059</v>
      </c>
      <c r="I93" s="83">
        <f t="shared" si="6"/>
        <v>99719</v>
      </c>
      <c r="J93" s="83">
        <f t="shared" si="6"/>
        <v>27813</v>
      </c>
      <c r="K93" s="83">
        <f t="shared" si="6"/>
        <v>1190778</v>
      </c>
      <c r="L93" s="83">
        <f t="shared" si="6"/>
        <v>471511</v>
      </c>
      <c r="M93" s="83">
        <f t="shared" si="6"/>
        <v>307054</v>
      </c>
      <c r="N93" s="83">
        <f t="shared" si="6"/>
        <v>138130</v>
      </c>
      <c r="O93" s="83">
        <f t="shared" si="6"/>
        <v>139863</v>
      </c>
      <c r="P93" s="83">
        <f t="shared" si="6"/>
        <v>24729494</v>
      </c>
      <c r="Q93" s="80"/>
      <c r="R93" s="80">
        <f t="shared" si="4"/>
        <v>0.41293105855584145</v>
      </c>
      <c r="X93" s="80"/>
    </row>
    <row r="94" spans="1:24" x14ac:dyDescent="0.2">
      <c r="A94" s="78"/>
      <c r="B94" s="5"/>
      <c r="C94" s="5"/>
      <c r="D94" s="5"/>
      <c r="E94" s="5"/>
      <c r="F94" s="5"/>
      <c r="G94" s="5"/>
      <c r="H94" s="83"/>
      <c r="I94" s="83"/>
      <c r="J94" s="83"/>
      <c r="K94" s="83"/>
      <c r="L94" s="83"/>
      <c r="M94" s="83"/>
      <c r="N94" s="83"/>
      <c r="O94" s="83"/>
      <c r="P94" s="80"/>
      <c r="Q94" s="80"/>
      <c r="R94" s="80"/>
    </row>
    <row r="95" spans="1:24" x14ac:dyDescent="0.2">
      <c r="A95" s="80">
        <f>SUM(A83:A86)</f>
        <v>610482</v>
      </c>
      <c r="B95" s="94" t="s">
        <v>163</v>
      </c>
      <c r="C95" s="5" t="s">
        <v>166</v>
      </c>
      <c r="D95" s="5"/>
      <c r="E95" s="5"/>
      <c r="F95" s="80">
        <f>SUM(F83:F86)</f>
        <v>19597970</v>
      </c>
      <c r="G95" s="5"/>
      <c r="H95" s="80">
        <f t="shared" ref="H95:P95" si="7">SUM(H83:H86)</f>
        <v>18928394</v>
      </c>
      <c r="I95" s="80">
        <f t="shared" si="7"/>
        <v>40633</v>
      </c>
      <c r="J95" s="80">
        <f t="shared" si="7"/>
        <v>2071</v>
      </c>
      <c r="K95" s="80">
        <f t="shared" si="7"/>
        <v>141220</v>
      </c>
      <c r="L95" s="80">
        <f t="shared" si="7"/>
        <v>173495</v>
      </c>
      <c r="M95" s="80">
        <f t="shared" si="7"/>
        <v>205699</v>
      </c>
      <c r="N95" s="80">
        <f t="shared" si="7"/>
        <v>90068</v>
      </c>
      <c r="O95" s="80">
        <f t="shared" si="7"/>
        <v>16391</v>
      </c>
      <c r="P95" s="80">
        <f t="shared" si="7"/>
        <v>19597971</v>
      </c>
      <c r="Q95" s="80"/>
      <c r="R95" s="80">
        <f t="shared" si="4"/>
        <v>-1</v>
      </c>
    </row>
    <row r="96" spans="1:24" x14ac:dyDescent="0.2">
      <c r="A96" s="83">
        <f>SUM(A88:A91)</f>
        <v>1496991</v>
      </c>
      <c r="B96" s="94" t="s">
        <v>164</v>
      </c>
      <c r="C96" s="5" t="s">
        <v>165</v>
      </c>
      <c r="D96" s="5"/>
      <c r="E96" s="5"/>
      <c r="F96" s="83">
        <f>SUM(F88:F91)</f>
        <v>5131524.4129310586</v>
      </c>
      <c r="G96" s="67"/>
      <c r="H96" s="83">
        <f t="shared" ref="H96:P96" ca="1" si="8">SUM(H88:H91)</f>
        <v>1496991</v>
      </c>
      <c r="I96" s="83">
        <f t="shared" si="8"/>
        <v>59086</v>
      </c>
      <c r="J96" s="83">
        <f t="shared" si="8"/>
        <v>25742</v>
      </c>
      <c r="K96" s="83">
        <f t="shared" si="8"/>
        <v>1049558</v>
      </c>
      <c r="L96" s="83">
        <f t="shared" si="8"/>
        <v>298016</v>
      </c>
      <c r="M96" s="83">
        <f t="shared" si="8"/>
        <v>101355</v>
      </c>
      <c r="N96" s="83">
        <f t="shared" si="8"/>
        <v>48062</v>
      </c>
      <c r="O96" s="83">
        <f t="shared" si="8"/>
        <v>123472</v>
      </c>
      <c r="P96" s="83">
        <f t="shared" si="8"/>
        <v>5131523</v>
      </c>
      <c r="Q96" s="80"/>
      <c r="R96" s="80">
        <f t="shared" si="4"/>
        <v>1.4129310585558414</v>
      </c>
    </row>
    <row r="97" spans="1:21" x14ac:dyDescent="0.2">
      <c r="A97" s="83"/>
      <c r="B97" s="5"/>
      <c r="C97" s="5"/>
      <c r="D97" s="5"/>
      <c r="E97" s="5"/>
      <c r="F97" s="67">
        <f>F96/F93</f>
        <v>0.20750624041257323</v>
      </c>
      <c r="G97" s="67"/>
      <c r="H97" s="83"/>
      <c r="I97" s="83"/>
      <c r="J97" s="83"/>
      <c r="K97" s="83"/>
      <c r="L97" s="83"/>
      <c r="M97" s="83"/>
      <c r="N97" s="83"/>
      <c r="O97" s="83"/>
      <c r="P97" s="80"/>
      <c r="Q97" s="80"/>
      <c r="R97" s="80"/>
    </row>
    <row r="98" spans="1:21" x14ac:dyDescent="0.2">
      <c r="A98" s="5"/>
      <c r="B98" s="5"/>
      <c r="C98" s="5"/>
      <c r="D98" s="5"/>
      <c r="E98" s="5"/>
      <c r="F98" s="67"/>
      <c r="G98" s="67"/>
      <c r="H98" s="83"/>
      <c r="I98" s="83"/>
      <c r="J98" s="83"/>
      <c r="K98" s="83"/>
      <c r="L98" s="83"/>
      <c r="M98" s="83"/>
      <c r="N98" s="83"/>
      <c r="O98" s="83"/>
      <c r="P98" s="80"/>
      <c r="Q98" s="80"/>
      <c r="R98" s="80"/>
    </row>
    <row r="99" spans="1:21" x14ac:dyDescent="0.2">
      <c r="A99" s="5"/>
      <c r="B99" s="5" t="s">
        <v>122</v>
      </c>
      <c r="C99" s="5"/>
      <c r="D99" s="5"/>
      <c r="E99" s="5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0"/>
      <c r="Q99" s="80"/>
      <c r="R99" s="80"/>
    </row>
    <row r="100" spans="1:21" x14ac:dyDescent="0.2">
      <c r="A100" s="78">
        <f t="shared" ref="A100:A112" si="9">SUM(K100:N100)</f>
        <v>2842424</v>
      </c>
      <c r="B100" s="5">
        <v>920</v>
      </c>
      <c r="C100" s="81" t="s">
        <v>138</v>
      </c>
      <c r="D100" s="5"/>
      <c r="E100" s="5"/>
      <c r="F100" s="83">
        <v>19711055</v>
      </c>
      <c r="G100" s="83"/>
      <c r="H100" s="83">
        <v>16733229</v>
      </c>
      <c r="I100" s="83">
        <v>120110</v>
      </c>
      <c r="J100" s="83">
        <v>9460</v>
      </c>
      <c r="K100" s="83">
        <v>550726</v>
      </c>
      <c r="L100" s="83">
        <v>714392</v>
      </c>
      <c r="M100" s="83">
        <v>848358</v>
      </c>
      <c r="N100" s="83">
        <v>728948</v>
      </c>
      <c r="O100" s="83">
        <v>5833</v>
      </c>
      <c r="P100" s="80">
        <f t="shared" ref="P100:P108" si="10">SUM(H100:O100)</f>
        <v>19711056</v>
      </c>
      <c r="Q100" s="80"/>
      <c r="R100" s="80">
        <f t="shared" ref="R100:R108" si="11">F100-P100</f>
        <v>-1</v>
      </c>
      <c r="S100" s="95" t="s">
        <v>167</v>
      </c>
    </row>
    <row r="101" spans="1:21" x14ac:dyDescent="0.2">
      <c r="A101" s="78">
        <f t="shared" si="9"/>
        <v>486106</v>
      </c>
      <c r="B101" s="5">
        <v>921</v>
      </c>
      <c r="C101" s="81" t="s">
        <v>139</v>
      </c>
      <c r="D101" s="5"/>
      <c r="E101" s="5"/>
      <c r="F101" s="83">
        <v>3370951</v>
      </c>
      <c r="G101" s="83"/>
      <c r="H101" s="83">
        <v>2861688</v>
      </c>
      <c r="I101" s="83">
        <v>20541</v>
      </c>
      <c r="J101" s="83">
        <v>1618</v>
      </c>
      <c r="K101" s="83">
        <v>94184</v>
      </c>
      <c r="L101" s="83">
        <v>122174</v>
      </c>
      <c r="M101" s="83">
        <v>145085</v>
      </c>
      <c r="N101" s="83">
        <v>124663</v>
      </c>
      <c r="O101" s="83">
        <v>998</v>
      </c>
      <c r="P101" s="80">
        <f t="shared" si="10"/>
        <v>3370951</v>
      </c>
      <c r="Q101" s="80"/>
      <c r="R101" s="80">
        <f t="shared" si="11"/>
        <v>0</v>
      </c>
      <c r="S101" s="95" t="s">
        <v>167</v>
      </c>
    </row>
    <row r="102" spans="1:21" x14ac:dyDescent="0.2">
      <c r="A102" s="78">
        <f t="shared" si="9"/>
        <v>-2590463</v>
      </c>
      <c r="B102" s="5">
        <v>922</v>
      </c>
      <c r="C102" s="81" t="s">
        <v>136</v>
      </c>
      <c r="D102" s="5"/>
      <c r="E102" s="5"/>
      <c r="F102" s="83">
        <v>-17963806</v>
      </c>
      <c r="G102" s="83"/>
      <c r="H102" s="83">
        <v>-15249944</v>
      </c>
      <c r="I102" s="83">
        <v>-109463</v>
      </c>
      <c r="J102" s="83">
        <v>-8621</v>
      </c>
      <c r="K102" s="83">
        <v>-501908</v>
      </c>
      <c r="L102" s="83">
        <v>-651066</v>
      </c>
      <c r="M102" s="83">
        <v>-773157</v>
      </c>
      <c r="N102" s="83">
        <v>-664332</v>
      </c>
      <c r="O102" s="83">
        <v>-5316</v>
      </c>
      <c r="P102" s="80">
        <f t="shared" si="10"/>
        <v>-17963807</v>
      </c>
      <c r="Q102" s="80"/>
      <c r="R102" s="80">
        <f t="shared" si="11"/>
        <v>1</v>
      </c>
      <c r="S102" s="95" t="s">
        <v>167</v>
      </c>
    </row>
    <row r="103" spans="1:21" x14ac:dyDescent="0.2">
      <c r="A103" s="78">
        <f t="shared" si="9"/>
        <v>4783126</v>
      </c>
      <c r="B103" s="5">
        <v>923</v>
      </c>
      <c r="C103" s="81" t="s">
        <v>137</v>
      </c>
      <c r="D103" s="5"/>
      <c r="E103" s="5"/>
      <c r="F103" s="83">
        <v>33169036</v>
      </c>
      <c r="G103" s="83"/>
      <c r="H103" s="83">
        <v>28158060</v>
      </c>
      <c r="I103" s="83">
        <v>202116</v>
      </c>
      <c r="J103" s="83">
        <v>15918</v>
      </c>
      <c r="K103" s="83">
        <v>926741</v>
      </c>
      <c r="L103" s="83">
        <v>1202153</v>
      </c>
      <c r="M103" s="83">
        <v>1427585</v>
      </c>
      <c r="N103" s="83">
        <v>1226647</v>
      </c>
      <c r="O103" s="83">
        <v>9816</v>
      </c>
      <c r="P103" s="80">
        <f t="shared" si="10"/>
        <v>33169036</v>
      </c>
      <c r="Q103" s="80"/>
      <c r="R103" s="80">
        <f t="shared" si="11"/>
        <v>0</v>
      </c>
      <c r="S103" s="95" t="s">
        <v>167</v>
      </c>
    </row>
    <row r="104" spans="1:21" x14ac:dyDescent="0.2">
      <c r="A104" s="78">
        <f t="shared" si="9"/>
        <v>139382</v>
      </c>
      <c r="B104" s="5">
        <v>924</v>
      </c>
      <c r="C104" s="81" t="s">
        <v>135</v>
      </c>
      <c r="D104" s="5"/>
      <c r="E104" s="5"/>
      <c r="F104" s="83">
        <v>966561</v>
      </c>
      <c r="G104" s="83"/>
      <c r="H104" s="83">
        <v>820539</v>
      </c>
      <c r="I104" s="83">
        <v>5890</v>
      </c>
      <c r="J104" s="83">
        <v>464</v>
      </c>
      <c r="K104" s="83">
        <v>27006</v>
      </c>
      <c r="L104" s="83">
        <v>35031</v>
      </c>
      <c r="M104" s="83">
        <v>41600</v>
      </c>
      <c r="N104" s="83">
        <v>35745</v>
      </c>
      <c r="O104" s="83">
        <v>286</v>
      </c>
      <c r="P104" s="80">
        <f t="shared" si="10"/>
        <v>966561</v>
      </c>
      <c r="Q104" s="80"/>
      <c r="R104" s="80">
        <f t="shared" si="11"/>
        <v>0</v>
      </c>
      <c r="S104" s="95" t="s">
        <v>167</v>
      </c>
      <c r="U104" s="87" t="s">
        <v>153</v>
      </c>
    </row>
    <row r="105" spans="1:21" x14ac:dyDescent="0.2">
      <c r="A105" s="78">
        <f t="shared" si="9"/>
        <v>666114</v>
      </c>
      <c r="B105" s="5">
        <v>925</v>
      </c>
      <c r="C105" s="81" t="s">
        <v>134</v>
      </c>
      <c r="D105" s="5"/>
      <c r="E105" s="5"/>
      <c r="F105" s="83">
        <v>4619230</v>
      </c>
      <c r="G105" s="83"/>
      <c r="H105" s="83">
        <v>3921385</v>
      </c>
      <c r="I105" s="83">
        <v>28147</v>
      </c>
      <c r="J105" s="83">
        <v>2217</v>
      </c>
      <c r="K105" s="83">
        <v>129061</v>
      </c>
      <c r="L105" s="83">
        <v>167416</v>
      </c>
      <c r="M105" s="83">
        <v>198810</v>
      </c>
      <c r="N105" s="83">
        <v>170827</v>
      </c>
      <c r="O105" s="83">
        <v>1367</v>
      </c>
      <c r="P105" s="80">
        <f t="shared" si="10"/>
        <v>4619230</v>
      </c>
      <c r="Q105" s="80"/>
      <c r="R105" s="80">
        <f t="shared" si="11"/>
        <v>0</v>
      </c>
      <c r="S105" s="95" t="s">
        <v>167</v>
      </c>
      <c r="U105" s="87" t="s">
        <v>153</v>
      </c>
    </row>
    <row r="106" spans="1:21" x14ac:dyDescent="0.2">
      <c r="A106" s="78">
        <f t="shared" si="9"/>
        <v>1696362</v>
      </c>
      <c r="B106" s="5">
        <v>926</v>
      </c>
      <c r="C106" s="81" t="s">
        <v>133</v>
      </c>
      <c r="D106" s="5"/>
      <c r="E106" s="5"/>
      <c r="F106" s="83">
        <v>11763584</v>
      </c>
      <c r="G106" s="83"/>
      <c r="H106" s="83">
        <v>9986414</v>
      </c>
      <c r="I106" s="83">
        <v>71682</v>
      </c>
      <c r="J106" s="83">
        <v>5645</v>
      </c>
      <c r="K106" s="83">
        <v>328674</v>
      </c>
      <c r="L106" s="83">
        <v>426350</v>
      </c>
      <c r="M106" s="83">
        <v>506301</v>
      </c>
      <c r="N106" s="83">
        <v>435037</v>
      </c>
      <c r="O106" s="83">
        <v>3481</v>
      </c>
      <c r="P106" s="80">
        <f t="shared" si="10"/>
        <v>11763584</v>
      </c>
      <c r="Q106" s="80"/>
      <c r="R106" s="80">
        <f t="shared" si="11"/>
        <v>0</v>
      </c>
      <c r="S106" s="95" t="s">
        <v>167</v>
      </c>
    </row>
    <row r="107" spans="1:21" x14ac:dyDescent="0.2">
      <c r="A107" s="78">
        <f t="shared" si="9"/>
        <v>0</v>
      </c>
      <c r="B107" s="5">
        <v>928</v>
      </c>
      <c r="C107" s="81" t="s">
        <v>132</v>
      </c>
      <c r="D107" s="5"/>
      <c r="E107" s="5"/>
      <c r="F107" s="83">
        <v>0</v>
      </c>
      <c r="G107" s="83"/>
      <c r="H107" s="83"/>
      <c r="I107" s="83"/>
      <c r="J107" s="83"/>
      <c r="K107" s="83"/>
      <c r="L107" s="83"/>
      <c r="M107" s="83"/>
      <c r="N107" s="83"/>
      <c r="O107" s="83"/>
      <c r="P107" s="80">
        <f t="shared" si="10"/>
        <v>0</v>
      </c>
      <c r="Q107" s="80"/>
      <c r="R107" s="80">
        <f t="shared" si="11"/>
        <v>0</v>
      </c>
      <c r="S107" s="95" t="s">
        <v>167</v>
      </c>
    </row>
    <row r="108" spans="1:21" x14ac:dyDescent="0.2">
      <c r="A108" s="78">
        <f t="shared" si="9"/>
        <v>0</v>
      </c>
      <c r="B108" s="5">
        <v>9301</v>
      </c>
      <c r="C108" s="81" t="s">
        <v>131</v>
      </c>
      <c r="F108" s="80">
        <v>0</v>
      </c>
      <c r="G108" s="80"/>
      <c r="H108" s="80"/>
      <c r="I108" s="80"/>
      <c r="J108" s="80"/>
      <c r="K108" s="80"/>
      <c r="L108" s="80"/>
      <c r="M108" s="80"/>
      <c r="N108" s="80"/>
      <c r="O108" s="80"/>
      <c r="P108" s="80">
        <f t="shared" si="10"/>
        <v>0</v>
      </c>
      <c r="Q108" s="80"/>
      <c r="R108" s="80">
        <f t="shared" si="11"/>
        <v>0</v>
      </c>
      <c r="S108" s="95" t="s">
        <v>167</v>
      </c>
    </row>
    <row r="109" spans="1:21" ht="15" x14ac:dyDescent="0.2">
      <c r="A109" s="78">
        <f t="shared" si="9"/>
        <v>395935</v>
      </c>
      <c r="B109" s="5">
        <v>9302</v>
      </c>
      <c r="C109" s="81" t="s">
        <v>130</v>
      </c>
      <c r="D109" s="4"/>
      <c r="E109" s="4"/>
      <c r="F109" s="83">
        <v>2745644</v>
      </c>
      <c r="G109" s="83"/>
      <c r="H109" s="83">
        <v>2330849.1385212773</v>
      </c>
      <c r="I109" s="83">
        <v>16731</v>
      </c>
      <c r="J109" s="83">
        <v>1318</v>
      </c>
      <c r="K109" s="83">
        <v>76713</v>
      </c>
      <c r="L109" s="83">
        <v>99511</v>
      </c>
      <c r="M109" s="83">
        <v>118172</v>
      </c>
      <c r="N109" s="83">
        <v>101539</v>
      </c>
      <c r="O109" s="83">
        <v>813</v>
      </c>
      <c r="P109" s="80">
        <f>SUM(H109:O109)</f>
        <v>2745646.1385212773</v>
      </c>
      <c r="Q109" s="80"/>
      <c r="R109" s="80">
        <f>F109-P109</f>
        <v>-2.138521277345717</v>
      </c>
      <c r="S109" s="95" t="s">
        <v>167</v>
      </c>
    </row>
    <row r="110" spans="1:21" ht="15" x14ac:dyDescent="0.2">
      <c r="A110" s="78">
        <f t="shared" si="9"/>
        <v>506</v>
      </c>
      <c r="B110" s="5">
        <v>931</v>
      </c>
      <c r="C110" s="81" t="s">
        <v>129</v>
      </c>
      <c r="D110" s="4"/>
      <c r="E110" s="4"/>
      <c r="F110" s="83">
        <v>3507</v>
      </c>
      <c r="G110" s="83"/>
      <c r="H110" s="83">
        <v>2978</v>
      </c>
      <c r="I110" s="83">
        <v>21</v>
      </c>
      <c r="J110" s="83">
        <v>2</v>
      </c>
      <c r="K110" s="83">
        <v>98</v>
      </c>
      <c r="L110" s="83">
        <v>127</v>
      </c>
      <c r="M110" s="83">
        <v>151</v>
      </c>
      <c r="N110" s="83">
        <v>130</v>
      </c>
      <c r="O110" s="83">
        <v>1</v>
      </c>
      <c r="P110" s="80">
        <f t="shared" ref="P110:P111" si="12">SUM(H110:O110)</f>
        <v>3508</v>
      </c>
      <c r="Q110" s="80"/>
      <c r="R110" s="80">
        <f t="shared" ref="R110:R112" si="13">F110-P110</f>
        <v>-1</v>
      </c>
      <c r="S110" s="95" t="s">
        <v>167</v>
      </c>
    </row>
    <row r="111" spans="1:21" ht="15" x14ac:dyDescent="0.2">
      <c r="A111" s="78">
        <f t="shared" si="9"/>
        <v>285276</v>
      </c>
      <c r="B111" s="5">
        <v>935</v>
      </c>
      <c r="C111" s="81" t="s">
        <v>128</v>
      </c>
      <c r="D111" s="4"/>
      <c r="E111" s="4"/>
      <c r="F111" s="84">
        <v>1978265</v>
      </c>
      <c r="G111" s="86"/>
      <c r="H111" s="83">
        <v>1679401</v>
      </c>
      <c r="I111" s="83">
        <v>12055</v>
      </c>
      <c r="J111" s="83">
        <v>949</v>
      </c>
      <c r="K111" s="83">
        <v>55273</v>
      </c>
      <c r="L111" s="83">
        <v>71699</v>
      </c>
      <c r="M111" s="83">
        <v>85144</v>
      </c>
      <c r="N111" s="83">
        <v>73160</v>
      </c>
      <c r="O111" s="83">
        <v>585</v>
      </c>
      <c r="P111" s="80">
        <f t="shared" si="12"/>
        <v>1978266</v>
      </c>
      <c r="Q111" s="80"/>
      <c r="R111" s="80">
        <f t="shared" si="13"/>
        <v>-1</v>
      </c>
      <c r="S111" s="95" t="s">
        <v>167</v>
      </c>
    </row>
    <row r="112" spans="1:21" ht="15" x14ac:dyDescent="0.2">
      <c r="A112" s="78">
        <f t="shared" si="9"/>
        <v>8704768</v>
      </c>
      <c r="B112" s="5"/>
      <c r="C112" s="4" t="s">
        <v>146</v>
      </c>
      <c r="D112" s="4"/>
      <c r="E112" s="4"/>
      <c r="F112" s="83">
        <f>SUM(F100:F111)</f>
        <v>60364027</v>
      </c>
      <c r="G112" s="83"/>
      <c r="H112" s="83">
        <f t="shared" ref="H112:P112" si="14">SUM(H100:H111)</f>
        <v>51244599.138521276</v>
      </c>
      <c r="I112" s="83">
        <f t="shared" si="14"/>
        <v>367830</v>
      </c>
      <c r="J112" s="83">
        <f t="shared" si="14"/>
        <v>28970</v>
      </c>
      <c r="K112" s="83">
        <f t="shared" si="14"/>
        <v>1686568</v>
      </c>
      <c r="L112" s="83">
        <f t="shared" si="14"/>
        <v>2187787</v>
      </c>
      <c r="M112" s="83">
        <f t="shared" si="14"/>
        <v>2598049</v>
      </c>
      <c r="N112" s="83">
        <f t="shared" si="14"/>
        <v>2232364</v>
      </c>
      <c r="O112" s="83">
        <f t="shared" si="14"/>
        <v>17864</v>
      </c>
      <c r="P112" s="83">
        <f t="shared" si="14"/>
        <v>60364031.138521276</v>
      </c>
      <c r="Q112" s="80"/>
      <c r="R112" s="80">
        <f t="shared" si="13"/>
        <v>-4.1385212764143944</v>
      </c>
    </row>
    <row r="113" spans="1:18" ht="15" x14ac:dyDescent="0.2">
      <c r="A113" s="5"/>
      <c r="B113" s="5"/>
      <c r="C113" s="4"/>
      <c r="D113" s="4"/>
      <c r="E113" s="4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0"/>
      <c r="Q113" s="80"/>
      <c r="R113" s="80"/>
    </row>
    <row r="114" spans="1:18" x14ac:dyDescent="0.2">
      <c r="F114" s="80">
        <f>F112+F95</f>
        <v>79961997</v>
      </c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</row>
    <row r="115" spans="1:18" x14ac:dyDescent="0.2">
      <c r="F115" s="144">
        <f>F103/F114</f>
        <v>0.41481000030552012</v>
      </c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</row>
    <row r="116" spans="1:18" x14ac:dyDescent="0.2"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</row>
    <row r="117" spans="1:18" x14ac:dyDescent="0.2">
      <c r="F117" s="80">
        <f>F103+F100</f>
        <v>52880091</v>
      </c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</row>
    <row r="118" spans="1:18" x14ac:dyDescent="0.2">
      <c r="F118" s="77"/>
      <c r="G118" s="77"/>
      <c r="H118" s="80"/>
      <c r="I118" s="80"/>
      <c r="J118" s="80"/>
      <c r="K118" s="80"/>
      <c r="L118" s="80"/>
      <c r="M118" s="80"/>
      <c r="N118" s="80"/>
      <c r="O118" s="80"/>
      <c r="P118" s="80"/>
      <c r="Q118" s="80"/>
    </row>
    <row r="119" spans="1:18" x14ac:dyDescent="0.2">
      <c r="F119" s="77"/>
      <c r="G119" s="77"/>
      <c r="H119" s="80"/>
      <c r="I119" s="80"/>
      <c r="J119" s="80"/>
      <c r="K119" s="80"/>
      <c r="L119" s="80"/>
      <c r="M119" s="80"/>
      <c r="N119" s="80"/>
      <c r="O119" s="80"/>
      <c r="P119" s="119"/>
      <c r="Q119" s="80"/>
    </row>
    <row r="120" spans="1:18" x14ac:dyDescent="0.2">
      <c r="F120" s="77"/>
      <c r="G120" s="77"/>
      <c r="H120" s="80"/>
      <c r="I120" s="80"/>
      <c r="J120" s="80"/>
      <c r="K120" s="80"/>
      <c r="L120" s="80"/>
      <c r="M120" s="80"/>
      <c r="N120" s="80"/>
      <c r="O120" s="80"/>
      <c r="P120" s="80"/>
      <c r="Q120" s="80"/>
    </row>
    <row r="121" spans="1:18" x14ac:dyDescent="0.2">
      <c r="F121" s="77"/>
      <c r="G121" s="77"/>
      <c r="H121" s="80"/>
      <c r="I121" s="80"/>
      <c r="J121" s="80"/>
      <c r="K121" s="80"/>
      <c r="L121" s="80"/>
      <c r="M121" s="80"/>
      <c r="N121" s="80"/>
      <c r="O121" s="80"/>
      <c r="P121" s="80"/>
      <c r="Q121" s="80"/>
    </row>
    <row r="122" spans="1:18" x14ac:dyDescent="0.2">
      <c r="F122" s="77"/>
      <c r="G122" s="77"/>
      <c r="H122" s="80"/>
      <c r="I122" s="80"/>
      <c r="J122" s="80"/>
      <c r="K122" s="80"/>
      <c r="L122" s="80"/>
      <c r="M122" s="80"/>
      <c r="N122" s="80"/>
      <c r="O122" s="80"/>
      <c r="P122" s="80"/>
      <c r="Q122" s="80"/>
    </row>
    <row r="123" spans="1:18" x14ac:dyDescent="0.2">
      <c r="F123" s="77"/>
      <c r="G123" s="77"/>
      <c r="H123" s="80"/>
      <c r="I123" s="80"/>
      <c r="J123" s="80"/>
      <c r="K123" s="80"/>
      <c r="L123" s="80"/>
      <c r="M123" s="80"/>
      <c r="N123" s="80"/>
      <c r="O123" s="80"/>
      <c r="P123" s="80"/>
      <c r="Q123" s="80"/>
    </row>
    <row r="124" spans="1:18" x14ac:dyDescent="0.2">
      <c r="F124" s="77"/>
      <c r="G124" s="77"/>
      <c r="H124" s="80"/>
      <c r="I124" s="80"/>
      <c r="J124" s="80"/>
      <c r="K124" s="80"/>
      <c r="L124" s="80"/>
      <c r="M124" s="80"/>
      <c r="N124" s="80"/>
      <c r="O124" s="80"/>
      <c r="P124" s="80"/>
      <c r="Q124" s="80"/>
    </row>
    <row r="125" spans="1:18" x14ac:dyDescent="0.2">
      <c r="F125" s="77"/>
      <c r="G125" s="77"/>
      <c r="H125" s="80"/>
      <c r="I125" s="80"/>
      <c r="J125" s="80"/>
      <c r="K125" s="80"/>
      <c r="L125" s="80"/>
      <c r="M125" s="80"/>
      <c r="N125" s="80"/>
      <c r="O125" s="80"/>
      <c r="P125" s="80"/>
      <c r="Q125" s="80"/>
    </row>
    <row r="126" spans="1:18" x14ac:dyDescent="0.2">
      <c r="H126" s="80"/>
      <c r="I126" s="80"/>
      <c r="J126" s="80"/>
      <c r="K126" s="80"/>
      <c r="L126" s="80"/>
      <c r="M126" s="80"/>
      <c r="N126" s="80"/>
      <c r="O126" s="80"/>
      <c r="P126" s="80"/>
      <c r="Q126" s="80"/>
    </row>
    <row r="127" spans="1:18" x14ac:dyDescent="0.2">
      <c r="H127" s="80"/>
      <c r="I127" s="80"/>
      <c r="J127" s="80"/>
      <c r="K127" s="80"/>
      <c r="L127" s="80"/>
      <c r="M127" s="80"/>
      <c r="N127" s="80"/>
      <c r="O127" s="80"/>
      <c r="P127" s="80"/>
      <c r="Q127" s="80"/>
    </row>
    <row r="128" spans="1:18" x14ac:dyDescent="0.2">
      <c r="H128" s="80"/>
      <c r="I128" s="80"/>
      <c r="J128" s="80"/>
      <c r="K128" s="80"/>
      <c r="L128" s="80"/>
      <c r="M128" s="80"/>
      <c r="N128" s="80"/>
      <c r="O128" s="80"/>
      <c r="P128" s="80"/>
      <c r="Q128" s="80"/>
    </row>
    <row r="129" spans="8:17" x14ac:dyDescent="0.2">
      <c r="H129" s="80"/>
      <c r="I129" s="80"/>
      <c r="J129" s="80"/>
      <c r="K129" s="80"/>
      <c r="L129" s="80"/>
      <c r="M129" s="80"/>
      <c r="N129" s="80"/>
      <c r="O129" s="80"/>
      <c r="P129" s="80"/>
      <c r="Q129" s="80"/>
    </row>
    <row r="130" spans="8:17" x14ac:dyDescent="0.2">
      <c r="H130" s="80"/>
      <c r="I130" s="80"/>
      <c r="J130" s="80"/>
      <c r="K130" s="80"/>
      <c r="L130" s="80"/>
      <c r="M130" s="80"/>
      <c r="N130" s="80"/>
      <c r="O130" s="80"/>
      <c r="P130" s="80"/>
      <c r="Q130" s="80"/>
    </row>
    <row r="131" spans="8:17" x14ac:dyDescent="0.2">
      <c r="H131" s="80"/>
      <c r="I131" s="80"/>
      <c r="J131" s="80"/>
      <c r="K131" s="80"/>
      <c r="L131" s="80"/>
      <c r="M131" s="80"/>
      <c r="N131" s="80"/>
      <c r="O131" s="80"/>
      <c r="P131" s="80"/>
      <c r="Q131" s="80"/>
    </row>
    <row r="132" spans="8:17" x14ac:dyDescent="0.2">
      <c r="H132" s="80"/>
      <c r="I132" s="80"/>
      <c r="J132" s="80"/>
      <c r="K132" s="80"/>
      <c r="L132" s="80"/>
      <c r="M132" s="80"/>
      <c r="N132" s="80"/>
      <c r="O132" s="80"/>
      <c r="P132" s="80"/>
      <c r="Q132" s="80"/>
    </row>
    <row r="133" spans="8:17" x14ac:dyDescent="0.2">
      <c r="H133" s="80"/>
      <c r="I133" s="80"/>
      <c r="J133" s="80"/>
      <c r="K133" s="80"/>
      <c r="L133" s="80"/>
      <c r="M133" s="80"/>
      <c r="N133" s="80"/>
      <c r="O133" s="80"/>
      <c r="P133" s="80"/>
      <c r="Q133" s="80"/>
    </row>
    <row r="134" spans="8:17" x14ac:dyDescent="0.2">
      <c r="H134" s="80"/>
      <c r="I134" s="80"/>
      <c r="J134" s="80"/>
      <c r="K134" s="80"/>
      <c r="L134" s="80"/>
      <c r="M134" s="80"/>
      <c r="N134" s="80"/>
      <c r="O134" s="80"/>
      <c r="P134" s="80"/>
      <c r="Q134" s="80"/>
    </row>
    <row r="135" spans="8:17" x14ac:dyDescent="0.2">
      <c r="H135" s="80"/>
      <c r="I135" s="80"/>
      <c r="J135" s="80"/>
      <c r="K135" s="80"/>
      <c r="L135" s="80"/>
      <c r="M135" s="80"/>
      <c r="N135" s="80"/>
      <c r="O135" s="80"/>
      <c r="P135" s="80"/>
      <c r="Q135" s="80"/>
    </row>
    <row r="136" spans="8:17" x14ac:dyDescent="0.2">
      <c r="H136" s="80"/>
      <c r="I136" s="80"/>
      <c r="J136" s="80"/>
      <c r="K136" s="80"/>
      <c r="L136" s="80"/>
      <c r="M136" s="80"/>
      <c r="N136" s="80"/>
      <c r="O136" s="80"/>
      <c r="P136" s="80"/>
      <c r="Q136" s="80"/>
    </row>
    <row r="137" spans="8:17" x14ac:dyDescent="0.2">
      <c r="H137" s="80"/>
      <c r="I137" s="80"/>
      <c r="J137" s="80"/>
      <c r="K137" s="80"/>
      <c r="L137" s="80"/>
      <c r="M137" s="80"/>
      <c r="N137" s="80"/>
      <c r="O137" s="80"/>
      <c r="P137" s="80"/>
      <c r="Q137" s="80"/>
    </row>
    <row r="138" spans="8:17" x14ac:dyDescent="0.2">
      <c r="H138" s="80"/>
      <c r="I138" s="80"/>
      <c r="J138" s="80"/>
      <c r="K138" s="80"/>
      <c r="L138" s="80"/>
      <c r="M138" s="80"/>
      <c r="N138" s="80"/>
      <c r="O138" s="80"/>
      <c r="P138" s="80"/>
      <c r="Q138" s="80"/>
    </row>
    <row r="139" spans="8:17" x14ac:dyDescent="0.2">
      <c r="H139" s="80"/>
      <c r="I139" s="80"/>
      <c r="J139" s="80"/>
      <c r="K139" s="80"/>
      <c r="L139" s="80"/>
      <c r="M139" s="80"/>
      <c r="N139" s="80"/>
      <c r="O139" s="80"/>
      <c r="P139" s="80"/>
      <c r="Q139" s="80"/>
    </row>
    <row r="140" spans="8:17" x14ac:dyDescent="0.2">
      <c r="H140" s="80"/>
      <c r="I140" s="80"/>
      <c r="J140" s="80"/>
      <c r="K140" s="80"/>
      <c r="L140" s="80"/>
      <c r="M140" s="80"/>
      <c r="N140" s="80"/>
      <c r="O140" s="80"/>
      <c r="P140" s="80"/>
      <c r="Q140" s="80"/>
    </row>
    <row r="141" spans="8:17" x14ac:dyDescent="0.2">
      <c r="H141" s="80"/>
      <c r="I141" s="80"/>
      <c r="J141" s="80"/>
      <c r="K141" s="80"/>
      <c r="L141" s="80"/>
      <c r="M141" s="80"/>
      <c r="N141" s="80"/>
      <c r="O141" s="80"/>
      <c r="P141" s="80"/>
      <c r="Q141" s="80"/>
    </row>
    <row r="142" spans="8:17" x14ac:dyDescent="0.2">
      <c r="H142" s="80"/>
      <c r="I142" s="80"/>
      <c r="J142" s="80"/>
      <c r="K142" s="80"/>
      <c r="L142" s="80"/>
      <c r="M142" s="80"/>
      <c r="N142" s="80"/>
      <c r="O142" s="80"/>
      <c r="P142" s="80"/>
      <c r="Q142" s="80"/>
    </row>
    <row r="143" spans="8:17" x14ac:dyDescent="0.2">
      <c r="H143" s="80"/>
      <c r="I143" s="80"/>
      <c r="J143" s="80"/>
      <c r="K143" s="80"/>
      <c r="L143" s="80"/>
      <c r="M143" s="80"/>
      <c r="N143" s="80"/>
      <c r="O143" s="80"/>
      <c r="P143" s="80"/>
      <c r="Q143" s="80"/>
    </row>
    <row r="144" spans="8:17" x14ac:dyDescent="0.2">
      <c r="H144" s="80"/>
      <c r="I144" s="80"/>
      <c r="J144" s="80"/>
      <c r="K144" s="80"/>
      <c r="L144" s="80"/>
      <c r="M144" s="80"/>
      <c r="N144" s="80"/>
      <c r="O144" s="80"/>
      <c r="P144" s="80"/>
      <c r="Q144" s="80"/>
    </row>
    <row r="145" spans="8:17" x14ac:dyDescent="0.2">
      <c r="H145" s="80"/>
      <c r="I145" s="80"/>
      <c r="J145" s="80"/>
      <c r="K145" s="80"/>
      <c r="L145" s="80"/>
      <c r="M145" s="80"/>
      <c r="N145" s="80"/>
      <c r="O145" s="80"/>
      <c r="P145" s="80"/>
      <c r="Q145" s="80"/>
    </row>
    <row r="146" spans="8:17" x14ac:dyDescent="0.2">
      <c r="H146" s="80"/>
      <c r="I146" s="80"/>
      <c r="J146" s="80"/>
      <c r="K146" s="80"/>
      <c r="L146" s="80"/>
      <c r="M146" s="80"/>
      <c r="N146" s="80"/>
      <c r="O146" s="80"/>
      <c r="P146" s="80"/>
      <c r="Q146" s="80"/>
    </row>
    <row r="147" spans="8:17" x14ac:dyDescent="0.2">
      <c r="H147" s="80"/>
      <c r="I147" s="80"/>
      <c r="J147" s="80"/>
      <c r="K147" s="80"/>
      <c r="L147" s="80"/>
      <c r="M147" s="80"/>
      <c r="N147" s="80"/>
      <c r="O147" s="80"/>
      <c r="P147" s="80"/>
      <c r="Q147" s="80"/>
    </row>
    <row r="148" spans="8:17" x14ac:dyDescent="0.2">
      <c r="H148" s="80"/>
      <c r="I148" s="80"/>
      <c r="J148" s="80"/>
      <c r="K148" s="80"/>
      <c r="L148" s="80"/>
      <c r="M148" s="80"/>
      <c r="N148" s="80"/>
      <c r="O148" s="80"/>
      <c r="P148" s="80"/>
      <c r="Q148" s="80"/>
    </row>
    <row r="149" spans="8:17" x14ac:dyDescent="0.2">
      <c r="H149" s="80"/>
      <c r="I149" s="80"/>
      <c r="J149" s="80"/>
      <c r="K149" s="80"/>
      <c r="L149" s="80"/>
      <c r="M149" s="80"/>
      <c r="N149" s="80"/>
      <c r="O149" s="80"/>
      <c r="P149" s="80"/>
      <c r="Q149" s="80"/>
    </row>
    <row r="150" spans="8:17" x14ac:dyDescent="0.2">
      <c r="H150" s="80"/>
      <c r="I150" s="80"/>
      <c r="J150" s="80"/>
      <c r="K150" s="80"/>
      <c r="L150" s="80"/>
      <c r="M150" s="80"/>
      <c r="N150" s="80"/>
      <c r="O150" s="80"/>
      <c r="P150" s="80"/>
      <c r="Q150" s="80"/>
    </row>
    <row r="151" spans="8:17" x14ac:dyDescent="0.2">
      <c r="H151" s="80"/>
      <c r="I151" s="80"/>
      <c r="J151" s="80"/>
      <c r="K151" s="80"/>
      <c r="L151" s="80"/>
      <c r="M151" s="80"/>
      <c r="N151" s="80"/>
      <c r="O151" s="80"/>
      <c r="P151" s="80"/>
      <c r="Q151" s="80"/>
    </row>
    <row r="152" spans="8:17" x14ac:dyDescent="0.2">
      <c r="H152" s="80"/>
      <c r="I152" s="80"/>
      <c r="J152" s="80"/>
      <c r="K152" s="80"/>
      <c r="L152" s="80"/>
      <c r="M152" s="80"/>
      <c r="N152" s="80"/>
      <c r="O152" s="80"/>
      <c r="P152" s="80"/>
      <c r="Q152" s="80"/>
    </row>
    <row r="153" spans="8:17" x14ac:dyDescent="0.2">
      <c r="H153" s="80"/>
      <c r="I153" s="80"/>
      <c r="J153" s="80"/>
      <c r="K153" s="80"/>
      <c r="L153" s="80"/>
      <c r="M153" s="80"/>
      <c r="N153" s="80"/>
      <c r="O153" s="80"/>
      <c r="P153" s="80"/>
      <c r="Q153" s="80"/>
    </row>
    <row r="154" spans="8:17" x14ac:dyDescent="0.2">
      <c r="H154" s="80"/>
      <c r="I154" s="80"/>
      <c r="J154" s="80"/>
      <c r="K154" s="80"/>
      <c r="L154" s="80"/>
      <c r="M154" s="80"/>
      <c r="N154" s="80"/>
      <c r="O154" s="80"/>
      <c r="P154" s="80"/>
      <c r="Q154" s="80"/>
    </row>
    <row r="155" spans="8:17" x14ac:dyDescent="0.2">
      <c r="H155" s="80"/>
      <c r="I155" s="80"/>
      <c r="J155" s="80"/>
      <c r="K155" s="80"/>
      <c r="L155" s="80"/>
      <c r="M155" s="80"/>
      <c r="N155" s="80"/>
      <c r="O155" s="80"/>
      <c r="P155" s="80"/>
      <c r="Q155" s="80"/>
    </row>
    <row r="156" spans="8:17" x14ac:dyDescent="0.2">
      <c r="H156" s="80"/>
      <c r="I156" s="80"/>
      <c r="J156" s="80"/>
      <c r="K156" s="80"/>
      <c r="L156" s="80"/>
      <c r="M156" s="80"/>
      <c r="N156" s="80"/>
      <c r="O156" s="80"/>
      <c r="P156" s="80"/>
      <c r="Q156" s="80"/>
    </row>
    <row r="157" spans="8:17" x14ac:dyDescent="0.2">
      <c r="H157" s="80"/>
      <c r="I157" s="80"/>
      <c r="J157" s="80"/>
      <c r="K157" s="80"/>
      <c r="L157" s="80"/>
      <c r="M157" s="80"/>
      <c r="N157" s="80"/>
      <c r="O157" s="80"/>
      <c r="P157" s="80"/>
      <c r="Q157" s="80"/>
    </row>
    <row r="158" spans="8:17" x14ac:dyDescent="0.2">
      <c r="H158" s="80"/>
      <c r="I158" s="80"/>
      <c r="J158" s="80"/>
      <c r="K158" s="80"/>
      <c r="L158" s="80"/>
      <c r="M158" s="80"/>
      <c r="N158" s="80"/>
      <c r="O158" s="80"/>
      <c r="P158" s="80"/>
      <c r="Q158" s="80"/>
    </row>
    <row r="159" spans="8:17" x14ac:dyDescent="0.2">
      <c r="H159" s="80"/>
      <c r="I159" s="80"/>
      <c r="J159" s="80"/>
      <c r="K159" s="80"/>
      <c r="L159" s="80"/>
      <c r="M159" s="80"/>
      <c r="N159" s="80"/>
      <c r="O159" s="80"/>
      <c r="P159" s="80"/>
      <c r="Q159" s="80"/>
    </row>
    <row r="160" spans="8:17" x14ac:dyDescent="0.2">
      <c r="H160" s="80"/>
      <c r="I160" s="80"/>
      <c r="J160" s="80"/>
      <c r="K160" s="80"/>
      <c r="L160" s="80"/>
      <c r="M160" s="80"/>
      <c r="N160" s="80"/>
      <c r="O160" s="80"/>
      <c r="P160" s="80"/>
      <c r="Q160" s="80"/>
    </row>
    <row r="161" spans="8:17" x14ac:dyDescent="0.2">
      <c r="H161" s="80"/>
      <c r="I161" s="80"/>
      <c r="J161" s="80"/>
      <c r="K161" s="80"/>
      <c r="L161" s="80"/>
      <c r="M161" s="80"/>
      <c r="N161" s="80"/>
      <c r="O161" s="80"/>
      <c r="P161" s="80"/>
      <c r="Q161" s="80"/>
    </row>
    <row r="162" spans="8:17" x14ac:dyDescent="0.2">
      <c r="H162" s="80"/>
      <c r="I162" s="80"/>
      <c r="J162" s="80"/>
      <c r="K162" s="80"/>
      <c r="L162" s="80"/>
      <c r="M162" s="80"/>
      <c r="N162" s="80"/>
      <c r="O162" s="80"/>
      <c r="P162" s="80"/>
      <c r="Q162" s="80"/>
    </row>
    <row r="163" spans="8:17" x14ac:dyDescent="0.2">
      <c r="H163" s="80"/>
      <c r="I163" s="80"/>
      <c r="J163" s="80"/>
      <c r="K163" s="80"/>
      <c r="L163" s="80"/>
      <c r="M163" s="80"/>
      <c r="N163" s="80"/>
      <c r="O163" s="80"/>
      <c r="P163" s="80"/>
      <c r="Q163" s="80"/>
    </row>
    <row r="164" spans="8:17" x14ac:dyDescent="0.2">
      <c r="H164" s="80"/>
      <c r="I164" s="80"/>
      <c r="J164" s="80"/>
      <c r="K164" s="80"/>
      <c r="L164" s="80"/>
      <c r="M164" s="80"/>
      <c r="N164" s="80"/>
      <c r="O164" s="80"/>
      <c r="P164" s="80"/>
      <c r="Q164" s="80"/>
    </row>
    <row r="165" spans="8:17" x14ac:dyDescent="0.2">
      <c r="H165" s="80"/>
      <c r="I165" s="80"/>
      <c r="J165" s="80"/>
      <c r="K165" s="80"/>
      <c r="L165" s="80"/>
      <c r="M165" s="80"/>
      <c r="N165" s="80"/>
      <c r="O165" s="80"/>
      <c r="P165" s="80"/>
      <c r="Q165" s="80"/>
    </row>
    <row r="166" spans="8:17" x14ac:dyDescent="0.2">
      <c r="H166" s="80"/>
      <c r="I166" s="80"/>
      <c r="J166" s="80"/>
      <c r="K166" s="80"/>
      <c r="L166" s="80"/>
      <c r="M166" s="80"/>
      <c r="N166" s="80"/>
      <c r="O166" s="80"/>
      <c r="P166" s="80"/>
      <c r="Q166" s="80"/>
    </row>
    <row r="167" spans="8:17" x14ac:dyDescent="0.2">
      <c r="H167" s="80"/>
      <c r="I167" s="80"/>
      <c r="J167" s="80"/>
      <c r="K167" s="80"/>
      <c r="L167" s="80"/>
      <c r="M167" s="80"/>
      <c r="N167" s="80"/>
      <c r="O167" s="80"/>
      <c r="P167" s="80"/>
      <c r="Q167" s="80"/>
    </row>
    <row r="168" spans="8:17" x14ac:dyDescent="0.2">
      <c r="H168" s="80"/>
      <c r="I168" s="80"/>
      <c r="J168" s="80"/>
      <c r="K168" s="80"/>
      <c r="L168" s="80"/>
      <c r="M168" s="80"/>
      <c r="N168" s="80"/>
      <c r="O168" s="80"/>
      <c r="P168" s="80"/>
      <c r="Q168" s="80"/>
    </row>
    <row r="169" spans="8:17" x14ac:dyDescent="0.2">
      <c r="H169" s="80"/>
      <c r="I169" s="80"/>
      <c r="J169" s="80"/>
      <c r="K169" s="80"/>
      <c r="L169" s="80"/>
      <c r="M169" s="80"/>
      <c r="N169" s="80"/>
      <c r="O169" s="80"/>
      <c r="P169" s="80"/>
      <c r="Q169" s="80"/>
    </row>
    <row r="170" spans="8:17" x14ac:dyDescent="0.2">
      <c r="H170" s="80"/>
      <c r="I170" s="80"/>
      <c r="J170" s="80"/>
      <c r="K170" s="80"/>
      <c r="L170" s="80"/>
      <c r="M170" s="80"/>
      <c r="N170" s="80"/>
      <c r="O170" s="80"/>
      <c r="P170" s="80"/>
      <c r="Q170" s="80"/>
    </row>
    <row r="171" spans="8:17" x14ac:dyDescent="0.2">
      <c r="H171" s="80"/>
      <c r="I171" s="80"/>
      <c r="J171" s="80"/>
      <c r="K171" s="80"/>
      <c r="L171" s="80"/>
      <c r="M171" s="80"/>
      <c r="N171" s="80"/>
      <c r="O171" s="80"/>
      <c r="P171" s="80"/>
      <c r="Q171" s="80"/>
    </row>
    <row r="172" spans="8:17" x14ac:dyDescent="0.2">
      <c r="H172" s="80"/>
      <c r="I172" s="80"/>
      <c r="J172" s="80"/>
      <c r="K172" s="80"/>
      <c r="L172" s="80"/>
      <c r="M172" s="80"/>
      <c r="N172" s="80"/>
      <c r="O172" s="80"/>
      <c r="P172" s="80"/>
      <c r="Q172" s="80"/>
    </row>
    <row r="173" spans="8:17" x14ac:dyDescent="0.2">
      <c r="H173" s="80"/>
      <c r="I173" s="80"/>
      <c r="J173" s="80"/>
      <c r="K173" s="80"/>
      <c r="L173" s="80"/>
      <c r="M173" s="80"/>
      <c r="N173" s="80"/>
      <c r="O173" s="80"/>
      <c r="P173" s="80"/>
      <c r="Q173" s="80"/>
    </row>
    <row r="174" spans="8:17" x14ac:dyDescent="0.2">
      <c r="H174" s="80"/>
      <c r="I174" s="80"/>
      <c r="J174" s="80"/>
      <c r="K174" s="80"/>
      <c r="L174" s="80"/>
      <c r="M174" s="80"/>
      <c r="N174" s="80"/>
      <c r="O174" s="80"/>
      <c r="P174" s="80"/>
      <c r="Q174" s="80"/>
    </row>
    <row r="175" spans="8:17" x14ac:dyDescent="0.2">
      <c r="H175" s="80"/>
      <c r="I175" s="80"/>
      <c r="J175" s="80"/>
      <c r="K175" s="80"/>
      <c r="L175" s="80"/>
      <c r="M175" s="80"/>
      <c r="N175" s="80"/>
      <c r="O175" s="80"/>
      <c r="P175" s="80"/>
      <c r="Q175" s="80"/>
    </row>
    <row r="176" spans="8:17" x14ac:dyDescent="0.2">
      <c r="H176" s="80"/>
      <c r="I176" s="80"/>
      <c r="J176" s="80"/>
      <c r="K176" s="80"/>
      <c r="L176" s="80"/>
      <c r="M176" s="80"/>
      <c r="N176" s="80"/>
      <c r="O176" s="80"/>
      <c r="P176" s="80"/>
      <c r="Q176" s="80"/>
    </row>
    <row r="177" spans="8:17" x14ac:dyDescent="0.2">
      <c r="H177" s="80"/>
      <c r="I177" s="80"/>
      <c r="J177" s="80"/>
      <c r="K177" s="80"/>
      <c r="L177" s="80"/>
      <c r="M177" s="80"/>
      <c r="N177" s="80"/>
      <c r="O177" s="80"/>
      <c r="P177" s="80"/>
      <c r="Q177" s="80"/>
    </row>
    <row r="178" spans="8:17" x14ac:dyDescent="0.2">
      <c r="H178" s="80"/>
      <c r="I178" s="80"/>
      <c r="J178" s="80"/>
      <c r="K178" s="80"/>
      <c r="L178" s="80"/>
      <c r="M178" s="80"/>
      <c r="N178" s="80"/>
      <c r="O178" s="80"/>
      <c r="P178" s="80"/>
      <c r="Q178" s="80"/>
    </row>
    <row r="179" spans="8:17" x14ac:dyDescent="0.2">
      <c r="H179" s="80"/>
      <c r="I179" s="80"/>
      <c r="J179" s="80"/>
      <c r="K179" s="80"/>
      <c r="L179" s="80"/>
      <c r="M179" s="80"/>
      <c r="N179" s="80"/>
      <c r="O179" s="80"/>
      <c r="P179" s="80"/>
      <c r="Q179" s="80"/>
    </row>
  </sheetData>
  <mergeCells count="1">
    <mergeCell ref="H80:P80"/>
  </mergeCells>
  <pageMargins left="0.52" right="0.25" top="0.32" bottom="0.28000000000000003" header="0.46" footer="0.23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ANGC Revised EGU 5.08p1</vt:lpstr>
      <vt:lpstr>EGU 5.08p2</vt:lpstr>
      <vt:lpstr>'ANGC Revised EGU 5.08p1'!Print_Area</vt:lpstr>
      <vt:lpstr>'EGU 5.08p2'!Print_Area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2025-11-01T22:25:49Z</cp:lastPrinted>
  <dcterms:created xsi:type="dcterms:W3CDTF">2025-11-04T21:57:51Z</dcterms:created>
  <dcterms:modified xsi:type="dcterms:W3CDTF">2025-11-04T23:27:58Z</dcterms:modified>
  <cp:category/>
</cp:coreProperties>
</file>